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be5c3e6ecec6fb/Documents/Imperial/Dissertation/Evaluation/"/>
    </mc:Choice>
  </mc:AlternateContent>
  <xr:revisionPtr revIDLastSave="5700" documentId="13_ncr:1_{F63D2CD4-15DB-49E3-95C2-F2D115B4B989}" xr6:coauthVersionLast="47" xr6:coauthVersionMax="47" xr10:uidLastSave="{EE6E57C7-E391-4A6A-AC01-4A4E1CE2CB8A}"/>
  <bookViews>
    <workbookView xWindow="-108" yWindow="-108" windowWidth="27288" windowHeight="17544" xr2:uid="{50167E9C-961D-44F9-8434-796448AA55AB}"/>
  </bookViews>
  <sheets>
    <sheet name="Summary" sheetId="24" r:id="rId1"/>
    <sheet name="WELL" sheetId="40" r:id="rId2"/>
    <sheet name="WELL Manual" sheetId="41" r:id="rId3"/>
    <sheet name="WELL LLM API" sheetId="42" r:id="rId4"/>
    <sheet name="WELL Script" sheetId="43" r:id="rId5"/>
    <sheet name="PLD" sheetId="36" r:id="rId6"/>
    <sheet name="PLD Manual" sheetId="37" r:id="rId7"/>
    <sheet name="PLD LLM API" sheetId="38" r:id="rId8"/>
    <sheet name="PLD Script" sheetId="39" r:id="rId9"/>
    <sheet name="CCI" sheetId="29" r:id="rId10"/>
    <sheet name="CCI Manual" sheetId="25" r:id="rId11"/>
    <sheet name="CCI LLM API" sheetId="27" r:id="rId12"/>
    <sheet name="CCI Script" sheetId="28" r:id="rId13"/>
    <sheet name="AVB" sheetId="30" r:id="rId14"/>
    <sheet name="AVB Manual" sheetId="14" r:id="rId15"/>
    <sheet name="AVB LLM API" sheetId="20" r:id="rId16"/>
    <sheet name="AVB Script" sheetId="22" r:id="rId17"/>
    <sheet name="AMT" sheetId="32" r:id="rId18"/>
    <sheet name="AMT Manual" sheetId="33" r:id="rId19"/>
    <sheet name="AMT LLM API" sheetId="34" r:id="rId20"/>
    <sheet name="AMT Script" sheetId="35" r:id="rId21"/>
    <sheet name="EBITDA Check" sheetId="3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4" l="1"/>
  <c r="R90" i="24"/>
  <c r="Q89" i="24"/>
  <c r="K89" i="24"/>
  <c r="L90" i="24"/>
  <c r="K87" i="24"/>
  <c r="L87" i="24"/>
  <c r="L71" i="24"/>
  <c r="K71" i="24"/>
  <c r="L54" i="24"/>
  <c r="K54" i="24"/>
  <c r="L39" i="24"/>
  <c r="K39" i="24"/>
  <c r="L26" i="24"/>
  <c r="K26" i="24"/>
  <c r="N52" i="24"/>
  <c r="J20" i="24"/>
  <c r="L40" i="20"/>
  <c r="L20" i="20"/>
  <c r="L58" i="20"/>
  <c r="L76" i="20"/>
  <c r="BJ83" i="24"/>
  <c r="BJ82" i="24"/>
  <c r="BJ81" i="24"/>
  <c r="BJ80" i="24"/>
  <c r="BJ67" i="24"/>
  <c r="BJ66" i="24"/>
  <c r="BJ65" i="24"/>
  <c r="BJ64" i="24"/>
  <c r="BJ50" i="24"/>
  <c r="BJ49" i="24"/>
  <c r="BJ48" i="24"/>
  <c r="BJ47" i="24"/>
  <c r="BJ35" i="24"/>
  <c r="BJ34" i="24"/>
  <c r="BJ33" i="24"/>
  <c r="BJ32" i="24"/>
  <c r="BJ20" i="24"/>
  <c r="BJ21" i="24"/>
  <c r="BJ22" i="24"/>
  <c r="BJ19" i="24"/>
  <c r="M70" i="24"/>
  <c r="M53" i="24"/>
  <c r="M38" i="24"/>
  <c r="N36" i="24"/>
  <c r="AY83" i="24"/>
  <c r="AY82" i="24"/>
  <c r="AY81" i="24"/>
  <c r="AY80" i="24"/>
  <c r="AY67" i="24"/>
  <c r="AY66" i="24"/>
  <c r="AY65" i="24"/>
  <c r="AY64" i="24"/>
  <c r="AY50" i="24"/>
  <c r="AY49" i="24"/>
  <c r="AY48" i="24"/>
  <c r="AY47" i="24"/>
  <c r="AY35" i="24"/>
  <c r="AY34" i="24"/>
  <c r="AY33" i="24"/>
  <c r="AY32" i="24"/>
  <c r="AK83" i="24"/>
  <c r="AK82" i="24"/>
  <c r="AK81" i="24"/>
  <c r="AK80" i="24"/>
  <c r="AK67" i="24"/>
  <c r="AK66" i="24"/>
  <c r="AK65" i="24"/>
  <c r="AK64" i="24"/>
  <c r="AK50" i="24"/>
  <c r="AK49" i="24"/>
  <c r="AK48" i="24"/>
  <c r="AK47" i="24"/>
  <c r="AK35" i="24"/>
  <c r="AK34" i="24"/>
  <c r="AK33" i="24"/>
  <c r="AK32" i="24"/>
  <c r="AK19" i="24"/>
  <c r="AK20" i="24"/>
  <c r="W83" i="24"/>
  <c r="V83" i="24"/>
  <c r="W82" i="24"/>
  <c r="V82" i="24"/>
  <c r="W81" i="24"/>
  <c r="V81" i="24"/>
  <c r="W80" i="24"/>
  <c r="V80" i="24"/>
  <c r="W67" i="24"/>
  <c r="V67" i="24"/>
  <c r="W66" i="24"/>
  <c r="V66" i="24"/>
  <c r="W65" i="24"/>
  <c r="V65" i="24"/>
  <c r="W64" i="24"/>
  <c r="V64" i="24"/>
  <c r="W50" i="24"/>
  <c r="V50" i="24"/>
  <c r="W49" i="24"/>
  <c r="V49" i="24"/>
  <c r="W48" i="24"/>
  <c r="V48" i="24"/>
  <c r="W47" i="24"/>
  <c r="V47" i="24"/>
  <c r="W35" i="24"/>
  <c r="V35" i="24"/>
  <c r="W34" i="24"/>
  <c r="V34" i="24"/>
  <c r="W33" i="24"/>
  <c r="V33" i="24"/>
  <c r="W32" i="24"/>
  <c r="V32" i="24"/>
  <c r="V21" i="24"/>
  <c r="W21" i="24"/>
  <c r="V22" i="24"/>
  <c r="W22" i="24"/>
  <c r="W20" i="24"/>
  <c r="S83" i="24"/>
  <c r="S82" i="24"/>
  <c r="S81" i="24"/>
  <c r="S84" i="24" s="1"/>
  <c r="S80" i="24"/>
  <c r="S50" i="24"/>
  <c r="S49" i="24"/>
  <c r="S48" i="24"/>
  <c r="S47" i="24"/>
  <c r="S51" i="24" s="1"/>
  <c r="S35" i="24"/>
  <c r="S34" i="24"/>
  <c r="S33" i="24"/>
  <c r="S36" i="24" s="1"/>
  <c r="S32" i="24"/>
  <c r="S67" i="24"/>
  <c r="S65" i="24"/>
  <c r="S64" i="24"/>
  <c r="S22" i="24"/>
  <c r="S21" i="24"/>
  <c r="S19" i="24"/>
  <c r="N67" i="24"/>
  <c r="N65" i="24"/>
  <c r="N64" i="24"/>
  <c r="N83" i="24"/>
  <c r="N82" i="24"/>
  <c r="N81" i="24"/>
  <c r="N80" i="24"/>
  <c r="N35" i="24"/>
  <c r="N34" i="24"/>
  <c r="N33" i="24"/>
  <c r="N32" i="24"/>
  <c r="N22" i="24"/>
  <c r="N21" i="24"/>
  <c r="N20" i="24"/>
  <c r="N23" i="24" s="1"/>
  <c r="N24" i="24" s="1"/>
  <c r="N19" i="24"/>
  <c r="N50" i="24"/>
  <c r="N49" i="24"/>
  <c r="N47" i="24"/>
  <c r="S66" i="24"/>
  <c r="S68" i="24"/>
  <c r="S23" i="24"/>
  <c r="S20" i="24"/>
  <c r="N66" i="24"/>
  <c r="N84" i="24"/>
  <c r="N48" i="24"/>
  <c r="R31" i="25"/>
  <c r="V54" i="38"/>
  <c r="V32" i="38"/>
  <c r="V31" i="38"/>
  <c r="U58" i="42"/>
  <c r="Q82" i="24"/>
  <c r="P81" i="24"/>
  <c r="L80" i="31"/>
  <c r="H80" i="31"/>
  <c r="H79" i="31"/>
  <c r="L79" i="31"/>
  <c r="H82" i="31"/>
  <c r="L83" i="31" s="1"/>
  <c r="L81" i="31"/>
  <c r="H81" i="31"/>
  <c r="L82" i="31" s="1"/>
  <c r="X57" i="43"/>
  <c r="X56" i="43"/>
  <c r="X55" i="43"/>
  <c r="S61" i="43"/>
  <c r="S44" i="43"/>
  <c r="X39" i="43"/>
  <c r="X38" i="43"/>
  <c r="X40" i="43" s="1"/>
  <c r="X7" i="43"/>
  <c r="X8" i="43" s="1"/>
  <c r="X6" i="43"/>
  <c r="S12" i="43"/>
  <c r="X23" i="43"/>
  <c r="X22" i="43"/>
  <c r="S28" i="43"/>
  <c r="M64" i="42"/>
  <c r="J81" i="24"/>
  <c r="M83" i="24"/>
  <c r="M82" i="24"/>
  <c r="M81" i="24"/>
  <c r="M80" i="24"/>
  <c r="M86" i="24" s="1"/>
  <c r="U41" i="42"/>
  <c r="U40" i="42"/>
  <c r="U39" i="42"/>
  <c r="S5" i="41"/>
  <c r="S20" i="41"/>
  <c r="S35" i="41"/>
  <c r="S50" i="41"/>
  <c r="S49" i="41"/>
  <c r="S48" i="41"/>
  <c r="S34" i="41"/>
  <c r="S33" i="41"/>
  <c r="S36" i="41" s="1"/>
  <c r="S19" i="41"/>
  <c r="S18" i="41"/>
  <c r="S4" i="41"/>
  <c r="S3" i="41"/>
  <c r="S6" i="41" s="1"/>
  <c r="U8" i="42"/>
  <c r="U7" i="42"/>
  <c r="U6" i="42"/>
  <c r="U25" i="42"/>
  <c r="U24" i="42"/>
  <c r="U23" i="42"/>
  <c r="U57" i="42"/>
  <c r="U56" i="42"/>
  <c r="U55" i="42"/>
  <c r="J64" i="42"/>
  <c r="M48" i="42"/>
  <c r="J48" i="42"/>
  <c r="O64" i="42"/>
  <c r="P63" i="42"/>
  <c r="O63" i="42"/>
  <c r="P62" i="42"/>
  <c r="O62" i="42"/>
  <c r="P61" i="42"/>
  <c r="O61" i="42"/>
  <c r="P60" i="42"/>
  <c r="O60" i="42"/>
  <c r="P59" i="42"/>
  <c r="O59" i="42"/>
  <c r="P58" i="42"/>
  <c r="O58" i="42"/>
  <c r="P57" i="42"/>
  <c r="O57" i="42"/>
  <c r="P56" i="42"/>
  <c r="O56" i="42"/>
  <c r="P55" i="42"/>
  <c r="O55" i="42"/>
  <c r="P54" i="42"/>
  <c r="O54" i="42"/>
  <c r="O48" i="42"/>
  <c r="P47" i="42"/>
  <c r="O47" i="42"/>
  <c r="P46" i="42"/>
  <c r="O46" i="42"/>
  <c r="P45" i="42"/>
  <c r="O45" i="42"/>
  <c r="P44" i="42"/>
  <c r="O44" i="42"/>
  <c r="P43" i="42"/>
  <c r="O43" i="42"/>
  <c r="P42" i="42"/>
  <c r="O42" i="42"/>
  <c r="P41" i="42"/>
  <c r="O41" i="42"/>
  <c r="P40" i="42"/>
  <c r="O40" i="42"/>
  <c r="P39" i="42"/>
  <c r="O39" i="42"/>
  <c r="P38" i="42"/>
  <c r="O38" i="42"/>
  <c r="O32" i="42"/>
  <c r="P31" i="42"/>
  <c r="O31" i="42"/>
  <c r="P30" i="42"/>
  <c r="O30" i="42"/>
  <c r="P29" i="42"/>
  <c r="O29" i="42"/>
  <c r="P28" i="42"/>
  <c r="O28" i="42"/>
  <c r="P27" i="42"/>
  <c r="O27" i="42"/>
  <c r="P26" i="42"/>
  <c r="O26" i="42"/>
  <c r="P25" i="42"/>
  <c r="O25" i="42"/>
  <c r="P24" i="42"/>
  <c r="O24" i="42"/>
  <c r="P23" i="42"/>
  <c r="O23" i="42"/>
  <c r="P22" i="42"/>
  <c r="O22" i="42"/>
  <c r="M32" i="42"/>
  <c r="J32" i="42"/>
  <c r="O6" i="42"/>
  <c r="P6" i="42"/>
  <c r="O7" i="42"/>
  <c r="P7" i="42"/>
  <c r="O8" i="42"/>
  <c r="P8" i="42"/>
  <c r="O9" i="42"/>
  <c r="P9" i="42"/>
  <c r="O10" i="42"/>
  <c r="P10" i="42"/>
  <c r="O11" i="42"/>
  <c r="P11" i="42"/>
  <c r="O12" i="42"/>
  <c r="P12" i="42"/>
  <c r="O13" i="42"/>
  <c r="P13" i="42"/>
  <c r="O14" i="42"/>
  <c r="P14" i="42"/>
  <c r="O15" i="42"/>
  <c r="P15" i="42"/>
  <c r="O16" i="42"/>
  <c r="P5" i="42"/>
  <c r="O5" i="42"/>
  <c r="M16" i="42"/>
  <c r="J16" i="42"/>
  <c r="C14" i="41"/>
  <c r="C29" i="41"/>
  <c r="C44" i="41"/>
  <c r="C59" i="41"/>
  <c r="L62" i="31"/>
  <c r="L61" i="31"/>
  <c r="H61" i="31"/>
  <c r="L65" i="31"/>
  <c r="H63" i="31"/>
  <c r="L64" i="31" s="1"/>
  <c r="H62" i="31"/>
  <c r="L63" i="31" s="1"/>
  <c r="H64" i="31"/>
  <c r="Q65" i="24"/>
  <c r="AB14" i="39"/>
  <c r="AA14" i="39"/>
  <c r="AC13" i="39"/>
  <c r="AH9" i="39" s="1"/>
  <c r="AC12" i="39"/>
  <c r="AC11" i="39"/>
  <c r="AC10" i="39"/>
  <c r="AC9" i="39"/>
  <c r="AC8" i="39"/>
  <c r="AB33" i="39"/>
  <c r="AA33" i="39"/>
  <c r="AC32" i="39"/>
  <c r="AH28" i="39" s="1"/>
  <c r="AC31" i="39"/>
  <c r="AC30" i="39"/>
  <c r="AC29" i="39"/>
  <c r="AC28" i="39"/>
  <c r="AC27" i="39"/>
  <c r="AB66" i="39"/>
  <c r="AA66" i="39"/>
  <c r="AC65" i="39"/>
  <c r="AH61" i="39" s="1"/>
  <c r="AC64" i="39"/>
  <c r="AC63" i="39"/>
  <c r="AC62" i="39"/>
  <c r="AC61" i="39"/>
  <c r="AC60" i="39"/>
  <c r="AH41" i="39"/>
  <c r="AH40" i="39"/>
  <c r="AA46" i="39"/>
  <c r="AB46" i="39"/>
  <c r="AC41" i="39"/>
  <c r="AC42" i="39"/>
  <c r="AC43" i="39"/>
  <c r="AC44" i="39"/>
  <c r="AC45" i="39"/>
  <c r="AC40" i="39"/>
  <c r="N37" i="37"/>
  <c r="P66" i="24"/>
  <c r="J48" i="24"/>
  <c r="J66" i="24"/>
  <c r="H40" i="38"/>
  <c r="N37" i="38"/>
  <c r="M67" i="24"/>
  <c r="M64" i="24"/>
  <c r="M65" i="24"/>
  <c r="M66" i="24"/>
  <c r="V76" i="38"/>
  <c r="V75" i="38"/>
  <c r="V74" i="38"/>
  <c r="V73" i="38"/>
  <c r="H79" i="38"/>
  <c r="H81" i="38"/>
  <c r="V55" i="38"/>
  <c r="V56" i="38" s="1"/>
  <c r="V53" i="38"/>
  <c r="H61" i="38"/>
  <c r="M47" i="38"/>
  <c r="N47" i="38"/>
  <c r="M48" i="38"/>
  <c r="N48" i="38"/>
  <c r="M49" i="38"/>
  <c r="N49" i="38"/>
  <c r="M50" i="38"/>
  <c r="N50" i="38"/>
  <c r="M51" i="38"/>
  <c r="N51" i="38"/>
  <c r="M52" i="38"/>
  <c r="N52" i="38"/>
  <c r="M53" i="38"/>
  <c r="N53" i="38"/>
  <c r="M54" i="38"/>
  <c r="N54" i="38"/>
  <c r="M55" i="38"/>
  <c r="N55" i="38"/>
  <c r="M56" i="38"/>
  <c r="N56" i="38"/>
  <c r="M57" i="38"/>
  <c r="N57" i="38"/>
  <c r="M58" i="38"/>
  <c r="N58" i="38"/>
  <c r="M59" i="38"/>
  <c r="V33" i="38"/>
  <c r="H38" i="38"/>
  <c r="V16" i="38"/>
  <c r="V15" i="38"/>
  <c r="V14" i="38"/>
  <c r="H19" i="38"/>
  <c r="N17" i="38"/>
  <c r="N13" i="38"/>
  <c r="N11" i="38"/>
  <c r="N9" i="38"/>
  <c r="N8" i="38"/>
  <c r="N7" i="38"/>
  <c r="E15" i="37"/>
  <c r="N5" i="37"/>
  <c r="N4" i="37"/>
  <c r="E4" i="37"/>
  <c r="E5" i="37"/>
  <c r="E6" i="37"/>
  <c r="E7" i="37"/>
  <c r="N3" i="37" s="1"/>
  <c r="E8" i="37"/>
  <c r="E9" i="37"/>
  <c r="E10" i="37"/>
  <c r="E11" i="37"/>
  <c r="E12" i="37"/>
  <c r="E13" i="37"/>
  <c r="E14" i="37"/>
  <c r="H21" i="38"/>
  <c r="G16" i="37"/>
  <c r="K79" i="38"/>
  <c r="N59" i="38"/>
  <c r="H59" i="38"/>
  <c r="M67" i="38"/>
  <c r="N67" i="38"/>
  <c r="M68" i="38"/>
  <c r="N68" i="38"/>
  <c r="M69" i="38"/>
  <c r="N69" i="38"/>
  <c r="M70" i="38"/>
  <c r="N70" i="38"/>
  <c r="M71" i="38"/>
  <c r="N71" i="38"/>
  <c r="M72" i="38"/>
  <c r="N72" i="38"/>
  <c r="M73" i="38"/>
  <c r="N73" i="38"/>
  <c r="M74" i="38"/>
  <c r="N74" i="38"/>
  <c r="M75" i="38"/>
  <c r="N75" i="38"/>
  <c r="M76" i="38"/>
  <c r="N76" i="38"/>
  <c r="M77" i="38"/>
  <c r="N77" i="38"/>
  <c r="M78" i="38"/>
  <c r="N78" i="38"/>
  <c r="M79" i="38"/>
  <c r="M26" i="38"/>
  <c r="N26" i="38"/>
  <c r="M27" i="38"/>
  <c r="N27" i="38"/>
  <c r="M28" i="38"/>
  <c r="N28" i="38"/>
  <c r="M29" i="38"/>
  <c r="N29" i="38"/>
  <c r="M30" i="38"/>
  <c r="N30" i="38"/>
  <c r="M31" i="38"/>
  <c r="N31" i="38"/>
  <c r="M32" i="38"/>
  <c r="N32" i="38"/>
  <c r="M33" i="38"/>
  <c r="N33" i="38"/>
  <c r="M34" i="38"/>
  <c r="N34" i="38"/>
  <c r="M35" i="38"/>
  <c r="N35" i="38"/>
  <c r="M36" i="38"/>
  <c r="N36" i="38"/>
  <c r="M37" i="38"/>
  <c r="M38" i="38"/>
  <c r="M7" i="38"/>
  <c r="M8" i="38"/>
  <c r="M9" i="38"/>
  <c r="M10" i="38"/>
  <c r="N10" i="38"/>
  <c r="M11" i="38"/>
  <c r="M12" i="38"/>
  <c r="N12" i="38"/>
  <c r="M13" i="38"/>
  <c r="M14" i="38"/>
  <c r="N14" i="38"/>
  <c r="M15" i="38"/>
  <c r="N15" i="38"/>
  <c r="M16" i="38"/>
  <c r="N16" i="38"/>
  <c r="M17" i="38"/>
  <c r="M18" i="38"/>
  <c r="N18" i="38"/>
  <c r="M19" i="38"/>
  <c r="N66" i="38"/>
  <c r="M66" i="38"/>
  <c r="N46" i="38"/>
  <c r="M46" i="38"/>
  <c r="N25" i="38"/>
  <c r="M25" i="38"/>
  <c r="N6" i="38"/>
  <c r="M6" i="38"/>
  <c r="E3" i="37"/>
  <c r="E60" i="37"/>
  <c r="E61" i="37"/>
  <c r="E62" i="37"/>
  <c r="E63" i="37"/>
  <c r="E64" i="37"/>
  <c r="E65" i="37"/>
  <c r="E66" i="37"/>
  <c r="E67" i="37"/>
  <c r="E68" i="37"/>
  <c r="E69" i="37"/>
  <c r="E70" i="37"/>
  <c r="E5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I49" i="37"/>
  <c r="H49" i="37"/>
  <c r="G49" i="37"/>
  <c r="I15" i="37"/>
  <c r="H15" i="37"/>
  <c r="G15" i="37"/>
  <c r="I32" i="37"/>
  <c r="H32" i="37"/>
  <c r="G32" i="37"/>
  <c r="G33" i="37" s="1"/>
  <c r="I71" i="37"/>
  <c r="H71" i="37"/>
  <c r="G71" i="37"/>
  <c r="D15" i="37"/>
  <c r="C15" i="37"/>
  <c r="D32" i="37"/>
  <c r="C32" i="37"/>
  <c r="E31" i="37"/>
  <c r="E30" i="37"/>
  <c r="N22" i="37" s="1"/>
  <c r="E29" i="37"/>
  <c r="E28" i="37"/>
  <c r="E27" i="37"/>
  <c r="E26" i="37"/>
  <c r="E25" i="37"/>
  <c r="E24" i="37"/>
  <c r="E23" i="37"/>
  <c r="E22" i="37"/>
  <c r="E21" i="37"/>
  <c r="E20" i="37"/>
  <c r="D49" i="37"/>
  <c r="C49" i="37"/>
  <c r="D71" i="37"/>
  <c r="C71" i="37"/>
  <c r="L8" i="31"/>
  <c r="L9" i="31"/>
  <c r="L7" i="31"/>
  <c r="H8" i="31"/>
  <c r="H5" i="31"/>
  <c r="L5" i="31" s="1"/>
  <c r="L6" i="31" s="1"/>
  <c r="H7" i="31"/>
  <c r="H6" i="31"/>
  <c r="H45" i="31"/>
  <c r="L46" i="31" s="1"/>
  <c r="H43" i="31"/>
  <c r="L44" i="31" s="1"/>
  <c r="H25" i="31"/>
  <c r="L26" i="31" s="1"/>
  <c r="H26" i="31"/>
  <c r="L27" i="31" s="1"/>
  <c r="H42" i="31"/>
  <c r="L42" i="31" s="1"/>
  <c r="H44" i="31"/>
  <c r="L45" i="31" s="1"/>
  <c r="P48" i="24"/>
  <c r="X9" i="35"/>
  <c r="X6" i="35"/>
  <c r="U49" i="35"/>
  <c r="U50" i="35"/>
  <c r="S51" i="35"/>
  <c r="U48" i="35"/>
  <c r="U47" i="35"/>
  <c r="U46" i="35"/>
  <c r="U45" i="35"/>
  <c r="U44" i="35"/>
  <c r="U43" i="35"/>
  <c r="U42" i="35"/>
  <c r="U41" i="35"/>
  <c r="U40" i="35"/>
  <c r="U39" i="35"/>
  <c r="U38" i="35"/>
  <c r="U37" i="35"/>
  <c r="U36" i="35"/>
  <c r="U35" i="35"/>
  <c r="U34" i="35"/>
  <c r="U33" i="35"/>
  <c r="U32" i="35"/>
  <c r="U31" i="35"/>
  <c r="U30" i="35"/>
  <c r="U29" i="35"/>
  <c r="U28" i="35"/>
  <c r="U27" i="35"/>
  <c r="U26" i="35"/>
  <c r="U25" i="35"/>
  <c r="U24" i="35"/>
  <c r="U23" i="35"/>
  <c r="U22" i="35"/>
  <c r="U21" i="35"/>
  <c r="U20" i="35"/>
  <c r="U19" i="35"/>
  <c r="U18" i="35"/>
  <c r="U17" i="35"/>
  <c r="U16" i="35"/>
  <c r="U15" i="35"/>
  <c r="U14" i="35"/>
  <c r="U13" i="35"/>
  <c r="U12" i="35"/>
  <c r="U11" i="35"/>
  <c r="U10" i="35"/>
  <c r="U9" i="35"/>
  <c r="U8" i="35"/>
  <c r="U7" i="35"/>
  <c r="Y6" i="35"/>
  <c r="U6" i="35"/>
  <c r="U5" i="35"/>
  <c r="U4" i="35"/>
  <c r="X7" i="35" s="1"/>
  <c r="U3" i="35"/>
  <c r="X10" i="35" s="1"/>
  <c r="Y162" i="35"/>
  <c r="S203" i="35"/>
  <c r="U202" i="35"/>
  <c r="U201" i="35"/>
  <c r="U200" i="35"/>
  <c r="U199" i="35"/>
  <c r="U198" i="35"/>
  <c r="U197" i="35"/>
  <c r="U196" i="35"/>
  <c r="U195" i="35"/>
  <c r="U194" i="35"/>
  <c r="U193" i="35"/>
  <c r="U192" i="35"/>
  <c r="U191" i="35"/>
  <c r="U190" i="35"/>
  <c r="U189" i="35"/>
  <c r="U188" i="35"/>
  <c r="U187" i="35"/>
  <c r="U186" i="35"/>
  <c r="U185" i="35"/>
  <c r="U184" i="35"/>
  <c r="U183" i="35"/>
  <c r="U182" i="35"/>
  <c r="U181" i="35"/>
  <c r="U180" i="35"/>
  <c r="U179" i="35"/>
  <c r="U178" i="35"/>
  <c r="U177" i="35"/>
  <c r="U176" i="35"/>
  <c r="U175" i="35"/>
  <c r="U174" i="35"/>
  <c r="U173" i="35"/>
  <c r="U172" i="35"/>
  <c r="U171" i="35"/>
  <c r="U170" i="35"/>
  <c r="U169" i="35"/>
  <c r="U168" i="35"/>
  <c r="U167" i="35"/>
  <c r="U166" i="35"/>
  <c r="U165" i="35"/>
  <c r="X162" i="35" s="1"/>
  <c r="U164" i="35"/>
  <c r="U163" i="35"/>
  <c r="U162" i="35"/>
  <c r="U161" i="35"/>
  <c r="U160" i="35"/>
  <c r="X167" i="35" s="1"/>
  <c r="U159" i="35"/>
  <c r="U158" i="35"/>
  <c r="X166" i="35" s="1"/>
  <c r="S154" i="35"/>
  <c r="Y111" i="35"/>
  <c r="U153" i="35"/>
  <c r="U152" i="35"/>
  <c r="U151" i="35"/>
  <c r="U150" i="35"/>
  <c r="U149" i="35"/>
  <c r="U148" i="35"/>
  <c r="U147" i="35"/>
  <c r="U146" i="35"/>
  <c r="U145" i="35"/>
  <c r="U144" i="35"/>
  <c r="U143" i="35"/>
  <c r="U142" i="35"/>
  <c r="U141" i="35"/>
  <c r="U140" i="35"/>
  <c r="U139" i="35"/>
  <c r="U138" i="35"/>
  <c r="U137" i="35"/>
  <c r="U136" i="35"/>
  <c r="U135" i="35"/>
  <c r="U134" i="35"/>
  <c r="U133" i="35"/>
  <c r="U132" i="35"/>
  <c r="U131" i="35"/>
  <c r="U130" i="35"/>
  <c r="U129" i="35"/>
  <c r="U128" i="35"/>
  <c r="U127" i="35"/>
  <c r="U126" i="35"/>
  <c r="U125" i="35"/>
  <c r="U124" i="35"/>
  <c r="U123" i="35"/>
  <c r="U122" i="35"/>
  <c r="U121" i="35"/>
  <c r="U120" i="35"/>
  <c r="U119" i="35"/>
  <c r="U118" i="35"/>
  <c r="U117" i="35"/>
  <c r="U116" i="35"/>
  <c r="X113" i="35" s="1"/>
  <c r="U115" i="35"/>
  <c r="U114" i="35"/>
  <c r="U113" i="35"/>
  <c r="U112" i="35"/>
  <c r="U111" i="35"/>
  <c r="X118" i="35" s="1"/>
  <c r="U110" i="35"/>
  <c r="U109" i="35"/>
  <c r="U108" i="35"/>
  <c r="X117" i="35" s="1"/>
  <c r="Y59" i="35"/>
  <c r="U60" i="35"/>
  <c r="U61" i="35"/>
  <c r="U62" i="35"/>
  <c r="U63" i="35"/>
  <c r="U64" i="35"/>
  <c r="U65" i="35"/>
  <c r="U66" i="35"/>
  <c r="U67" i="35"/>
  <c r="U68" i="35"/>
  <c r="U69" i="35"/>
  <c r="U70" i="35"/>
  <c r="U71" i="35"/>
  <c r="U72" i="35"/>
  <c r="U73" i="35"/>
  <c r="U74" i="35"/>
  <c r="U75" i="35"/>
  <c r="U76" i="35"/>
  <c r="U77" i="35"/>
  <c r="U78" i="35"/>
  <c r="U79" i="35"/>
  <c r="U80" i="35"/>
  <c r="U81" i="35"/>
  <c r="U82" i="35"/>
  <c r="U83" i="35"/>
  <c r="U84" i="35"/>
  <c r="U85" i="35"/>
  <c r="U86" i="35"/>
  <c r="U87" i="35"/>
  <c r="U88" i="35"/>
  <c r="U89" i="35"/>
  <c r="U90" i="35"/>
  <c r="U91" i="35"/>
  <c r="U92" i="35"/>
  <c r="U93" i="35"/>
  <c r="U94" i="35"/>
  <c r="U95" i="35"/>
  <c r="U96" i="35"/>
  <c r="U97" i="35"/>
  <c r="U98" i="35"/>
  <c r="U99" i="35"/>
  <c r="U100" i="35"/>
  <c r="U101" i="35"/>
  <c r="S102" i="35"/>
  <c r="U57" i="35"/>
  <c r="U58" i="35"/>
  <c r="U59" i="35"/>
  <c r="U56" i="35"/>
  <c r="M50" i="24"/>
  <c r="M49" i="24"/>
  <c r="M48" i="24"/>
  <c r="M47" i="24"/>
  <c r="G85" i="34"/>
  <c r="J61" i="34"/>
  <c r="M41" i="34"/>
  <c r="L83" i="34"/>
  <c r="L69" i="34"/>
  <c r="M69" i="34"/>
  <c r="L70" i="34"/>
  <c r="M70" i="34"/>
  <c r="L71" i="34"/>
  <c r="M71" i="34"/>
  <c r="L72" i="34"/>
  <c r="M72" i="34"/>
  <c r="L73" i="34"/>
  <c r="M73" i="34"/>
  <c r="L74" i="34"/>
  <c r="M74" i="34"/>
  <c r="L75" i="34"/>
  <c r="M75" i="34"/>
  <c r="L76" i="34"/>
  <c r="M76" i="34"/>
  <c r="L77" i="34"/>
  <c r="M77" i="34"/>
  <c r="L78" i="34"/>
  <c r="M78" i="34"/>
  <c r="L79" i="34"/>
  <c r="M79" i="34"/>
  <c r="L80" i="34"/>
  <c r="M80" i="34"/>
  <c r="L81" i="34"/>
  <c r="M81" i="34"/>
  <c r="L82" i="34"/>
  <c r="M82" i="34"/>
  <c r="G83" i="34"/>
  <c r="L53" i="34"/>
  <c r="M53" i="34"/>
  <c r="L54" i="34"/>
  <c r="M54" i="34"/>
  <c r="L55" i="34"/>
  <c r="M55" i="34"/>
  <c r="L56" i="34"/>
  <c r="M56" i="34"/>
  <c r="L57" i="34"/>
  <c r="M57" i="34"/>
  <c r="L58" i="34"/>
  <c r="M58" i="34"/>
  <c r="L59" i="34"/>
  <c r="M59" i="34"/>
  <c r="L60" i="34"/>
  <c r="M60" i="34"/>
  <c r="L61" i="34"/>
  <c r="G61" i="34"/>
  <c r="M61" i="34" s="1"/>
  <c r="L32" i="34"/>
  <c r="M32" i="34"/>
  <c r="L33" i="34"/>
  <c r="M33" i="34"/>
  <c r="L34" i="34"/>
  <c r="M34" i="34"/>
  <c r="L35" i="34"/>
  <c r="M35" i="34"/>
  <c r="L36" i="34"/>
  <c r="M36" i="34"/>
  <c r="G41" i="34"/>
  <c r="J21" i="34"/>
  <c r="M21" i="34" s="1"/>
  <c r="L10" i="34"/>
  <c r="M10" i="34"/>
  <c r="L11" i="34"/>
  <c r="M11" i="34"/>
  <c r="L12" i="34"/>
  <c r="M12" i="34"/>
  <c r="L13" i="34"/>
  <c r="M13" i="34"/>
  <c r="L14" i="34"/>
  <c r="M14" i="34"/>
  <c r="L15" i="34"/>
  <c r="M15" i="34"/>
  <c r="G21" i="34"/>
  <c r="M68" i="34"/>
  <c r="L68" i="34"/>
  <c r="M52" i="34"/>
  <c r="L52" i="34"/>
  <c r="M51" i="34"/>
  <c r="L51" i="34"/>
  <c r="M50" i="34"/>
  <c r="L50" i="34"/>
  <c r="M49" i="34"/>
  <c r="L49" i="34"/>
  <c r="M48" i="34"/>
  <c r="L48" i="34"/>
  <c r="M47" i="34"/>
  <c r="L47" i="34"/>
  <c r="L41" i="34"/>
  <c r="M40" i="34"/>
  <c r="L40" i="34"/>
  <c r="M39" i="34"/>
  <c r="L39" i="34"/>
  <c r="M38" i="34"/>
  <c r="L38" i="34"/>
  <c r="M37" i="34"/>
  <c r="L37" i="34"/>
  <c r="M31" i="34"/>
  <c r="L31" i="34"/>
  <c r="M30" i="34"/>
  <c r="L30" i="34"/>
  <c r="M29" i="34"/>
  <c r="L29" i="34"/>
  <c r="M28" i="34"/>
  <c r="L28" i="34"/>
  <c r="M27" i="34"/>
  <c r="L27" i="34"/>
  <c r="L7" i="34"/>
  <c r="M7" i="34"/>
  <c r="L8" i="34"/>
  <c r="M8" i="34"/>
  <c r="L9" i="34"/>
  <c r="M9" i="34"/>
  <c r="L16" i="34"/>
  <c r="M16" i="34"/>
  <c r="L17" i="34"/>
  <c r="M17" i="34"/>
  <c r="L18" i="34"/>
  <c r="M18" i="34"/>
  <c r="L19" i="34"/>
  <c r="M19" i="34"/>
  <c r="L20" i="34"/>
  <c r="M20" i="34"/>
  <c r="L21" i="34"/>
  <c r="M6" i="34"/>
  <c r="L6" i="34"/>
  <c r="H68" i="33"/>
  <c r="H45" i="33"/>
  <c r="H25" i="33"/>
  <c r="H7" i="33"/>
  <c r="H5" i="33"/>
  <c r="C78" i="33"/>
  <c r="H4" i="33"/>
  <c r="H3" i="33"/>
  <c r="H24" i="33"/>
  <c r="H23" i="33"/>
  <c r="H44" i="33"/>
  <c r="H43" i="33"/>
  <c r="H66" i="33"/>
  <c r="H65" i="33"/>
  <c r="H64" i="33"/>
  <c r="C56" i="33"/>
  <c r="C36" i="33"/>
  <c r="C17" i="33"/>
  <c r="D23" i="31"/>
  <c r="H23" i="31" s="1"/>
  <c r="L23" i="31" s="1"/>
  <c r="H24" i="31"/>
  <c r="L25" i="31" s="1"/>
  <c r="AG112" i="28"/>
  <c r="AG113" i="28" s="1"/>
  <c r="AG111" i="28"/>
  <c r="AG110" i="28"/>
  <c r="AG77" i="28"/>
  <c r="AG76" i="28"/>
  <c r="AG75" i="28"/>
  <c r="AG78" i="28" s="1"/>
  <c r="AG43" i="28"/>
  <c r="AG42" i="28"/>
  <c r="AG41" i="28"/>
  <c r="AG44" i="28" s="1"/>
  <c r="AG8" i="28"/>
  <c r="AG7" i="28"/>
  <c r="AG6" i="28"/>
  <c r="AG9" i="28"/>
  <c r="P33" i="24"/>
  <c r="AB20" i="28"/>
  <c r="AB6" i="28"/>
  <c r="AB7" i="28"/>
  <c r="AB9" i="28"/>
  <c r="AB10" i="28"/>
  <c r="AB11" i="28"/>
  <c r="AB12" i="28"/>
  <c r="AB13" i="28"/>
  <c r="AB14" i="28"/>
  <c r="AB15" i="28"/>
  <c r="AB16" i="28"/>
  <c r="AB17" i="28"/>
  <c r="AB18" i="28"/>
  <c r="AB19" i="28"/>
  <c r="AB8" i="28"/>
  <c r="Y35" i="28"/>
  <c r="AB41" i="28"/>
  <c r="AB42" i="28"/>
  <c r="AB44" i="28"/>
  <c r="AB45" i="28"/>
  <c r="AB46" i="28"/>
  <c r="AB47" i="28"/>
  <c r="AB48" i="28"/>
  <c r="AB49" i="28"/>
  <c r="AB50" i="28"/>
  <c r="AB51" i="28"/>
  <c r="AB52" i="28"/>
  <c r="AB53" i="28"/>
  <c r="AB54" i="28"/>
  <c r="AB55" i="28"/>
  <c r="AB43" i="28"/>
  <c r="Y70" i="28"/>
  <c r="AB125" i="28"/>
  <c r="Y138" i="28"/>
  <c r="Y103" i="28"/>
  <c r="AB76" i="28"/>
  <c r="AB77" i="28"/>
  <c r="AB78" i="28"/>
  <c r="AB79" i="28"/>
  <c r="AB80" i="28"/>
  <c r="AB81" i="28"/>
  <c r="AB82" i="28"/>
  <c r="AB83" i="28"/>
  <c r="AB84" i="28"/>
  <c r="AB85" i="28"/>
  <c r="AB86" i="28"/>
  <c r="AB87" i="28"/>
  <c r="AB88" i="28"/>
  <c r="AB89" i="28"/>
  <c r="AB90" i="28"/>
  <c r="AB75" i="28"/>
  <c r="AB111" i="28"/>
  <c r="AB112" i="28"/>
  <c r="AB113" i="28"/>
  <c r="AB114" i="28"/>
  <c r="AB115" i="28"/>
  <c r="AB116" i="28"/>
  <c r="AB117" i="28"/>
  <c r="AB118" i="28"/>
  <c r="AB119" i="28"/>
  <c r="AB120" i="28"/>
  <c r="AB121" i="28"/>
  <c r="AB122" i="28"/>
  <c r="AB123" i="28"/>
  <c r="AB124" i="28"/>
  <c r="AB110" i="28"/>
  <c r="J33" i="24"/>
  <c r="K34" i="24"/>
  <c r="H103" i="27"/>
  <c r="M35" i="24" s="1"/>
  <c r="H77" i="27"/>
  <c r="M34" i="24" s="1"/>
  <c r="H26" i="27"/>
  <c r="M32" i="24" s="1"/>
  <c r="H22" i="27"/>
  <c r="H24" i="27" s="1"/>
  <c r="N24" i="27" s="1"/>
  <c r="H50" i="27"/>
  <c r="M33" i="24" s="1"/>
  <c r="M31" i="27"/>
  <c r="N31" i="27"/>
  <c r="M32" i="27"/>
  <c r="N32" i="27"/>
  <c r="M33" i="27"/>
  <c r="N33" i="27"/>
  <c r="M34" i="27"/>
  <c r="N34" i="27"/>
  <c r="M35" i="27"/>
  <c r="N35" i="27"/>
  <c r="M36" i="27"/>
  <c r="N36" i="27"/>
  <c r="M37" i="27"/>
  <c r="N37" i="27"/>
  <c r="M38" i="27"/>
  <c r="N38" i="27"/>
  <c r="M39" i="27"/>
  <c r="N39" i="27"/>
  <c r="M40" i="27"/>
  <c r="N40" i="27"/>
  <c r="M41" i="27"/>
  <c r="N41" i="27"/>
  <c r="M42" i="27"/>
  <c r="N42" i="27"/>
  <c r="M43" i="27"/>
  <c r="N43" i="27"/>
  <c r="M44" i="27"/>
  <c r="N44" i="27"/>
  <c r="M45" i="27"/>
  <c r="N45" i="27"/>
  <c r="M46" i="27"/>
  <c r="M47" i="27"/>
  <c r="N47" i="27"/>
  <c r="M48" i="27"/>
  <c r="H46" i="27"/>
  <c r="H48" i="27" s="1"/>
  <c r="N48" i="27" s="1"/>
  <c r="M24" i="27"/>
  <c r="N23" i="27"/>
  <c r="M23" i="27"/>
  <c r="M22" i="27"/>
  <c r="N21" i="27"/>
  <c r="M21" i="27"/>
  <c r="N20" i="27"/>
  <c r="M20" i="27"/>
  <c r="N19" i="27"/>
  <c r="M19" i="27"/>
  <c r="N18" i="27"/>
  <c r="M18" i="27"/>
  <c r="N17" i="27"/>
  <c r="M17" i="27"/>
  <c r="N16" i="27"/>
  <c r="M16" i="27"/>
  <c r="N15" i="27"/>
  <c r="M15" i="27"/>
  <c r="N14" i="27"/>
  <c r="M14" i="27"/>
  <c r="N13" i="27"/>
  <c r="M13" i="27"/>
  <c r="N12" i="27"/>
  <c r="M12" i="27"/>
  <c r="N11" i="27"/>
  <c r="M11" i="27"/>
  <c r="N10" i="27"/>
  <c r="M10" i="27"/>
  <c r="N8" i="27"/>
  <c r="M8" i="27"/>
  <c r="N7" i="27"/>
  <c r="M7" i="27"/>
  <c r="N9" i="27"/>
  <c r="M9" i="27"/>
  <c r="N6" i="27"/>
  <c r="M6" i="27"/>
  <c r="M101" i="27"/>
  <c r="N100" i="27"/>
  <c r="M100" i="27"/>
  <c r="M99" i="27"/>
  <c r="N98" i="27"/>
  <c r="M98" i="27"/>
  <c r="N97" i="27"/>
  <c r="M97" i="27"/>
  <c r="N96" i="27"/>
  <c r="M96" i="27"/>
  <c r="N95" i="27"/>
  <c r="M95" i="27"/>
  <c r="N94" i="27"/>
  <c r="M94" i="27"/>
  <c r="N93" i="27"/>
  <c r="M93" i="27"/>
  <c r="N92" i="27"/>
  <c r="M92" i="27"/>
  <c r="N91" i="27"/>
  <c r="M91" i="27"/>
  <c r="N90" i="27"/>
  <c r="M90" i="27"/>
  <c r="N89" i="27"/>
  <c r="M89" i="27"/>
  <c r="N88" i="27"/>
  <c r="M88" i="27"/>
  <c r="N87" i="27"/>
  <c r="M87" i="27"/>
  <c r="N85" i="27"/>
  <c r="M85" i="27"/>
  <c r="N84" i="27"/>
  <c r="M84" i="27"/>
  <c r="N83" i="27"/>
  <c r="M83" i="27"/>
  <c r="N86" i="27"/>
  <c r="M86" i="27"/>
  <c r="N82" i="27"/>
  <c r="M82" i="27"/>
  <c r="M75" i="27"/>
  <c r="N74" i="27"/>
  <c r="M74" i="27"/>
  <c r="M73" i="27"/>
  <c r="N72" i="27"/>
  <c r="M72" i="27"/>
  <c r="N71" i="27"/>
  <c r="M71" i="27"/>
  <c r="N70" i="27"/>
  <c r="M70" i="27"/>
  <c r="N69" i="27"/>
  <c r="M69" i="27"/>
  <c r="N68" i="27"/>
  <c r="M68" i="27"/>
  <c r="N67" i="27"/>
  <c r="M67" i="27"/>
  <c r="N66" i="27"/>
  <c r="M66" i="27"/>
  <c r="N65" i="27"/>
  <c r="M65" i="27"/>
  <c r="N64" i="27"/>
  <c r="M64" i="27"/>
  <c r="N63" i="27"/>
  <c r="M63" i="27"/>
  <c r="N62" i="27"/>
  <c r="M62" i="27"/>
  <c r="N61" i="27"/>
  <c r="M61" i="27"/>
  <c r="N59" i="27"/>
  <c r="M59" i="27"/>
  <c r="N58" i="27"/>
  <c r="M58" i="27"/>
  <c r="N57" i="27"/>
  <c r="M57" i="27"/>
  <c r="N60" i="27"/>
  <c r="M60" i="27"/>
  <c r="N56" i="27"/>
  <c r="M56" i="27"/>
  <c r="H73" i="27"/>
  <c r="H75" i="27" s="1"/>
  <c r="N75" i="27" s="1"/>
  <c r="H99" i="27"/>
  <c r="H101" i="27" s="1"/>
  <c r="N101" i="27" s="1"/>
  <c r="N30" i="27"/>
  <c r="M30" i="27"/>
  <c r="R112" i="25"/>
  <c r="R113" i="25"/>
  <c r="R114" i="25"/>
  <c r="R116" i="25"/>
  <c r="R117" i="25"/>
  <c r="R118" i="25"/>
  <c r="R119" i="25"/>
  <c r="R120" i="25"/>
  <c r="R121" i="25"/>
  <c r="R122" i="25"/>
  <c r="R123" i="25"/>
  <c r="R124" i="25"/>
  <c r="R125" i="25"/>
  <c r="R126" i="25"/>
  <c r="R115" i="25"/>
  <c r="R80" i="25"/>
  <c r="R81" i="25"/>
  <c r="R82" i="25"/>
  <c r="R83" i="25"/>
  <c r="R84" i="25"/>
  <c r="R85" i="25"/>
  <c r="R86" i="25"/>
  <c r="R87" i="25"/>
  <c r="R88" i="25"/>
  <c r="R89" i="25"/>
  <c r="R90" i="25"/>
  <c r="R91" i="25"/>
  <c r="R92" i="25"/>
  <c r="R93" i="25"/>
  <c r="R79" i="25"/>
  <c r="R95" i="25" s="1"/>
  <c r="R97" i="25" s="1"/>
  <c r="R15" i="25"/>
  <c r="R16" i="25"/>
  <c r="R17" i="25"/>
  <c r="R18" i="25"/>
  <c r="R19" i="25"/>
  <c r="R29" i="25" s="1"/>
  <c r="R20" i="25"/>
  <c r="R21" i="25"/>
  <c r="R22" i="25"/>
  <c r="R23" i="25"/>
  <c r="R24" i="25"/>
  <c r="R25" i="25"/>
  <c r="R26" i="25"/>
  <c r="R27" i="25"/>
  <c r="R14" i="25"/>
  <c r="R48" i="25"/>
  <c r="R49" i="25"/>
  <c r="R50" i="25"/>
  <c r="R51" i="25"/>
  <c r="R62" i="25" s="1"/>
  <c r="R64" i="25" s="1"/>
  <c r="R52" i="25"/>
  <c r="R53" i="25"/>
  <c r="R54" i="25"/>
  <c r="R55" i="25"/>
  <c r="R56" i="25"/>
  <c r="R57" i="25"/>
  <c r="R58" i="25"/>
  <c r="R59" i="25"/>
  <c r="R60" i="25"/>
  <c r="R47" i="25"/>
  <c r="AY19" i="24" l="1"/>
  <c r="V20" i="24"/>
  <c r="AY20" i="24"/>
  <c r="N68" i="24"/>
  <c r="N51" i="24"/>
  <c r="V34" i="38"/>
  <c r="X24" i="43"/>
  <c r="S51" i="41"/>
  <c r="P32" i="42"/>
  <c r="P48" i="42"/>
  <c r="U42" i="42"/>
  <c r="P16" i="42"/>
  <c r="U26" i="42"/>
  <c r="S21" i="41"/>
  <c r="U9" i="42"/>
  <c r="P64" i="42"/>
  <c r="AC33" i="39"/>
  <c r="AC14" i="39"/>
  <c r="AH8" i="39"/>
  <c r="AH10" i="39" s="1"/>
  <c r="AC66" i="39"/>
  <c r="AH27" i="39"/>
  <c r="AH29" i="39" s="1"/>
  <c r="AH60" i="39"/>
  <c r="AH62" i="39" s="1"/>
  <c r="AH42" i="39"/>
  <c r="AC46" i="39"/>
  <c r="N79" i="38"/>
  <c r="N38" i="38"/>
  <c r="V17" i="38"/>
  <c r="N19" i="38"/>
  <c r="N21" i="37"/>
  <c r="N20" i="37"/>
  <c r="N23" i="37" s="1"/>
  <c r="N39" i="37"/>
  <c r="N60" i="37"/>
  <c r="N38" i="37"/>
  <c r="N6" i="37"/>
  <c r="G72" i="37"/>
  <c r="G50" i="37"/>
  <c r="N61" i="37"/>
  <c r="N59" i="37"/>
  <c r="E32" i="37"/>
  <c r="E71" i="37"/>
  <c r="E49" i="37"/>
  <c r="L43" i="31"/>
  <c r="L24" i="31"/>
  <c r="X116" i="35"/>
  <c r="X165" i="35"/>
  <c r="X15" i="35"/>
  <c r="X13" i="35"/>
  <c r="X115" i="35"/>
  <c r="X164" i="35"/>
  <c r="E188" i="35" s="1"/>
  <c r="X14" i="35"/>
  <c r="X114" i="35"/>
  <c r="E136" i="35" s="1"/>
  <c r="X163" i="35"/>
  <c r="X12" i="35"/>
  <c r="E32" i="35" s="1"/>
  <c r="X11" i="35"/>
  <c r="X112" i="35"/>
  <c r="X161" i="35"/>
  <c r="X3" i="35"/>
  <c r="X56" i="35"/>
  <c r="X111" i="35"/>
  <c r="X158" i="35"/>
  <c r="X160" i="35"/>
  <c r="X4" i="35"/>
  <c r="X110" i="35"/>
  <c r="X171" i="35"/>
  <c r="X5" i="35"/>
  <c r="X109" i="35"/>
  <c r="X121" i="35" s="1"/>
  <c r="Z108" i="35" s="1"/>
  <c r="X120" i="35"/>
  <c r="X169" i="35"/>
  <c r="X108" i="35"/>
  <c r="X170" i="35"/>
  <c r="X159" i="35"/>
  <c r="X119" i="35"/>
  <c r="E137" i="35" s="1"/>
  <c r="X168" i="35"/>
  <c r="X8" i="35"/>
  <c r="E31" i="35" s="1"/>
  <c r="X16" i="35"/>
  <c r="X57" i="35"/>
  <c r="X65" i="35"/>
  <c r="X63" i="35"/>
  <c r="X62" i="35"/>
  <c r="X59" i="35"/>
  <c r="X68" i="35"/>
  <c r="X67" i="35"/>
  <c r="X66" i="35"/>
  <c r="X64" i="35"/>
  <c r="X61" i="35"/>
  <c r="X60" i="35"/>
  <c r="X58" i="35"/>
  <c r="M83" i="34"/>
  <c r="H6" i="33"/>
  <c r="H26" i="33"/>
  <c r="H27" i="33" s="1"/>
  <c r="H67" i="33"/>
  <c r="H46" i="33"/>
  <c r="H47" i="33" s="1"/>
  <c r="AB21" i="28"/>
  <c r="AB56" i="28"/>
  <c r="AB91" i="28"/>
  <c r="AB126" i="28"/>
  <c r="N46" i="27"/>
  <c r="N22" i="27"/>
  <c r="N73" i="27"/>
  <c r="N99" i="27"/>
  <c r="R128" i="25"/>
  <c r="R130" i="25" s="1"/>
  <c r="H102" i="25"/>
  <c r="H101" i="25"/>
  <c r="H100" i="25"/>
  <c r="H103" i="25" s="1"/>
  <c r="H70" i="25"/>
  <c r="H69" i="25"/>
  <c r="H68" i="25"/>
  <c r="H36" i="25"/>
  <c r="H37" i="25"/>
  <c r="H35" i="25"/>
  <c r="H6" i="25"/>
  <c r="H5" i="25"/>
  <c r="H4" i="25"/>
  <c r="N40" i="37" l="1"/>
  <c r="N62" i="37"/>
  <c r="H38" i="25"/>
  <c r="E189" i="35"/>
  <c r="X69" i="35"/>
  <c r="Z56" i="35" s="1"/>
  <c r="E135" i="35"/>
  <c r="E138" i="35" s="1"/>
  <c r="E30" i="35"/>
  <c r="E33" i="35" s="1"/>
  <c r="X17" i="35"/>
  <c r="Z3" i="35" s="1"/>
  <c r="E187" i="35"/>
  <c r="E190" i="35" s="1"/>
  <c r="X172" i="35"/>
  <c r="Z158" i="35" s="1"/>
  <c r="E84" i="35"/>
  <c r="E83" i="35"/>
  <c r="E82" i="35"/>
  <c r="H71" i="25"/>
  <c r="H7" i="25"/>
  <c r="P20" i="24"/>
  <c r="F22" i="24"/>
  <c r="G22" i="24" s="1"/>
  <c r="H22" i="24" s="1"/>
  <c r="F21" i="24"/>
  <c r="G21" i="24" s="1"/>
  <c r="F20" i="24"/>
  <c r="G20" i="24" s="1"/>
  <c r="H20" i="24" s="1"/>
  <c r="F19" i="24"/>
  <c r="M22" i="24"/>
  <c r="M21" i="24"/>
  <c r="L56" i="20"/>
  <c r="J31" i="14"/>
  <c r="J34" i="14" s="1"/>
  <c r="J4" i="14"/>
  <c r="J3" i="14"/>
  <c r="M19" i="24"/>
  <c r="J49" i="14"/>
  <c r="J48" i="14"/>
  <c r="J47" i="14"/>
  <c r="J46" i="14"/>
  <c r="E47" i="14"/>
  <c r="E48" i="14"/>
  <c r="E49" i="14"/>
  <c r="E50" i="14"/>
  <c r="E51" i="14"/>
  <c r="E52" i="14"/>
  <c r="E53" i="14"/>
  <c r="E54" i="14"/>
  <c r="E55" i="14"/>
  <c r="E56" i="14"/>
  <c r="E46" i="14"/>
  <c r="E32" i="14"/>
  <c r="E42" i="14" s="1"/>
  <c r="E33" i="14"/>
  <c r="E34" i="14"/>
  <c r="E35" i="14"/>
  <c r="E36" i="14"/>
  <c r="E37" i="14"/>
  <c r="E38" i="14"/>
  <c r="E39" i="14"/>
  <c r="E40" i="14"/>
  <c r="E41" i="14"/>
  <c r="E31" i="14"/>
  <c r="E13" i="14"/>
  <c r="E4" i="14"/>
  <c r="E5" i="14"/>
  <c r="E6" i="14"/>
  <c r="E7" i="14"/>
  <c r="E8" i="14"/>
  <c r="E9" i="14"/>
  <c r="E10" i="14"/>
  <c r="E11" i="14"/>
  <c r="E12" i="14"/>
  <c r="E3" i="14"/>
  <c r="J5" i="14"/>
  <c r="J33" i="14"/>
  <c r="J32" i="14"/>
  <c r="N74" i="20"/>
  <c r="L74" i="20"/>
  <c r="I74" i="20"/>
  <c r="O73" i="20"/>
  <c r="N73" i="20"/>
  <c r="O72" i="20"/>
  <c r="N72" i="20"/>
  <c r="O71" i="20"/>
  <c r="N71" i="20"/>
  <c r="O70" i="20"/>
  <c r="N70" i="20"/>
  <c r="O69" i="20"/>
  <c r="N69" i="20"/>
  <c r="O68" i="20"/>
  <c r="N68" i="20"/>
  <c r="O67" i="20"/>
  <c r="N67" i="20"/>
  <c r="O66" i="20"/>
  <c r="N66" i="20"/>
  <c r="O65" i="20"/>
  <c r="N65" i="20"/>
  <c r="O64" i="20"/>
  <c r="N64" i="20"/>
  <c r="O63" i="20"/>
  <c r="N63" i="20"/>
  <c r="O62" i="20"/>
  <c r="N62" i="20"/>
  <c r="N56" i="20"/>
  <c r="I56" i="20"/>
  <c r="O55" i="20"/>
  <c r="N55" i="20"/>
  <c r="O54" i="20"/>
  <c r="N54" i="20"/>
  <c r="O53" i="20"/>
  <c r="N53" i="20"/>
  <c r="O52" i="20"/>
  <c r="N52" i="20"/>
  <c r="O51" i="20"/>
  <c r="N51" i="20"/>
  <c r="O50" i="20"/>
  <c r="N50" i="20"/>
  <c r="O49" i="20"/>
  <c r="N49" i="20"/>
  <c r="O48" i="20"/>
  <c r="N48" i="20"/>
  <c r="O47" i="20"/>
  <c r="N47" i="20"/>
  <c r="O46" i="20"/>
  <c r="N46" i="20"/>
  <c r="O45" i="20"/>
  <c r="N45" i="20"/>
  <c r="O44" i="20"/>
  <c r="N44" i="20"/>
  <c r="M20" i="24"/>
  <c r="L18" i="20"/>
  <c r="N18" i="20"/>
  <c r="I18" i="20"/>
  <c r="O17" i="20"/>
  <c r="N17" i="20"/>
  <c r="O16" i="20"/>
  <c r="N16" i="20"/>
  <c r="O15" i="20"/>
  <c r="N15" i="20"/>
  <c r="O14" i="20"/>
  <c r="N14" i="20"/>
  <c r="O13" i="20"/>
  <c r="N13" i="20"/>
  <c r="O12" i="20"/>
  <c r="N12" i="20"/>
  <c r="O11" i="20"/>
  <c r="N11" i="20"/>
  <c r="O10" i="20"/>
  <c r="N10" i="20"/>
  <c r="O9" i="20"/>
  <c r="N9" i="20"/>
  <c r="O8" i="20"/>
  <c r="N8" i="20"/>
  <c r="O7" i="20"/>
  <c r="N7" i="20"/>
  <c r="O6" i="20"/>
  <c r="N6" i="20"/>
  <c r="D57" i="14"/>
  <c r="C57" i="14"/>
  <c r="D42" i="14"/>
  <c r="C42" i="14"/>
  <c r="D14" i="14"/>
  <c r="C14" i="14"/>
  <c r="H83" i="24"/>
  <c r="H82" i="24"/>
  <c r="H81" i="24"/>
  <c r="H80" i="24"/>
  <c r="H67" i="24"/>
  <c r="H66" i="24"/>
  <c r="H65" i="24"/>
  <c r="H64" i="24"/>
  <c r="H50" i="24"/>
  <c r="H49" i="24"/>
  <c r="H48" i="24"/>
  <c r="H47" i="24"/>
  <c r="H35" i="24"/>
  <c r="H34" i="24"/>
  <c r="H33" i="24"/>
  <c r="H32" i="24"/>
  <c r="AK22" i="24"/>
  <c r="AK21" i="24"/>
  <c r="M25" i="24" l="1"/>
  <c r="BL22" i="24"/>
  <c r="H21" i="24"/>
  <c r="BL21" i="24" s="1"/>
  <c r="G10" i="24"/>
  <c r="G9" i="24"/>
  <c r="E85" i="35"/>
  <c r="BO20" i="24"/>
  <c r="BL20" i="24"/>
  <c r="BL64" i="24"/>
  <c r="BO64" i="24"/>
  <c r="BL81" i="24"/>
  <c r="BO81" i="24"/>
  <c r="BL48" i="24"/>
  <c r="BO48" i="24"/>
  <c r="BL65" i="24"/>
  <c r="BO65" i="24"/>
  <c r="BL66" i="24"/>
  <c r="BO66" i="24"/>
  <c r="BO82" i="24"/>
  <c r="BL82" i="24"/>
  <c r="BL49" i="24"/>
  <c r="BO49" i="24"/>
  <c r="G19" i="24"/>
  <c r="H19" i="24" s="1"/>
  <c r="BO47" i="24"/>
  <c r="BL47" i="24"/>
  <c r="AJ67" i="24"/>
  <c r="AX67" i="24" s="1"/>
  <c r="BL67" i="24"/>
  <c r="BO67" i="24"/>
  <c r="BO83" i="24"/>
  <c r="BL83" i="24"/>
  <c r="AJ50" i="24"/>
  <c r="AX50" i="24" s="1"/>
  <c r="BA50" i="24" s="1"/>
  <c r="BB50" i="24" s="1"/>
  <c r="BL50" i="24"/>
  <c r="BO50" i="24"/>
  <c r="BO22" i="24"/>
  <c r="BL80" i="24"/>
  <c r="BO80" i="24"/>
  <c r="BO33" i="24"/>
  <c r="BL33" i="24"/>
  <c r="AJ34" i="24"/>
  <c r="AX34" i="24" s="1"/>
  <c r="BO34" i="24"/>
  <c r="BL34" i="24"/>
  <c r="AJ35" i="24"/>
  <c r="AM35" i="24" s="1"/>
  <c r="AN35" i="24" s="1"/>
  <c r="BL35" i="24"/>
  <c r="BO35" i="24"/>
  <c r="BO32" i="24"/>
  <c r="BL32" i="24"/>
  <c r="AJ22" i="24"/>
  <c r="AX22" i="24" s="1"/>
  <c r="O74" i="20"/>
  <c r="E57" i="14"/>
  <c r="E14" i="14"/>
  <c r="J6" i="14"/>
  <c r="O56" i="20"/>
  <c r="O18" i="20"/>
  <c r="AJ47" i="24"/>
  <c r="AX47" i="24" s="1"/>
  <c r="AJ81" i="24"/>
  <c r="AX81" i="24" s="1"/>
  <c r="AY22" i="24"/>
  <c r="AJ83" i="24"/>
  <c r="AX83" i="24" s="1"/>
  <c r="BA83" i="24" s="1"/>
  <c r="BB83" i="24" s="1"/>
  <c r="AJ66" i="24"/>
  <c r="AX66" i="24" s="1"/>
  <c r="AY21" i="24"/>
  <c r="AJ32" i="24"/>
  <c r="AX32" i="24" s="1"/>
  <c r="AJ48" i="24"/>
  <c r="AX48" i="24" s="1"/>
  <c r="AJ33" i="24"/>
  <c r="AX33" i="24" s="1"/>
  <c r="H8" i="24"/>
  <c r="AJ65" i="24"/>
  <c r="AX65" i="24" s="1"/>
  <c r="H84" i="24"/>
  <c r="S85" i="24" s="1"/>
  <c r="AJ80" i="24"/>
  <c r="AX80" i="24" s="1"/>
  <c r="G7" i="24"/>
  <c r="AJ64" i="24"/>
  <c r="AX64" i="24" s="1"/>
  <c r="H36" i="24"/>
  <c r="H68" i="24"/>
  <c r="F9" i="24" s="1"/>
  <c r="H7" i="24"/>
  <c r="AJ49" i="24"/>
  <c r="AX49" i="24" s="1"/>
  <c r="H51" i="24"/>
  <c r="F8" i="24" s="1"/>
  <c r="H6" i="24"/>
  <c r="AJ82" i="24"/>
  <c r="AX82" i="24" s="1"/>
  <c r="AJ20" i="24" l="1"/>
  <c r="AX20" i="24" s="1"/>
  <c r="BA20" i="24" s="1"/>
  <c r="BB20" i="24" s="1"/>
  <c r="AJ21" i="24"/>
  <c r="AX21" i="24" s="1"/>
  <c r="BA21" i="24" s="1"/>
  <c r="BB21" i="24" s="1"/>
  <c r="BO21" i="24"/>
  <c r="AM34" i="24"/>
  <c r="AN34" i="24" s="1"/>
  <c r="AM67" i="24"/>
  <c r="AN67" i="24" s="1"/>
  <c r="S69" i="24"/>
  <c r="AM64" i="24"/>
  <c r="AN64" i="24" s="1"/>
  <c r="AM65" i="24"/>
  <c r="AN65" i="24" s="1"/>
  <c r="BA67" i="24"/>
  <c r="BB67" i="24" s="1"/>
  <c r="BA64" i="24"/>
  <c r="BB64" i="24" s="1"/>
  <c r="W68" i="24"/>
  <c r="H10" i="24"/>
  <c r="BA82" i="24"/>
  <c r="BB82" i="24" s="1"/>
  <c r="BO84" i="24"/>
  <c r="F10" i="24"/>
  <c r="H9" i="24"/>
  <c r="G8" i="24"/>
  <c r="S52" i="24"/>
  <c r="AM50" i="24"/>
  <c r="AN50" i="24" s="1"/>
  <c r="BO51" i="24"/>
  <c r="V51" i="24"/>
  <c r="BL19" i="24"/>
  <c r="BL23" i="24" s="1"/>
  <c r="H23" i="24"/>
  <c r="W19" i="24"/>
  <c r="BO19" i="24"/>
  <c r="V19" i="24"/>
  <c r="BL84" i="24"/>
  <c r="BL51" i="24"/>
  <c r="BO68" i="24"/>
  <c r="BA22" i="24"/>
  <c r="BB22" i="24" s="1"/>
  <c r="AX35" i="24"/>
  <c r="BA35" i="24" s="1"/>
  <c r="BB35" i="24" s="1"/>
  <c r="BL68" i="24"/>
  <c r="AM66" i="24"/>
  <c r="AN66" i="24" s="1"/>
  <c r="N37" i="24"/>
  <c r="F7" i="24"/>
  <c r="BL36" i="24"/>
  <c r="S37" i="24"/>
  <c r="BO36" i="24"/>
  <c r="V36" i="24"/>
  <c r="BA34" i="24"/>
  <c r="BB34" i="24" s="1"/>
  <c r="G6" i="24"/>
  <c r="AM22" i="24"/>
  <c r="AN22" i="24" s="1"/>
  <c r="AJ19" i="24"/>
  <c r="AX19" i="24" s="1"/>
  <c r="BA19" i="24" s="1"/>
  <c r="BB19" i="24" s="1"/>
  <c r="BA32" i="24"/>
  <c r="BB32" i="24" s="1"/>
  <c r="BA33" i="24"/>
  <c r="BB33" i="24" s="1"/>
  <c r="AM33" i="24"/>
  <c r="AN33" i="24" s="1"/>
  <c r="BA81" i="24"/>
  <c r="BB81" i="24" s="1"/>
  <c r="BA47" i="24"/>
  <c r="BB47" i="24" s="1"/>
  <c r="W84" i="24"/>
  <c r="AM47" i="24"/>
  <c r="AN47" i="24" s="1"/>
  <c r="BA80" i="24"/>
  <c r="BB80" i="24" s="1"/>
  <c r="AM83" i="24"/>
  <c r="AN83" i="24" s="1"/>
  <c r="AM32" i="24"/>
  <c r="AN32" i="24" s="1"/>
  <c r="AM81" i="24"/>
  <c r="AN81" i="24" s="1"/>
  <c r="BA48" i="24"/>
  <c r="BB48" i="24" s="1"/>
  <c r="W51" i="24"/>
  <c r="AM48" i="24"/>
  <c r="AN48" i="24" s="1"/>
  <c r="N69" i="24"/>
  <c r="AM49" i="24"/>
  <c r="AN49" i="24" s="1"/>
  <c r="W36" i="24"/>
  <c r="V68" i="24"/>
  <c r="AM80" i="24"/>
  <c r="AN80" i="24" s="1"/>
  <c r="V84" i="24"/>
  <c r="AM82" i="24"/>
  <c r="AN82" i="24" s="1"/>
  <c r="BA49" i="24"/>
  <c r="BB49" i="24" s="1"/>
  <c r="N85" i="24"/>
  <c r="V23" i="24" l="1"/>
  <c r="BO23" i="24"/>
  <c r="AM21" i="24"/>
  <c r="AN21" i="24" s="1"/>
  <c r="BA65" i="24"/>
  <c r="BB65" i="24" s="1"/>
  <c r="AM20" i="24"/>
  <c r="AN20" i="24" s="1"/>
  <c r="W23" i="24"/>
  <c r="BA66" i="24"/>
  <c r="BB66" i="24" s="1"/>
  <c r="H12" i="24"/>
  <c r="G12" i="24"/>
  <c r="S24" i="24"/>
  <c r="F6" i="24"/>
  <c r="AM19" i="24"/>
  <c r="AN19" i="24" s="1"/>
  <c r="F12" i="24"/>
  <c r="H13" i="24" l="1"/>
  <c r="G13" i="24"/>
  <c r="J19" i="14"/>
  <c r="J18" i="14"/>
  <c r="J17" i="14"/>
  <c r="N33" i="20"/>
  <c r="O33" i="20"/>
  <c r="N34" i="20"/>
  <c r="O34" i="20"/>
  <c r="N35" i="20"/>
  <c r="O35" i="20"/>
  <c r="N36" i="20"/>
  <c r="O36" i="20"/>
  <c r="N37" i="20"/>
  <c r="O37" i="20"/>
  <c r="N38" i="20"/>
  <c r="N28" i="20"/>
  <c r="O28" i="20"/>
  <c r="N29" i="20"/>
  <c r="O29" i="20"/>
  <c r="N30" i="20"/>
  <c r="O30" i="20"/>
  <c r="N31" i="20"/>
  <c r="O31" i="20"/>
  <c r="N32" i="20"/>
  <c r="O32" i="20"/>
  <c r="N27" i="20"/>
  <c r="O27" i="20"/>
  <c r="O26" i="20"/>
  <c r="N26" i="20"/>
  <c r="I38" i="20"/>
  <c r="O38" i="20" s="1"/>
  <c r="D28" i="14"/>
  <c r="C28" i="14"/>
  <c r="E27" i="14"/>
  <c r="E18" i="14"/>
  <c r="E19" i="14"/>
  <c r="E20" i="14"/>
  <c r="E21" i="14"/>
  <c r="E22" i="14"/>
  <c r="E23" i="14"/>
  <c r="E24" i="14"/>
  <c r="E25" i="14"/>
  <c r="E26" i="14"/>
  <c r="E17" i="14"/>
  <c r="E28" i="14" l="1"/>
  <c r="J20" i="14"/>
</calcChain>
</file>

<file path=xl/sharedStrings.xml><?xml version="1.0" encoding="utf-8"?>
<sst xmlns="http://schemas.openxmlformats.org/spreadsheetml/2006/main" count="2390" uniqueCount="111">
  <si>
    <t>LLM</t>
  </si>
  <si>
    <t>Ticker</t>
  </si>
  <si>
    <t>Accuracy</t>
  </si>
  <si>
    <t>Quarter</t>
  </si>
  <si>
    <t>3Q24</t>
  </si>
  <si>
    <t>4Q24</t>
  </si>
  <si>
    <t>2Q24</t>
  </si>
  <si>
    <t>1Q24</t>
  </si>
  <si>
    <t>Total</t>
  </si>
  <si>
    <t>Date</t>
  </si>
  <si>
    <t>Time Savings</t>
  </si>
  <si>
    <t>Base</t>
  </si>
  <si>
    <t>Delta</t>
  </si>
  <si>
    <t>Quarter Breakeven</t>
  </si>
  <si>
    <t>Standardization</t>
  </si>
  <si>
    <t>Extraction</t>
  </si>
  <si>
    <t>Adjustment</t>
  </si>
  <si>
    <t>Execute</t>
  </si>
  <si>
    <t>Construct Extraction</t>
  </si>
  <si>
    <t>Average</t>
  </si>
  <si>
    <t>Manual</t>
  </si>
  <si>
    <t>Cumulative Efficiency %</t>
  </si>
  <si>
    <t>Cumulative Extraction Summary by Method</t>
  </si>
  <si>
    <t>Efficency</t>
  </si>
  <si>
    <t>Excel (Advanced)</t>
  </si>
  <si>
    <t>LLM API (Presentation)</t>
  </si>
  <si>
    <t>Thereafter</t>
  </si>
  <si>
    <t>Year</t>
  </si>
  <si>
    <t>Secured Debt</t>
  </si>
  <si>
    <t>Unsecured Debt</t>
  </si>
  <si>
    <t>Amount</t>
  </si>
  <si>
    <t>Unit</t>
  </si>
  <si>
    <t>Currency</t>
  </si>
  <si>
    <t>Category</t>
  </si>
  <si>
    <t>AVB</t>
  </si>
  <si>
    <t>mn</t>
  </si>
  <si>
    <t>USD</t>
  </si>
  <si>
    <t>Total Debt</t>
  </si>
  <si>
    <t>Near-term</t>
  </si>
  <si>
    <t>Medium-Term</t>
  </si>
  <si>
    <t>Long-term</t>
  </si>
  <si>
    <t>Total Unsecured</t>
  </si>
  <si>
    <t>EBITDA</t>
  </si>
  <si>
    <t>OpenAI</t>
  </si>
  <si>
    <t>Debt Partition</t>
  </si>
  <si>
    <t>Net Income</t>
  </si>
  <si>
    <t>D&amp;A Expense</t>
  </si>
  <si>
    <t>Standardized EBITDA</t>
  </si>
  <si>
    <t>Units</t>
  </si>
  <si>
    <t>Line Item</t>
  </si>
  <si>
    <t>(2024 - 2029 maturities)</t>
  </si>
  <si>
    <t>(2030 - 2033 maturities)</t>
  </si>
  <si>
    <t>Correct</t>
  </si>
  <si>
    <t>Standardize Goal:</t>
  </si>
  <si>
    <t>Cumulative Time (10-Q)</t>
  </si>
  <si>
    <t>Advanced Excel</t>
  </si>
  <si>
    <t>Efficiency %</t>
  </si>
  <si>
    <t>LLM API (exc build)</t>
  </si>
  <si>
    <t>Python Script (exc build)</t>
  </si>
  <si>
    <t>10-Q</t>
  </si>
  <si>
    <t>Supplement</t>
  </si>
  <si>
    <t>Script Construct</t>
  </si>
  <si>
    <t>LLM API Construct</t>
  </si>
  <si>
    <t>Breakeven</t>
  </si>
  <si>
    <t xml:space="preserve">Year </t>
  </si>
  <si>
    <t>Unsecured debt</t>
  </si>
  <si>
    <t>CCI</t>
  </si>
  <si>
    <t>—</t>
  </si>
  <si>
    <t>Near-Term</t>
  </si>
  <si>
    <t>Long-Term</t>
  </si>
  <si>
    <t>Total Unsecured Debt</t>
  </si>
  <si>
    <t>Total Secured Debt</t>
  </si>
  <si>
    <t>Check</t>
  </si>
  <si>
    <t>Scroll</t>
  </si>
  <si>
    <t>Right</t>
  </si>
  <si>
    <t>for</t>
  </si>
  <si>
    <t>Charts</t>
  </si>
  <si>
    <t>Tax Expense</t>
  </si>
  <si>
    <t>Interest Expense</t>
  </si>
  <si>
    <t>10Q Check</t>
  </si>
  <si>
    <t>EDGAR API</t>
  </si>
  <si>
    <t>FY24</t>
  </si>
  <si>
    <t>10K Check</t>
  </si>
  <si>
    <t>Quarter / FY</t>
  </si>
  <si>
    <t>AMT</t>
  </si>
  <si>
    <t>Unsecured Debt ($mn)</t>
  </si>
  <si>
    <t>Other Debt</t>
  </si>
  <si>
    <t>Delta to presentation number may be due to exchange</t>
  </si>
  <si>
    <t>rate impact on EUR denominated senior unsecured debt</t>
  </si>
  <si>
    <t>Debt Maturities from 10Q (supplement/presentation did not show unsecured vs secured composition)</t>
  </si>
  <si>
    <t>PLD</t>
  </si>
  <si>
    <t>Senior</t>
  </si>
  <si>
    <t>Facilities &amp; Commercial Paper</t>
  </si>
  <si>
    <t>Other</t>
  </si>
  <si>
    <t>-</t>
  </si>
  <si>
    <t>–</t>
  </si>
  <si>
    <t>WELL</t>
  </si>
  <si>
    <t>(Thereafter includes maturities in 2029)</t>
  </si>
  <si>
    <t>(time measured in seconds)</t>
  </si>
  <si>
    <t>Database Format</t>
  </si>
  <si>
    <t>Advanced Excel Manual Benchmark (10-Q)</t>
  </si>
  <si>
    <t>Python Modules (10-Q)</t>
  </si>
  <si>
    <t>LLM API</t>
  </si>
  <si>
    <t>Python Modules</t>
  </si>
  <si>
    <t>Cumulative Total</t>
  </si>
  <si>
    <t>(Python Modules vs Advanced Excel)</t>
  </si>
  <si>
    <t>(LLM API vs Advanced Excel)</t>
  </si>
  <si>
    <t>Average Accuracy</t>
  </si>
  <si>
    <t>Cumulative Time (Presentation)</t>
  </si>
  <si>
    <t>Average Adjustment Time (15 quarters)</t>
  </si>
  <si>
    <t>Average Execution Time (20 quarters)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</si>
</sst>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&quot;$&quot;#,##0.0"/>
    <numFmt numFmtId="166" formatCode="0.0\x"/>
    <numFmt numFmtId="167" formatCode="#,##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i/>
      <sz val="11"/>
      <color rgb="FFFF0000"/>
      <name val="Arial Narrow"/>
      <family val="2"/>
    </font>
    <font>
      <sz val="11"/>
      <color rgb="FF0000FF"/>
      <name val="Arial Narrow"/>
      <family val="2"/>
    </font>
    <font>
      <b/>
      <u/>
      <sz val="11"/>
      <name val="Arial Narrow"/>
      <family val="2"/>
    </font>
    <font>
      <sz val="11"/>
      <color rgb="FF00B050"/>
      <name val="Arial Narrow"/>
      <family val="2"/>
    </font>
    <font>
      <sz val="11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i/>
      <sz val="11"/>
      <color rgb="FF0000FF"/>
      <name val="Arial Narrow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rgb="FFFF0000"/>
      <name val="Arial Narrow"/>
      <family val="2"/>
    </font>
    <font>
      <i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9" fontId="3" fillId="0" borderId="0" xfId="2" applyFont="1"/>
    <xf numFmtId="9" fontId="3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0" fontId="3" fillId="0" borderId="0" xfId="2" applyNumberFormat="1" applyFont="1" applyAlignment="1">
      <alignment horizontal="center"/>
    </xf>
    <xf numFmtId="0" fontId="8" fillId="0" borderId="0" xfId="0" applyFont="1" applyAlignment="1">
      <alignment horizontal="left"/>
    </xf>
    <xf numFmtId="9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/>
    </xf>
    <xf numFmtId="165" fontId="3" fillId="0" borderId="0" xfId="1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7" fillId="0" borderId="6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9" fontId="11" fillId="0" borderId="0" xfId="2" applyFont="1" applyAlignment="1">
      <alignment horizontal="center"/>
    </xf>
    <xf numFmtId="3" fontId="4" fillId="0" borderId="0" xfId="0" applyNumberFormat="1" applyFont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3" fontId="3" fillId="0" borderId="0" xfId="0" applyNumberFormat="1" applyFont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/>
    <xf numFmtId="1" fontId="4" fillId="0" borderId="11" xfId="0" applyNumberFormat="1" applyFont="1" applyBorder="1" applyAlignment="1">
      <alignment horizontal="center"/>
    </xf>
    <xf numFmtId="0" fontId="4" fillId="0" borderId="6" xfId="0" applyFont="1" applyBorder="1"/>
    <xf numFmtId="9" fontId="3" fillId="0" borderId="7" xfId="2" applyFont="1" applyBorder="1" applyAlignment="1">
      <alignment horizontal="center"/>
    </xf>
    <xf numFmtId="9" fontId="3" fillId="0" borderId="8" xfId="2" applyFont="1" applyBorder="1" applyAlignment="1">
      <alignment horizontal="center"/>
    </xf>
    <xf numFmtId="0" fontId="11" fillId="0" borderId="0" xfId="0" applyFont="1"/>
    <xf numFmtId="165" fontId="3" fillId="3" borderId="0" xfId="1" applyNumberFormat="1" applyFont="1" applyFill="1" applyAlignment="1">
      <alignment horizontal="center"/>
    </xf>
    <xf numFmtId="165" fontId="3" fillId="0" borderId="0" xfId="1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15" fillId="0" borderId="0" xfId="0" applyFont="1"/>
    <xf numFmtId="0" fontId="11" fillId="2" borderId="0" xfId="0" applyFont="1" applyFill="1"/>
    <xf numFmtId="1" fontId="3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3" fillId="0" borderId="0" xfId="0" applyNumberFormat="1" applyFont="1"/>
    <xf numFmtId="3" fontId="3" fillId="2" borderId="0" xfId="0" applyNumberFormat="1" applyFont="1" applyFill="1" applyAlignment="1">
      <alignment horizontal="center"/>
    </xf>
    <xf numFmtId="1" fontId="10" fillId="0" borderId="8" xfId="0" applyNumberFormat="1" applyFont="1" applyBorder="1" applyAlignment="1">
      <alignment horizontal="center"/>
    </xf>
    <xf numFmtId="9" fontId="4" fillId="0" borderId="0" xfId="2" applyFont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7" fontId="0" fillId="0" borderId="0" xfId="0" applyNumberFormat="1"/>
    <xf numFmtId="3" fontId="11" fillId="0" borderId="0" xfId="0" applyNumberFormat="1" applyFont="1"/>
    <xf numFmtId="0" fontId="16" fillId="0" borderId="0" xfId="0" applyFont="1" applyAlignment="1">
      <alignment horizontal="left"/>
    </xf>
    <xf numFmtId="3" fontId="11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2" borderId="0" xfId="0" applyFont="1" applyFill="1" applyAlignment="1">
      <alignment horizontal="center"/>
    </xf>
    <xf numFmtId="0" fontId="20" fillId="0" borderId="0" xfId="0" applyFont="1"/>
    <xf numFmtId="15" fontId="20" fillId="0" borderId="0" xfId="0" applyNumberFormat="1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3" fontId="20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5" fontId="20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 wrapText="1"/>
    </xf>
    <xf numFmtId="37" fontId="11" fillId="0" borderId="0" xfId="0" applyNumberFormat="1" applyFont="1" applyAlignment="1">
      <alignment horizontal="center" wrapText="1"/>
    </xf>
    <xf numFmtId="37" fontId="11" fillId="0" borderId="0" xfId="0" applyNumberFormat="1" applyFont="1" applyAlignment="1">
      <alignment horizontal="center"/>
    </xf>
    <xf numFmtId="0" fontId="6" fillId="0" borderId="0" xfId="0" applyFont="1"/>
    <xf numFmtId="3" fontId="6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center"/>
    </xf>
    <xf numFmtId="0" fontId="22" fillId="0" borderId="0" xfId="0" applyFont="1"/>
    <xf numFmtId="0" fontId="2" fillId="0" borderId="0" xfId="0" applyFont="1" applyAlignment="1">
      <alignment horizontal="right"/>
    </xf>
    <xf numFmtId="3" fontId="4" fillId="0" borderId="0" xfId="0" applyNumberFormat="1" applyFont="1"/>
    <xf numFmtId="3" fontId="0" fillId="0" borderId="0" xfId="0" applyNumberFormat="1"/>
    <xf numFmtId="3" fontId="0" fillId="0" borderId="0" xfId="0" applyNumberFormat="1" applyAlignment="1">
      <alignment horizontal="center"/>
    </xf>
    <xf numFmtId="0" fontId="23" fillId="0" borderId="0" xfId="0" applyFont="1" applyAlignment="1">
      <alignment horizontal="left"/>
    </xf>
    <xf numFmtId="9" fontId="3" fillId="0" borderId="0" xfId="0" applyNumberFormat="1" applyFont="1" applyAlignment="1">
      <alignment horizontal="center"/>
    </xf>
    <xf numFmtId="9" fontId="4" fillId="0" borderId="0" xfId="2" applyFont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9" fontId="3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Extraction Time Saving vs Manual</a:t>
            </a:r>
          </a:p>
        </c:rich>
      </c:tx>
      <c:layout>
        <c:manualLayout>
          <c:xMode val="edge"/>
          <c:yMode val="edge"/>
          <c:x val="0.24463447389197446"/>
          <c:y val="2.7613151409508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078187147"/>
          <c:y val="0.1529959578048927"/>
          <c:w val="0.83839488337969137"/>
          <c:h val="0.75814401600899661"/>
        </c:manualLayout>
      </c:layout>
      <c:lineChart>
        <c:grouping val="standard"/>
        <c:varyColors val="0"/>
        <c:ser>
          <c:idx val="0"/>
          <c:order val="0"/>
          <c:tx>
            <c:strRef>
              <c:f>Summary!$V$18</c:f>
              <c:strCache>
                <c:ptCount val="1"/>
                <c:pt idx="0">
                  <c:v>LLM API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Summary!$V$19:$V$22</c:f>
              <c:numCache>
                <c:formatCode>0</c:formatCode>
                <c:ptCount val="4"/>
                <c:pt idx="0">
                  <c:v>28</c:v>
                </c:pt>
                <c:pt idx="1">
                  <c:v>29</c:v>
                </c:pt>
                <c:pt idx="2">
                  <c:v>35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F5-4782-8E90-D86149159CE9}"/>
            </c:ext>
          </c:extLst>
        </c:ser>
        <c:ser>
          <c:idx val="1"/>
          <c:order val="1"/>
          <c:tx>
            <c:strRef>
              <c:f>Summary!$W$18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Summary!$W$19:$W$22</c:f>
              <c:numCache>
                <c:formatCode>0</c:formatCode>
                <c:ptCount val="4"/>
                <c:pt idx="0">
                  <c:v>75</c:v>
                </c:pt>
                <c:pt idx="1">
                  <c:v>63.666666666666671</c:v>
                </c:pt>
                <c:pt idx="2">
                  <c:v>53</c:v>
                </c:pt>
                <c:pt idx="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F5-4782-8E90-D86149159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8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734560863342657"/>
          <c:y val="0.11898967662439144"/>
          <c:w val="0.58253857850512369"/>
          <c:h val="8.326537462891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(10-Q)</a:t>
            </a:r>
          </a:p>
        </c:rich>
      </c:tx>
      <c:layout>
        <c:manualLayout>
          <c:xMode val="edge"/>
          <c:yMode val="edge"/>
          <c:x val="0.23352376675236214"/>
          <c:y val="1.1432480514403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3700451622651647"/>
          <c:w val="0.82378928287686748"/>
          <c:h val="0.75539415331704229"/>
        </c:manualLayout>
      </c:layout>
      <c:lineChart>
        <c:grouping val="standard"/>
        <c:varyColors val="0"/>
        <c:ser>
          <c:idx val="0"/>
          <c:order val="0"/>
          <c:tx>
            <c:v>Excel</c:v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Summary!$AJ$19:$AJ$22</c:f>
              <c:numCache>
                <c:formatCode>0</c:formatCode>
                <c:ptCount val="4"/>
                <c:pt idx="0">
                  <c:v>372</c:v>
                </c:pt>
                <c:pt idx="1">
                  <c:v>279</c:v>
                </c:pt>
                <c:pt idx="2">
                  <c:v>186</c:v>
                </c:pt>
                <c:pt idx="3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A-4F74-B3E9-69629584CE70}"/>
            </c:ext>
          </c:extLst>
        </c:ser>
        <c:ser>
          <c:idx val="2"/>
          <c:order val="1"/>
          <c:tx>
            <c:v>Python Modules</c:v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Summary!$AK$19:$AK$22</c:f>
              <c:numCache>
                <c:formatCode>0</c:formatCode>
                <c:ptCount val="4"/>
                <c:pt idx="0">
                  <c:v>112.33333333333333</c:v>
                </c:pt>
                <c:pt idx="1">
                  <c:v>94.333333333333329</c:v>
                </c:pt>
                <c:pt idx="2">
                  <c:v>65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A-4F74-B3E9-69629584C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026324982344681"/>
          <c:y val="8.2846293149526518E-2"/>
          <c:w val="0.75387931405364006"/>
          <c:h val="6.2984547144372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(Presentation)</a:t>
            </a:r>
          </a:p>
        </c:rich>
      </c:tx>
      <c:layout>
        <c:manualLayout>
          <c:xMode val="edge"/>
          <c:yMode val="edge"/>
          <c:x val="0.18438393220749247"/>
          <c:y val="1.16761105796355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1649700154836657"/>
          <c:h val="0.739421726400594"/>
        </c:manualLayout>
      </c:layout>
      <c:lineChart>
        <c:grouping val="standard"/>
        <c:varyColors val="0"/>
        <c:ser>
          <c:idx val="0"/>
          <c:order val="0"/>
          <c:tx>
            <c:strRef>
              <c:f>Summary!$AX$18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Summary!$AX$19:$AX$22</c:f>
              <c:numCache>
                <c:formatCode>0</c:formatCode>
                <c:ptCount val="4"/>
                <c:pt idx="0">
                  <c:v>372</c:v>
                </c:pt>
                <c:pt idx="1">
                  <c:v>279</c:v>
                </c:pt>
                <c:pt idx="2">
                  <c:v>186</c:v>
                </c:pt>
                <c:pt idx="3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E-4E2E-A6B6-CADBE5B4C383}"/>
            </c:ext>
          </c:extLst>
        </c:ser>
        <c:ser>
          <c:idx val="1"/>
          <c:order val="1"/>
          <c:tx>
            <c:strRef>
              <c:f>Summary!$AY$18</c:f>
              <c:strCache>
                <c:ptCount val="1"/>
                <c:pt idx="0">
                  <c:v>LLM API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Summary!$AY$19:$AY$22</c:f>
              <c:numCache>
                <c:formatCode>0</c:formatCode>
                <c:ptCount val="4"/>
                <c:pt idx="0">
                  <c:v>242</c:v>
                </c:pt>
                <c:pt idx="1">
                  <c:v>177</c:v>
                </c:pt>
                <c:pt idx="2" formatCode="General">
                  <c:v>113</c:v>
                </c:pt>
                <c:pt idx="3" formatCode="General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E-4E2E-A6B6-CADBE5B4C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201199583711087"/>
          <c:y val="8.2569643747802554E-2"/>
          <c:w val="0.7553468651610612"/>
          <c:h val="5.9249719953230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(10-Q)</a:t>
            </a:r>
          </a:p>
        </c:rich>
      </c:tx>
      <c:layout>
        <c:manualLayout>
          <c:xMode val="edge"/>
          <c:yMode val="edge"/>
          <c:x val="0.23519476161384967"/>
          <c:y val="2.2863380096384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2378928287686748"/>
          <c:h val="0.70468696293303168"/>
        </c:manualLayout>
      </c:layout>
      <c:lineChart>
        <c:grouping val="standard"/>
        <c:varyColors val="0"/>
        <c:ser>
          <c:idx val="0"/>
          <c:order val="0"/>
          <c:tx>
            <c:strRef>
              <c:f>Summary!$AJ$31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Summary!$AJ$32:$AJ$35</c:f>
              <c:numCache>
                <c:formatCode>0</c:formatCode>
                <c:ptCount val="4"/>
                <c:pt idx="0">
                  <c:v>448</c:v>
                </c:pt>
                <c:pt idx="1">
                  <c:v>336</c:v>
                </c:pt>
                <c:pt idx="2">
                  <c:v>224</c:v>
                </c:pt>
                <c:pt idx="3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2-4E8C-A1AA-7CB5C2250768}"/>
            </c:ext>
          </c:extLst>
        </c:ser>
        <c:ser>
          <c:idx val="2"/>
          <c:order val="1"/>
          <c:tx>
            <c:strRef>
              <c:f>Summary!$AK$31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Summary!$AK$32:$AK$35</c:f>
              <c:numCache>
                <c:formatCode>0</c:formatCode>
                <c:ptCount val="4"/>
                <c:pt idx="0">
                  <c:v>103</c:v>
                </c:pt>
                <c:pt idx="1">
                  <c:v>73</c:v>
                </c:pt>
                <c:pt idx="2">
                  <c:v>49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2-4E8C-A1AA-7CB5C2250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layout>
            <c:manualLayout>
              <c:xMode val="edge"/>
              <c:yMode val="edge"/>
              <c:x val="0.46681184453701896"/>
              <c:y val="0.88477450168619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9949087054546"/>
          <c:y val="9.3360676230683393E-2"/>
          <c:w val="0.75387931405364006"/>
          <c:h val="7.8752267277696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(Presentation)</a:t>
            </a:r>
          </a:p>
        </c:rich>
      </c:tx>
      <c:layout>
        <c:manualLayout>
          <c:xMode val="edge"/>
          <c:yMode val="edge"/>
          <c:x val="0.18426156407868372"/>
          <c:y val="1.2710515595505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1649700154836657"/>
          <c:h val="0.739421726400594"/>
        </c:manualLayout>
      </c:layout>
      <c:lineChart>
        <c:grouping val="standard"/>
        <c:varyColors val="0"/>
        <c:ser>
          <c:idx val="0"/>
          <c:order val="0"/>
          <c:tx>
            <c:strRef>
              <c:f>Summary!$AX$18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Summary!$AX$32:$AX$35</c:f>
              <c:numCache>
                <c:formatCode>0</c:formatCode>
                <c:ptCount val="4"/>
                <c:pt idx="0">
                  <c:v>448</c:v>
                </c:pt>
                <c:pt idx="1">
                  <c:v>336</c:v>
                </c:pt>
                <c:pt idx="2">
                  <c:v>224</c:v>
                </c:pt>
                <c:pt idx="3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C-491B-B8B4-A7FE485D1E9A}"/>
            </c:ext>
          </c:extLst>
        </c:ser>
        <c:ser>
          <c:idx val="1"/>
          <c:order val="1"/>
          <c:tx>
            <c:strRef>
              <c:f>Summary!$AY$18</c:f>
              <c:strCache>
                <c:ptCount val="1"/>
                <c:pt idx="0">
                  <c:v>LLM API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Summary!$AY$32:$AY$35</c:f>
              <c:numCache>
                <c:formatCode>0</c:formatCode>
                <c:ptCount val="4"/>
                <c:pt idx="0">
                  <c:v>423</c:v>
                </c:pt>
                <c:pt idx="1">
                  <c:v>315</c:v>
                </c:pt>
                <c:pt idx="2" formatCode="General">
                  <c:v>216</c:v>
                </c:pt>
                <c:pt idx="3" formatCode="General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C-491B-B8B4-A7FE485D1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907487370530297"/>
          <c:y val="8.5351016532692572E-2"/>
          <c:w val="0.7553468651610612"/>
          <c:h val="6.5600758654871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Extraction Time Saving vs Manual</a:t>
            </a:r>
          </a:p>
        </c:rich>
      </c:tx>
      <c:layout>
        <c:manualLayout>
          <c:xMode val="edge"/>
          <c:yMode val="edge"/>
          <c:x val="0.24463438528167017"/>
          <c:y val="3.2384134929114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3839488337969137"/>
          <c:h val="0.75814401600899661"/>
        </c:manualLayout>
      </c:layout>
      <c:lineChart>
        <c:grouping val="standard"/>
        <c:varyColors val="0"/>
        <c:ser>
          <c:idx val="0"/>
          <c:order val="0"/>
          <c:tx>
            <c:strRef>
              <c:f>Summary!$V$46</c:f>
              <c:strCache>
                <c:ptCount val="1"/>
                <c:pt idx="0">
                  <c:v>LLM API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Summary!$V$47:$V$50</c:f>
              <c:numCache>
                <c:formatCode>0</c:formatCode>
                <c:ptCount val="4"/>
                <c:pt idx="0">
                  <c:v>-1</c:v>
                </c:pt>
                <c:pt idx="1">
                  <c:v>-9.6666666666666714</c:v>
                </c:pt>
                <c:pt idx="2">
                  <c:v>-8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3-493B-A1BB-B68C8A521F4A}"/>
            </c:ext>
          </c:extLst>
        </c:ser>
        <c:ser>
          <c:idx val="1"/>
          <c:order val="1"/>
          <c:tx>
            <c:strRef>
              <c:f>Summary!$W$46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Summary!$W$47:$W$50</c:f>
              <c:numCache>
                <c:formatCode>0</c:formatCode>
                <c:ptCount val="4"/>
                <c:pt idx="0">
                  <c:v>70</c:v>
                </c:pt>
                <c:pt idx="1">
                  <c:v>70</c:v>
                </c:pt>
                <c:pt idx="2">
                  <c:v>69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3-493B-A1BB-B68C8A521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100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2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45986655223267"/>
          <c:y val="9.0275370345110878E-2"/>
          <c:w val="0.58253857850512369"/>
          <c:h val="8.326537462891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(10-Q)</a:t>
            </a:r>
          </a:p>
        </c:rich>
      </c:tx>
      <c:layout>
        <c:manualLayout>
          <c:xMode val="edge"/>
          <c:yMode val="edge"/>
          <c:x val="0.23519476161384967"/>
          <c:y val="2.2863380096384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2378928287686748"/>
          <c:h val="0.72372870791808885"/>
        </c:manualLayout>
      </c:layout>
      <c:lineChart>
        <c:grouping val="standard"/>
        <c:varyColors val="0"/>
        <c:ser>
          <c:idx val="0"/>
          <c:order val="0"/>
          <c:tx>
            <c:strRef>
              <c:f>Summary!$AJ$31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Summary!$U$47:$U$50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Summary!$AJ$47:$AJ$50</c:f>
              <c:numCache>
                <c:formatCode>0</c:formatCode>
                <c:ptCount val="4"/>
                <c:pt idx="0">
                  <c:v>444</c:v>
                </c:pt>
                <c:pt idx="1">
                  <c:v>333</c:v>
                </c:pt>
                <c:pt idx="2">
                  <c:v>222</c:v>
                </c:pt>
                <c:pt idx="3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D-4351-AB00-EB8C5B7BB3EF}"/>
            </c:ext>
          </c:extLst>
        </c:ser>
        <c:ser>
          <c:idx val="2"/>
          <c:order val="1"/>
          <c:tx>
            <c:strRef>
              <c:f>Summary!$AK$31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Summary!$U$47:$U$50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Summary!$AK$47:$AK$50</c:f>
              <c:numCache>
                <c:formatCode>0</c:formatCode>
                <c:ptCount val="4"/>
                <c:pt idx="0">
                  <c:v>165</c:v>
                </c:pt>
                <c:pt idx="1">
                  <c:v>124</c:v>
                </c:pt>
                <c:pt idx="2">
                  <c:v>83</c:v>
                </c:pt>
                <c:pt idx="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D-4351-AB00-EB8C5B7BB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972061040612274"/>
          <c:y val="8.3975205474676781E-2"/>
          <c:w val="0.75387931405364006"/>
          <c:h val="8.351261589394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(Presentation)</a:t>
            </a:r>
          </a:p>
        </c:rich>
      </c:tx>
      <c:layout>
        <c:manualLayout>
          <c:xMode val="edge"/>
          <c:yMode val="edge"/>
          <c:x val="0.18784579346936472"/>
          <c:y val="7.750200072569025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1649700154836657"/>
          <c:h val="0.739421726400594"/>
        </c:manualLayout>
      </c:layout>
      <c:lineChart>
        <c:grouping val="standard"/>
        <c:varyColors val="0"/>
        <c:ser>
          <c:idx val="0"/>
          <c:order val="0"/>
          <c:tx>
            <c:strRef>
              <c:f>Summary!$AX$18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Summary!$AX$47:$AX$50</c:f>
              <c:numCache>
                <c:formatCode>0</c:formatCode>
                <c:ptCount val="4"/>
                <c:pt idx="0">
                  <c:v>444</c:v>
                </c:pt>
                <c:pt idx="1">
                  <c:v>333</c:v>
                </c:pt>
                <c:pt idx="2">
                  <c:v>222</c:v>
                </c:pt>
                <c:pt idx="3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F-4586-9B0B-B2F315991FC6}"/>
            </c:ext>
          </c:extLst>
        </c:ser>
        <c:ser>
          <c:idx val="1"/>
          <c:order val="1"/>
          <c:tx>
            <c:strRef>
              <c:f>Summary!$AY$18</c:f>
              <c:strCache>
                <c:ptCount val="1"/>
                <c:pt idx="0">
                  <c:v>LLM API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Summary!$AY$47:$AY$50</c:f>
              <c:numCache>
                <c:formatCode>0</c:formatCode>
                <c:ptCount val="4"/>
                <c:pt idx="0">
                  <c:v>459.66666666666669</c:v>
                </c:pt>
                <c:pt idx="1">
                  <c:v>347.66666666666669</c:v>
                </c:pt>
                <c:pt idx="2" formatCode="General">
                  <c:v>227</c:v>
                </c:pt>
                <c:pt idx="3" formatCode="General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F-4586-9B0B-B2F31599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624333248666496"/>
          <c:y val="8.0390701009756205E-2"/>
          <c:w val="0.7553468651610612"/>
          <c:h val="7.0561074177808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Extraction Time Saving vs Manual</a:t>
            </a:r>
          </a:p>
        </c:rich>
      </c:tx>
      <c:layout>
        <c:manualLayout>
          <c:xMode val="edge"/>
          <c:yMode val="edge"/>
          <c:x val="0.24463438528167017"/>
          <c:y val="3.2384134929114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3839488337969137"/>
          <c:h val="0.75814401600899661"/>
        </c:manualLayout>
      </c:layout>
      <c:lineChart>
        <c:grouping val="standard"/>
        <c:varyColors val="0"/>
        <c:ser>
          <c:idx val="0"/>
          <c:order val="0"/>
          <c:tx>
            <c:strRef>
              <c:f>Summary!$V$46</c:f>
              <c:strCache>
                <c:ptCount val="1"/>
                <c:pt idx="0">
                  <c:v>LLM API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Summary!$V$64:$V$67</c:f>
              <c:numCache>
                <c:formatCode>0</c:formatCode>
                <c:ptCount val="4"/>
                <c:pt idx="0">
                  <c:v>28</c:v>
                </c:pt>
                <c:pt idx="1">
                  <c:v>32</c:v>
                </c:pt>
                <c:pt idx="2">
                  <c:v>33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A-4986-A65E-F539560E0890}"/>
            </c:ext>
          </c:extLst>
        </c:ser>
        <c:ser>
          <c:idx val="1"/>
          <c:order val="1"/>
          <c:tx>
            <c:strRef>
              <c:f>Summary!$W$46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Summary!$W$64:$W$67</c:f>
              <c:numCache>
                <c:formatCode>0</c:formatCode>
                <c:ptCount val="4"/>
                <c:pt idx="0">
                  <c:v>94</c:v>
                </c:pt>
                <c:pt idx="1">
                  <c:v>-65.56</c:v>
                </c:pt>
                <c:pt idx="2">
                  <c:v>41.480000000000004</c:v>
                </c:pt>
                <c:pt idx="3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A-4986-A65E-F539560E0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45986655223267"/>
          <c:y val="9.0275370345110878E-2"/>
          <c:w val="0.58253857850512369"/>
          <c:h val="8.326537462891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(10-Q)</a:t>
            </a:r>
          </a:p>
        </c:rich>
      </c:tx>
      <c:layout>
        <c:manualLayout>
          <c:xMode val="edge"/>
          <c:yMode val="edge"/>
          <c:x val="0.23519476161384967"/>
          <c:y val="2.2863380096384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2378928287686748"/>
          <c:h val="0.72372870791808885"/>
        </c:manualLayout>
      </c:layout>
      <c:lineChart>
        <c:grouping val="standard"/>
        <c:varyColors val="0"/>
        <c:ser>
          <c:idx val="0"/>
          <c:order val="0"/>
          <c:tx>
            <c:strRef>
              <c:f>Summary!$AJ$31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Summary!$U$64:$U$67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Summary!$AJ$64:$AJ$67</c:f>
              <c:numCache>
                <c:formatCode>0</c:formatCode>
                <c:ptCount val="4"/>
                <c:pt idx="0">
                  <c:v>560</c:v>
                </c:pt>
                <c:pt idx="1">
                  <c:v>420</c:v>
                </c:pt>
                <c:pt idx="2">
                  <c:v>280</c:v>
                </c:pt>
                <c:pt idx="3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E6-4ABF-B05C-51C4FB387FAC}"/>
            </c:ext>
          </c:extLst>
        </c:ser>
        <c:ser>
          <c:idx val="2"/>
          <c:order val="1"/>
          <c:tx>
            <c:strRef>
              <c:f>Summary!$AK$31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Summary!$U$64:$U$67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Summary!$AK$64:$AK$67</c:f>
              <c:numCache>
                <c:formatCode>0</c:formatCode>
                <c:ptCount val="4"/>
                <c:pt idx="0">
                  <c:v>396.08</c:v>
                </c:pt>
                <c:pt idx="1">
                  <c:v>350.08</c:v>
                </c:pt>
                <c:pt idx="2">
                  <c:v>144.51999999999998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E6-4ABF-B05C-51C4FB387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034532378051962"/>
          <c:y val="8.3882246620589559E-2"/>
          <c:w val="0.75387931405364006"/>
          <c:h val="8.351261589394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(Presentation)</a:t>
            </a:r>
          </a:p>
        </c:rich>
      </c:tx>
      <c:layout>
        <c:manualLayout>
          <c:xMode val="edge"/>
          <c:yMode val="edge"/>
          <c:x val="0.18784579346936472"/>
          <c:y val="1.7974589585460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1649700154836657"/>
          <c:h val="0.739421726400594"/>
        </c:manualLayout>
      </c:layout>
      <c:lineChart>
        <c:grouping val="standard"/>
        <c:varyColors val="0"/>
        <c:ser>
          <c:idx val="0"/>
          <c:order val="0"/>
          <c:tx>
            <c:strRef>
              <c:f>Summary!$AX$18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Summary!$AX$64:$AX$67</c:f>
              <c:numCache>
                <c:formatCode>0</c:formatCode>
                <c:ptCount val="4"/>
                <c:pt idx="0">
                  <c:v>560</c:v>
                </c:pt>
                <c:pt idx="1">
                  <c:v>420</c:v>
                </c:pt>
                <c:pt idx="2">
                  <c:v>280</c:v>
                </c:pt>
                <c:pt idx="3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A-4A19-8A65-B8FE074D3D89}"/>
            </c:ext>
          </c:extLst>
        </c:ser>
        <c:ser>
          <c:idx val="1"/>
          <c:order val="1"/>
          <c:tx>
            <c:strRef>
              <c:f>Summary!$AY$18</c:f>
              <c:strCache>
                <c:ptCount val="1"/>
                <c:pt idx="0">
                  <c:v>LLM API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Summary!$AY$64:$AY$67</c:f>
              <c:numCache>
                <c:formatCode>0</c:formatCode>
                <c:ptCount val="4"/>
                <c:pt idx="0">
                  <c:v>431</c:v>
                </c:pt>
                <c:pt idx="1">
                  <c:v>319</c:v>
                </c:pt>
                <c:pt idx="2" formatCode="General">
                  <c:v>211</c:v>
                </c:pt>
                <c:pt idx="3" formatCode="General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A-4A19-8A65-B8FE074D3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624333248666496"/>
          <c:y val="9.5271647578565349E-2"/>
          <c:w val="0.7553468651610612"/>
          <c:h val="6.5600758654871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Extraction Time Saving vs Manual</a:t>
            </a:r>
          </a:p>
        </c:rich>
      </c:tx>
      <c:layout>
        <c:manualLayout>
          <c:xMode val="edge"/>
          <c:yMode val="edge"/>
          <c:x val="0.24463438528167017"/>
          <c:y val="3.2384134929114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3839488337969137"/>
          <c:h val="0.75814401600899661"/>
        </c:manualLayout>
      </c:layout>
      <c:lineChart>
        <c:grouping val="standard"/>
        <c:varyColors val="0"/>
        <c:ser>
          <c:idx val="0"/>
          <c:order val="0"/>
          <c:tx>
            <c:strRef>
              <c:f>Summary!$V$46</c:f>
              <c:strCache>
                <c:ptCount val="1"/>
                <c:pt idx="0">
                  <c:v>LLM API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Summary!$V$80:$V$83</c:f>
              <c:numCache>
                <c:formatCode>0</c:formatCode>
                <c:ptCount val="4"/>
                <c:pt idx="0">
                  <c:v>14</c:v>
                </c:pt>
                <c:pt idx="1">
                  <c:v>39.666666666666657</c:v>
                </c:pt>
                <c:pt idx="2">
                  <c:v>43</c:v>
                </c:pt>
                <c:pt idx="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3-4F44-A6F1-7439640E51BA}"/>
            </c:ext>
          </c:extLst>
        </c:ser>
        <c:ser>
          <c:idx val="1"/>
          <c:order val="1"/>
          <c:tx>
            <c:strRef>
              <c:f>Summary!$W$46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numRef>
              <c:f>Summary!$U$19:$U$22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Summary!$W$80:$W$83</c:f>
              <c:numCache>
                <c:formatCode>0</c:formatCode>
                <c:ptCount val="4"/>
                <c:pt idx="0">
                  <c:v>86</c:v>
                </c:pt>
                <c:pt idx="1">
                  <c:v>63.32</c:v>
                </c:pt>
                <c:pt idx="2">
                  <c:v>20.960000000000008</c:v>
                </c:pt>
                <c:pt idx="3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3-4F44-A6F1-7439640E5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45986655223267"/>
          <c:y val="9.0275370345110878E-2"/>
          <c:w val="0.58253857850512369"/>
          <c:h val="8.326537462891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(10-Q)</a:t>
            </a:r>
          </a:p>
        </c:rich>
      </c:tx>
      <c:layout>
        <c:manualLayout>
          <c:xMode val="edge"/>
          <c:yMode val="edge"/>
          <c:x val="0.23519476161384967"/>
          <c:y val="2.2863380096384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2378928287686748"/>
          <c:h val="0.72372870791808885"/>
        </c:manualLayout>
      </c:layout>
      <c:lineChart>
        <c:grouping val="standard"/>
        <c:varyColors val="0"/>
        <c:ser>
          <c:idx val="0"/>
          <c:order val="0"/>
          <c:tx>
            <c:strRef>
              <c:f>Summary!$AJ$31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Summary!$U$80:$U$83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Summary!$AJ$80:$AJ$83</c:f>
              <c:numCache>
                <c:formatCode>0</c:formatCode>
                <c:ptCount val="4"/>
                <c:pt idx="0">
                  <c:v>432</c:v>
                </c:pt>
                <c:pt idx="1">
                  <c:v>324</c:v>
                </c:pt>
                <c:pt idx="2">
                  <c:v>216</c:v>
                </c:pt>
                <c:pt idx="3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E-4FF6-825F-66A585D433F6}"/>
            </c:ext>
          </c:extLst>
        </c:ser>
        <c:ser>
          <c:idx val="2"/>
          <c:order val="1"/>
          <c:tx>
            <c:strRef>
              <c:f>Summary!$AK$31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Summary!$U$80:$U$83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Summary!$AK$80:$AK$83</c:f>
              <c:numCache>
                <c:formatCode>0</c:formatCode>
                <c:ptCount val="4"/>
                <c:pt idx="0">
                  <c:v>174.72</c:v>
                </c:pt>
                <c:pt idx="1">
                  <c:v>152.72</c:v>
                </c:pt>
                <c:pt idx="2">
                  <c:v>108.03999999999999</c:v>
                </c:pt>
                <c:pt idx="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E-4FF6-825F-66A585D43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320817463085367"/>
          <c:y val="7.9270662822868015E-2"/>
          <c:w val="0.75387931405364006"/>
          <c:h val="8.351261589394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Cumulative Extraction Time (Presentation)</a:t>
            </a:r>
          </a:p>
        </c:rich>
      </c:tx>
      <c:layout>
        <c:manualLayout>
          <c:xMode val="edge"/>
          <c:yMode val="edge"/>
          <c:x val="0.18784579346936472"/>
          <c:y val="1.2710515595505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1649700154836657"/>
          <c:h val="0.739421726400594"/>
        </c:manualLayout>
      </c:layout>
      <c:lineChart>
        <c:grouping val="standard"/>
        <c:varyColors val="0"/>
        <c:ser>
          <c:idx val="0"/>
          <c:order val="0"/>
          <c:tx>
            <c:strRef>
              <c:f>Summary!$AX$18</c:f>
              <c:strCache>
                <c:ptCount val="1"/>
                <c:pt idx="0">
                  <c:v>Advanced Excel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Summary!$AX$80:$AX$83</c:f>
              <c:numCache>
                <c:formatCode>0</c:formatCode>
                <c:ptCount val="4"/>
                <c:pt idx="0">
                  <c:v>432</c:v>
                </c:pt>
                <c:pt idx="1">
                  <c:v>324</c:v>
                </c:pt>
                <c:pt idx="2">
                  <c:v>216</c:v>
                </c:pt>
                <c:pt idx="3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1-409C-96FB-9E4573653FD9}"/>
            </c:ext>
          </c:extLst>
        </c:ser>
        <c:ser>
          <c:idx val="1"/>
          <c:order val="1"/>
          <c:tx>
            <c:strRef>
              <c:f>Summary!$AY$18</c:f>
              <c:strCache>
                <c:ptCount val="1"/>
                <c:pt idx="0">
                  <c:v>LLM API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Summary!$AY$80:$AY$83</c:f>
              <c:numCache>
                <c:formatCode>0</c:formatCode>
                <c:ptCount val="4"/>
                <c:pt idx="0">
                  <c:v>282.33333333333337</c:v>
                </c:pt>
                <c:pt idx="1">
                  <c:v>188.33333333333334</c:v>
                </c:pt>
                <c:pt idx="2" formatCode="General">
                  <c:v>120</c:v>
                </c:pt>
                <c:pt idx="3" formatCode="General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1-409C-96FB-9E4573653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982756187734597"/>
          <c:y val="8.5351016532692572E-2"/>
          <c:w val="0.7553468651610612"/>
          <c:h val="6.5600758654871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Extraction Time Saving vs Manual</a:t>
            </a:r>
          </a:p>
        </c:rich>
      </c:tx>
      <c:layout>
        <c:manualLayout>
          <c:xMode val="edge"/>
          <c:yMode val="edge"/>
          <c:x val="0.24463438528167017"/>
          <c:y val="3.2384134929114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3566771280048"/>
          <c:y val="0.15299602752358657"/>
          <c:w val="0.83839488337969137"/>
          <c:h val="0.75814401600899661"/>
        </c:manualLayout>
      </c:layout>
      <c:lineChart>
        <c:grouping val="standard"/>
        <c:varyColors val="0"/>
        <c:ser>
          <c:idx val="0"/>
          <c:order val="0"/>
          <c:tx>
            <c:strRef>
              <c:f>Summary!$V$18</c:f>
              <c:strCache>
                <c:ptCount val="1"/>
                <c:pt idx="0">
                  <c:v>LLM API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Summary!$V$32:$V$35</c:f>
              <c:numCache>
                <c:formatCode>0</c:formatCode>
                <c:ptCount val="4"/>
                <c:pt idx="0">
                  <c:v>4</c:v>
                </c:pt>
                <c:pt idx="1">
                  <c:v>13</c:v>
                </c:pt>
                <c:pt idx="2">
                  <c:v>-5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E-4A6F-B55B-BFFF801560CA}"/>
            </c:ext>
          </c:extLst>
        </c:ser>
        <c:ser>
          <c:idx val="1"/>
          <c:order val="1"/>
          <c:tx>
            <c:strRef>
              <c:f>Summary!$W$18</c:f>
              <c:strCache>
                <c:ptCount val="1"/>
                <c:pt idx="0">
                  <c:v>Python Modules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numRef>
              <c:f>Summary!$U$32:$U$35</c:f>
              <c:numCache>
                <c:formatCode>m/d/yyyy</c:formatCode>
                <c:ptCount val="4"/>
                <c:pt idx="0">
                  <c:v>45657</c:v>
                </c:pt>
                <c:pt idx="1">
                  <c:v>45565</c:v>
                </c:pt>
                <c:pt idx="2">
                  <c:v>45473</c:v>
                </c:pt>
                <c:pt idx="3">
                  <c:v>45382</c:v>
                </c:pt>
              </c:numCache>
            </c:numRef>
          </c:cat>
          <c:val>
            <c:numRef>
              <c:f>Summary!$W$32:$W$35</c:f>
              <c:numCache>
                <c:formatCode>0</c:formatCode>
                <c:ptCount val="4"/>
                <c:pt idx="0">
                  <c:v>82</c:v>
                </c:pt>
                <c:pt idx="1">
                  <c:v>88</c:v>
                </c:pt>
                <c:pt idx="2">
                  <c:v>90</c:v>
                </c:pt>
                <c:pt idx="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FE-4A6F-B55B-BFFF80156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44944"/>
        <c:axId val="1430545424"/>
      </c:lineChart>
      <c:dateAx>
        <c:axId val="1430544944"/>
        <c:scaling>
          <c:orientation val="minMax"/>
          <c:max val="45657"/>
          <c:min val="4538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5424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305454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(seconds)</a:t>
                </a:r>
              </a:p>
            </c:rich>
          </c:tx>
          <c:layout>
            <c:manualLayout>
              <c:xMode val="edge"/>
              <c:yMode val="edge"/>
              <c:x val="3.6496381829169921E-3"/>
              <c:y val="3.8661693101561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44944"/>
        <c:crossesAt val="45382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732246450008435"/>
          <c:y val="0.16188211591099655"/>
          <c:w val="0.58253857850512369"/>
          <c:h val="8.326537462891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30.png"/><Relationship Id="rId10" Type="http://schemas.openxmlformats.org/officeDocument/2006/relationships/image" Target="../media/image35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4" Type="http://schemas.openxmlformats.org/officeDocument/2006/relationships/image" Target="../media/image4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3" Type="http://schemas.openxmlformats.org/officeDocument/2006/relationships/image" Target="../media/image52.png"/><Relationship Id="rId7" Type="http://schemas.openxmlformats.org/officeDocument/2006/relationships/image" Target="../media/image56.png"/><Relationship Id="rId12" Type="http://schemas.openxmlformats.org/officeDocument/2006/relationships/image" Target="../media/image61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6" Type="http://schemas.openxmlformats.org/officeDocument/2006/relationships/image" Target="../media/image55.png"/><Relationship Id="rId11" Type="http://schemas.openxmlformats.org/officeDocument/2006/relationships/image" Target="../media/image60.png"/><Relationship Id="rId5" Type="http://schemas.openxmlformats.org/officeDocument/2006/relationships/image" Target="../media/image54.png"/><Relationship Id="rId10" Type="http://schemas.openxmlformats.org/officeDocument/2006/relationships/image" Target="../media/image59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9.png"/><Relationship Id="rId3" Type="http://schemas.openxmlformats.org/officeDocument/2006/relationships/image" Target="../media/image64.png"/><Relationship Id="rId7" Type="http://schemas.openxmlformats.org/officeDocument/2006/relationships/image" Target="../media/image68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5" Type="http://schemas.openxmlformats.org/officeDocument/2006/relationships/image" Target="../media/image66.png"/><Relationship Id="rId4" Type="http://schemas.openxmlformats.org/officeDocument/2006/relationships/image" Target="../media/image6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Relationship Id="rId4" Type="http://schemas.openxmlformats.org/officeDocument/2006/relationships/image" Target="../media/image73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75.png"/><Relationship Id="rId7" Type="http://schemas.openxmlformats.org/officeDocument/2006/relationships/image" Target="../media/image79.png"/><Relationship Id="rId12" Type="http://schemas.openxmlformats.org/officeDocument/2006/relationships/image" Target="../media/image84.png"/><Relationship Id="rId2" Type="http://schemas.openxmlformats.org/officeDocument/2006/relationships/image" Target="../media/image74.png"/><Relationship Id="rId1" Type="http://schemas.openxmlformats.org/officeDocument/2006/relationships/image" Target="../media/image1.png"/><Relationship Id="rId6" Type="http://schemas.openxmlformats.org/officeDocument/2006/relationships/image" Target="../media/image78.png"/><Relationship Id="rId11" Type="http://schemas.openxmlformats.org/officeDocument/2006/relationships/image" Target="../media/image83.png"/><Relationship Id="rId5" Type="http://schemas.openxmlformats.org/officeDocument/2006/relationships/image" Target="../media/image77.png"/><Relationship Id="rId10" Type="http://schemas.openxmlformats.org/officeDocument/2006/relationships/image" Target="../media/image82.png"/><Relationship Id="rId4" Type="http://schemas.openxmlformats.org/officeDocument/2006/relationships/image" Target="../media/image76.png"/><Relationship Id="rId9" Type="http://schemas.openxmlformats.org/officeDocument/2006/relationships/image" Target="../media/image8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2.png"/><Relationship Id="rId3" Type="http://schemas.openxmlformats.org/officeDocument/2006/relationships/image" Target="../media/image87.png"/><Relationship Id="rId7" Type="http://schemas.openxmlformats.org/officeDocument/2006/relationships/image" Target="../media/image91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6" Type="http://schemas.openxmlformats.org/officeDocument/2006/relationships/image" Target="../media/image90.png"/><Relationship Id="rId5" Type="http://schemas.openxmlformats.org/officeDocument/2006/relationships/image" Target="../media/image89.png"/><Relationship Id="rId4" Type="http://schemas.openxmlformats.org/officeDocument/2006/relationships/image" Target="../media/image8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5.png"/><Relationship Id="rId2" Type="http://schemas.openxmlformats.org/officeDocument/2006/relationships/image" Target="../media/image94.png"/><Relationship Id="rId1" Type="http://schemas.openxmlformats.org/officeDocument/2006/relationships/image" Target="../media/image93.png"/><Relationship Id="rId4" Type="http://schemas.openxmlformats.org/officeDocument/2006/relationships/image" Target="../media/image96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png"/><Relationship Id="rId3" Type="http://schemas.openxmlformats.org/officeDocument/2006/relationships/image" Target="../media/image99.png"/><Relationship Id="rId7" Type="http://schemas.openxmlformats.org/officeDocument/2006/relationships/image" Target="../media/image103.png"/><Relationship Id="rId2" Type="http://schemas.openxmlformats.org/officeDocument/2006/relationships/image" Target="../media/image98.png"/><Relationship Id="rId1" Type="http://schemas.openxmlformats.org/officeDocument/2006/relationships/image" Target="../media/image97.png"/><Relationship Id="rId6" Type="http://schemas.openxmlformats.org/officeDocument/2006/relationships/image" Target="../media/image102.png"/><Relationship Id="rId5" Type="http://schemas.openxmlformats.org/officeDocument/2006/relationships/image" Target="../media/image101.png"/><Relationship Id="rId4" Type="http://schemas.openxmlformats.org/officeDocument/2006/relationships/image" Target="../media/image100.png"/><Relationship Id="rId9" Type="http://schemas.openxmlformats.org/officeDocument/2006/relationships/image" Target="../media/image105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3.png"/><Relationship Id="rId3" Type="http://schemas.openxmlformats.org/officeDocument/2006/relationships/image" Target="../media/image108.png"/><Relationship Id="rId7" Type="http://schemas.openxmlformats.org/officeDocument/2006/relationships/image" Target="../media/image112.png"/><Relationship Id="rId12" Type="http://schemas.openxmlformats.org/officeDocument/2006/relationships/image" Target="../media/image117.png"/><Relationship Id="rId2" Type="http://schemas.openxmlformats.org/officeDocument/2006/relationships/image" Target="../media/image107.png"/><Relationship Id="rId1" Type="http://schemas.openxmlformats.org/officeDocument/2006/relationships/image" Target="../media/image106.png"/><Relationship Id="rId6" Type="http://schemas.openxmlformats.org/officeDocument/2006/relationships/image" Target="../media/image111.png"/><Relationship Id="rId11" Type="http://schemas.openxmlformats.org/officeDocument/2006/relationships/image" Target="../media/image116.png"/><Relationship Id="rId5" Type="http://schemas.openxmlformats.org/officeDocument/2006/relationships/image" Target="../media/image110.png"/><Relationship Id="rId10" Type="http://schemas.openxmlformats.org/officeDocument/2006/relationships/image" Target="../media/image115.png"/><Relationship Id="rId4" Type="http://schemas.openxmlformats.org/officeDocument/2006/relationships/image" Target="../media/image109.png"/><Relationship Id="rId9" Type="http://schemas.openxmlformats.org/officeDocument/2006/relationships/image" Target="../media/image11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0.png"/><Relationship Id="rId2" Type="http://schemas.openxmlformats.org/officeDocument/2006/relationships/image" Target="../media/image119.png"/><Relationship Id="rId1" Type="http://schemas.openxmlformats.org/officeDocument/2006/relationships/image" Target="../media/image118.png"/><Relationship Id="rId5" Type="http://schemas.openxmlformats.org/officeDocument/2006/relationships/image" Target="../media/image122.png"/><Relationship Id="rId4" Type="http://schemas.openxmlformats.org/officeDocument/2006/relationships/image" Target="../media/image1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248921</xdr:colOff>
      <xdr:row>10</xdr:row>
      <xdr:rowOff>0</xdr:rowOff>
    </xdr:from>
    <xdr:to>
      <xdr:col>32</xdr:col>
      <xdr:colOff>104985</xdr:colOff>
      <xdr:row>22</xdr:row>
      <xdr:rowOff>48260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2C06C-32F3-4AB6-A812-B3377AAF8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367452</xdr:colOff>
      <xdr:row>7</xdr:row>
      <xdr:rowOff>121920</xdr:rowOff>
    </xdr:from>
    <xdr:to>
      <xdr:col>47</xdr:col>
      <xdr:colOff>99059</xdr:colOff>
      <xdr:row>22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F4994B-C3C9-4909-A68A-8153298A2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202354</xdr:colOff>
      <xdr:row>8</xdr:row>
      <xdr:rowOff>53340</xdr:rowOff>
    </xdr:from>
    <xdr:to>
      <xdr:col>60</xdr:col>
      <xdr:colOff>213360</xdr:colOff>
      <xdr:row>22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57401E-3B8D-4A3B-AF27-97C8EE605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343747</xdr:colOff>
      <xdr:row>22</xdr:row>
      <xdr:rowOff>94827</xdr:rowOff>
    </xdr:from>
    <xdr:to>
      <xdr:col>46</xdr:col>
      <xdr:colOff>30477</xdr:colOff>
      <xdr:row>37</xdr:row>
      <xdr:rowOff>80434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41D78B-47BC-4B62-A575-08A3DCD41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266700</xdr:colOff>
      <xdr:row>22</xdr:row>
      <xdr:rowOff>167640</xdr:rowOff>
    </xdr:from>
    <xdr:to>
      <xdr:col>60</xdr:col>
      <xdr:colOff>152400</xdr:colOff>
      <xdr:row>37</xdr:row>
      <xdr:rowOff>45721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B5198B-3E6A-4359-B013-70BD35E4C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381000</xdr:colOff>
      <xdr:row>37</xdr:row>
      <xdr:rowOff>76200</xdr:rowOff>
    </xdr:from>
    <xdr:to>
      <xdr:col>34</xdr:col>
      <xdr:colOff>99060</xdr:colOff>
      <xdr:row>51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31EAE6E-9311-4B3C-86A4-3145932AA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347979</xdr:colOff>
      <xdr:row>37</xdr:row>
      <xdr:rowOff>12700</xdr:rowOff>
    </xdr:from>
    <xdr:to>
      <xdr:col>46</xdr:col>
      <xdr:colOff>34709</xdr:colOff>
      <xdr:row>52</xdr:row>
      <xdr:rowOff>5927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2BCBFF2-0EA9-40D9-8EF4-EC7832F69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54</xdr:col>
      <xdr:colOff>388620</xdr:colOff>
      <xdr:row>37</xdr:row>
      <xdr:rowOff>129540</xdr:rowOff>
    </xdr:from>
    <xdr:to>
      <xdr:col>60</xdr:col>
      <xdr:colOff>274320</xdr:colOff>
      <xdr:row>52</xdr:row>
      <xdr:rowOff>15241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F5CB2E0-93EF-4CF3-9177-A5DA62821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403860</xdr:colOff>
      <xdr:row>52</xdr:row>
      <xdr:rowOff>121920</xdr:rowOff>
    </xdr:from>
    <xdr:to>
      <xdr:col>32</xdr:col>
      <xdr:colOff>160020</xdr:colOff>
      <xdr:row>66</xdr:row>
      <xdr:rowOff>137160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F2E1508-3C37-43AE-9E7A-350CD48AC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355599</xdr:colOff>
      <xdr:row>52</xdr:row>
      <xdr:rowOff>111760</xdr:rowOff>
    </xdr:from>
    <xdr:to>
      <xdr:col>46</xdr:col>
      <xdr:colOff>42329</xdr:colOff>
      <xdr:row>67</xdr:row>
      <xdr:rowOff>112607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936D182-D509-4544-856C-561140A51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54</xdr:col>
      <xdr:colOff>388620</xdr:colOff>
      <xdr:row>53</xdr:row>
      <xdr:rowOff>0</xdr:rowOff>
    </xdr:from>
    <xdr:to>
      <xdr:col>60</xdr:col>
      <xdr:colOff>274320</xdr:colOff>
      <xdr:row>67</xdr:row>
      <xdr:rowOff>68581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7266891-178B-4B83-B514-930069CBF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396240</xdr:colOff>
      <xdr:row>68</xdr:row>
      <xdr:rowOff>144780</xdr:rowOff>
    </xdr:from>
    <xdr:to>
      <xdr:col>32</xdr:col>
      <xdr:colOff>152400</xdr:colOff>
      <xdr:row>82</xdr:row>
      <xdr:rowOff>160020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85C7BE6-9567-4706-A8F7-5D3C7A88E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370840</xdr:colOff>
      <xdr:row>68</xdr:row>
      <xdr:rowOff>104140</xdr:rowOff>
    </xdr:from>
    <xdr:to>
      <xdr:col>46</xdr:col>
      <xdr:colOff>57570</xdr:colOff>
      <xdr:row>83</xdr:row>
      <xdr:rowOff>104987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F63C83D-4FCD-4A9D-AE2E-7BCDEA8E0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54</xdr:col>
      <xdr:colOff>381000</xdr:colOff>
      <xdr:row>69</xdr:row>
      <xdr:rowOff>76200</xdr:rowOff>
    </xdr:from>
    <xdr:to>
      <xdr:col>60</xdr:col>
      <xdr:colOff>266700</xdr:colOff>
      <xdr:row>83</xdr:row>
      <xdr:rowOff>144781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594CBF1-7DAA-4C0D-AB93-BF383D54D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313267</xdr:colOff>
      <xdr:row>22</xdr:row>
      <xdr:rowOff>101600</xdr:rowOff>
    </xdr:from>
    <xdr:to>
      <xdr:col>32</xdr:col>
      <xdr:colOff>169331</xdr:colOff>
      <xdr:row>37</xdr:row>
      <xdr:rowOff>63499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E4701A2-67B6-47A6-8CAF-7E833AF9C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10</xdr:col>
      <xdr:colOff>7620</xdr:colOff>
      <xdr:row>4</xdr:row>
      <xdr:rowOff>76200</xdr:rowOff>
    </xdr:from>
    <xdr:to>
      <xdr:col>18</xdr:col>
      <xdr:colOff>234954</xdr:colOff>
      <xdr:row>9</xdr:row>
      <xdr:rowOff>152484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6FFF402-09F8-4CA3-AB61-53B248FC7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13120" y="723900"/>
          <a:ext cx="4936494" cy="952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601980</xdr:colOff>
      <xdr:row>0</xdr:row>
      <xdr:rowOff>169442</xdr:rowOff>
    </xdr:from>
    <xdr:to>
      <xdr:col>13</xdr:col>
      <xdr:colOff>542025</xdr:colOff>
      <xdr:row>14</xdr:row>
      <xdr:rowOff>46088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6C7311-21C3-EC6D-030C-551361D59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69442"/>
          <a:ext cx="6356085" cy="2330286"/>
        </a:xfrm>
        <a:prstGeom prst="rect">
          <a:avLst/>
        </a:prstGeom>
      </xdr:spPr>
    </xdr:pic>
    <xdr:clientData/>
  </xdr:twoCellAnchor>
  <xdr:twoCellAnchor editAs="oneCell">
    <xdr:from>
      <xdr:col>3</xdr:col>
      <xdr:colOff>594360</xdr:colOff>
      <xdr:row>16</xdr:row>
      <xdr:rowOff>112420</xdr:rowOff>
    </xdr:from>
    <xdr:to>
      <xdr:col>13</xdr:col>
      <xdr:colOff>488692</xdr:colOff>
      <xdr:row>29</xdr:row>
      <xdr:rowOff>168013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CAD341-7A88-B4BA-6C0E-4477F509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2680" y="2924200"/>
          <a:ext cx="6310372" cy="2333973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32</xdr:row>
      <xdr:rowOff>28212</xdr:rowOff>
    </xdr:from>
    <xdr:to>
      <xdr:col>13</xdr:col>
      <xdr:colOff>366772</xdr:colOff>
      <xdr:row>44</xdr:row>
      <xdr:rowOff>168008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2B6DDC-9A6B-7F65-34DE-A1218A3A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3160" y="5644152"/>
          <a:ext cx="6157972" cy="2242916"/>
        </a:xfrm>
        <a:prstGeom prst="rect">
          <a:avLst/>
        </a:prstGeom>
      </xdr:spPr>
    </xdr:pic>
    <xdr:clientData/>
  </xdr:twoCellAnchor>
  <xdr:twoCellAnchor editAs="oneCell">
    <xdr:from>
      <xdr:col>3</xdr:col>
      <xdr:colOff>655320</xdr:colOff>
      <xdr:row>46</xdr:row>
      <xdr:rowOff>157400</xdr:rowOff>
    </xdr:from>
    <xdr:to>
      <xdr:col>13</xdr:col>
      <xdr:colOff>297180</xdr:colOff>
      <xdr:row>59</xdr:row>
      <xdr:rowOff>67126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16F4F6F-6AA7-4DDB-7ED8-DFCF859B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3640" y="8226980"/>
          <a:ext cx="6057900" cy="2188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281940</xdr:colOff>
      <xdr:row>53</xdr:row>
      <xdr:rowOff>30480</xdr:rowOff>
    </xdr:from>
    <xdr:to>
      <xdr:col>7</xdr:col>
      <xdr:colOff>61152</xdr:colOff>
      <xdr:row>64</xdr:row>
      <xdr:rowOff>167820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C33FF-25E6-5564-0E05-E6CD92D4A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9517380"/>
          <a:ext cx="2209992" cy="2072820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</xdr:colOff>
      <xdr:row>58</xdr:row>
      <xdr:rowOff>129540</xdr:rowOff>
    </xdr:from>
    <xdr:to>
      <xdr:col>25</xdr:col>
      <xdr:colOff>495733</xdr:colOff>
      <xdr:row>64</xdr:row>
      <xdr:rowOff>91528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85D32B-EB8A-8E62-E760-BD508A490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5440" y="11597640"/>
          <a:ext cx="4991533" cy="101354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37</xdr:row>
      <xdr:rowOff>144780</xdr:rowOff>
    </xdr:from>
    <xdr:to>
      <xdr:col>7</xdr:col>
      <xdr:colOff>45720</xdr:colOff>
      <xdr:row>49</xdr:row>
      <xdr:rowOff>179476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89B439-B10C-6606-02C4-532C07D0A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460" y="7437120"/>
          <a:ext cx="2286000" cy="2229256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</xdr:colOff>
      <xdr:row>42</xdr:row>
      <xdr:rowOff>152400</xdr:rowOff>
    </xdr:from>
    <xdr:to>
      <xdr:col>25</xdr:col>
      <xdr:colOff>457627</xdr:colOff>
      <xdr:row>48</xdr:row>
      <xdr:rowOff>61047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6E529C-A223-A054-A865-A5B1BE5C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58300" y="8359140"/>
          <a:ext cx="4930567" cy="100592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21</xdr:row>
      <xdr:rowOff>129540</xdr:rowOff>
    </xdr:from>
    <xdr:to>
      <xdr:col>6</xdr:col>
      <xdr:colOff>312613</xdr:colOff>
      <xdr:row>33</xdr:row>
      <xdr:rowOff>30662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FC6CDF-8B9D-B67D-03F1-B68150F7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2460" y="4130040"/>
          <a:ext cx="2225233" cy="2095682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26</xdr:row>
      <xdr:rowOff>129540</xdr:rowOff>
    </xdr:from>
    <xdr:to>
      <xdr:col>25</xdr:col>
      <xdr:colOff>457628</xdr:colOff>
      <xdr:row>32</xdr:row>
      <xdr:rowOff>22946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F7B4E1-CD62-5664-6968-6767AF98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50680" y="5044440"/>
          <a:ext cx="4938188" cy="990686"/>
        </a:xfrm>
        <a:prstGeom prst="rect">
          <a:avLst/>
        </a:prstGeom>
      </xdr:spPr>
    </xdr:pic>
    <xdr:clientData/>
  </xdr:twoCellAnchor>
  <xdr:twoCellAnchor editAs="oneCell">
    <xdr:from>
      <xdr:col>1</xdr:col>
      <xdr:colOff>175880</xdr:colOff>
      <xdr:row>5</xdr:row>
      <xdr:rowOff>45721</xdr:rowOff>
    </xdr:from>
    <xdr:to>
      <xdr:col>7</xdr:col>
      <xdr:colOff>7620</xdr:colOff>
      <xdr:row>17</xdr:row>
      <xdr:rowOff>144781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0ED7E9-8DDD-1A32-09C9-B731D7C19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7840" y="937261"/>
          <a:ext cx="2262520" cy="229362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</xdr:colOff>
      <xdr:row>10</xdr:row>
      <xdr:rowOff>0</xdr:rowOff>
    </xdr:from>
    <xdr:to>
      <xdr:col>25</xdr:col>
      <xdr:colOff>495731</xdr:colOff>
      <xdr:row>15</xdr:row>
      <xdr:rowOff>61045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E66F80-872D-115D-C26A-DFC6ED1C1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58300" y="1805940"/>
          <a:ext cx="4968671" cy="9754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19</xdr:row>
      <xdr:rowOff>58394</xdr:rowOff>
    </xdr:from>
    <xdr:to>
      <xdr:col>16</xdr:col>
      <xdr:colOff>99729</xdr:colOff>
      <xdr:row>27</xdr:row>
      <xdr:rowOff>114489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817B9D-DE26-6FF5-0AE0-509B1FBB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5340" y="3403574"/>
          <a:ext cx="5128929" cy="14581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</xdr:colOff>
      <xdr:row>3</xdr:row>
      <xdr:rowOff>129540</xdr:rowOff>
    </xdr:from>
    <xdr:to>
      <xdr:col>16</xdr:col>
      <xdr:colOff>38538</xdr:colOff>
      <xdr:row>11</xdr:row>
      <xdr:rowOff>144903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AD6B96-9FDC-9188-E1DC-40E4A56F0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655320"/>
          <a:ext cx="5052498" cy="1417443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</xdr:colOff>
      <xdr:row>36</xdr:row>
      <xdr:rowOff>63501</xdr:rowOff>
    </xdr:from>
    <xdr:to>
      <xdr:col>16</xdr:col>
      <xdr:colOff>103796</xdr:colOff>
      <xdr:row>45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A12959-3A93-BD7B-72F4-C541A0EF5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2600" y="6388101"/>
          <a:ext cx="5079656" cy="1513839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36</xdr:row>
      <xdr:rowOff>83820</xdr:rowOff>
    </xdr:from>
    <xdr:to>
      <xdr:col>7</xdr:col>
      <xdr:colOff>510540</xdr:colOff>
      <xdr:row>50</xdr:row>
      <xdr:rowOff>2212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9C4C62-B75A-DF18-4A4E-95ED5B6FD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980" y="6423660"/>
          <a:ext cx="4902200" cy="2372032"/>
        </a:xfrm>
        <a:prstGeom prst="rect">
          <a:avLst/>
        </a:prstGeom>
      </xdr:spPr>
    </xdr:pic>
    <xdr:clientData/>
  </xdr:twoCellAnchor>
  <xdr:twoCellAnchor editAs="oneCell">
    <xdr:from>
      <xdr:col>1</xdr:col>
      <xdr:colOff>40228</xdr:colOff>
      <xdr:row>19</xdr:row>
      <xdr:rowOff>106680</xdr:rowOff>
    </xdr:from>
    <xdr:to>
      <xdr:col>7</xdr:col>
      <xdr:colOff>492004</xdr:colOff>
      <xdr:row>33</xdr:row>
      <xdr:rowOff>144780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601574-688A-CEC9-F9CC-E8E8B0AAF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7888" y="3459480"/>
          <a:ext cx="4863756" cy="2491740"/>
        </a:xfrm>
        <a:prstGeom prst="rect">
          <a:avLst/>
        </a:prstGeom>
      </xdr:spPr>
    </xdr:pic>
    <xdr:clientData/>
  </xdr:twoCellAnchor>
  <xdr:twoCellAnchor editAs="oneCell">
    <xdr:from>
      <xdr:col>8</xdr:col>
      <xdr:colOff>106680</xdr:colOff>
      <xdr:row>53</xdr:row>
      <xdr:rowOff>30516</xdr:rowOff>
    </xdr:from>
    <xdr:to>
      <xdr:col>16</xdr:col>
      <xdr:colOff>91440</xdr:colOff>
      <xdr:row>61</xdr:row>
      <xdr:rowOff>70320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2F33F4-077A-6A73-2422-EF882165F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5940" y="9334536"/>
          <a:ext cx="5013960" cy="1441884"/>
        </a:xfrm>
        <a:prstGeom prst="rect">
          <a:avLst/>
        </a:prstGeom>
      </xdr:spPr>
    </xdr:pic>
    <xdr:clientData/>
  </xdr:twoCellAnchor>
  <xdr:twoCellAnchor editAs="oneCell">
    <xdr:from>
      <xdr:col>0</xdr:col>
      <xdr:colOff>313263</xdr:colOff>
      <xdr:row>52</xdr:row>
      <xdr:rowOff>114300</xdr:rowOff>
    </xdr:from>
    <xdr:to>
      <xdr:col>7</xdr:col>
      <xdr:colOff>526622</xdr:colOff>
      <xdr:row>66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F8391D-AF38-C81F-D085-F0DB5E014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263" y="9265920"/>
          <a:ext cx="4952999" cy="233934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2</xdr:row>
      <xdr:rowOff>53340</xdr:rowOff>
    </xdr:from>
    <xdr:to>
      <xdr:col>7</xdr:col>
      <xdr:colOff>533828</xdr:colOff>
      <xdr:row>16</xdr:row>
      <xdr:rowOff>122139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48B8307-58F4-C24D-63F5-004C72770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5280" y="403860"/>
          <a:ext cx="4938188" cy="25300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60959</xdr:colOff>
      <xdr:row>40</xdr:row>
      <xdr:rowOff>134698</xdr:rowOff>
    </xdr:from>
    <xdr:to>
      <xdr:col>22</xdr:col>
      <xdr:colOff>213360</xdr:colOff>
      <xdr:row>55</xdr:row>
      <xdr:rowOff>29606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24CEBF-DB11-E99B-EBCE-B9DEFFF8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6139" y="7335598"/>
          <a:ext cx="6553201" cy="2607628"/>
        </a:xfrm>
        <a:prstGeom prst="rect">
          <a:avLst/>
        </a:prstGeom>
      </xdr:spPr>
    </xdr:pic>
    <xdr:clientData/>
  </xdr:twoCellAnchor>
  <xdr:twoCellAnchor editAs="oneCell">
    <xdr:from>
      <xdr:col>10</xdr:col>
      <xdr:colOff>83820</xdr:colOff>
      <xdr:row>63</xdr:row>
      <xdr:rowOff>7620</xdr:rowOff>
    </xdr:from>
    <xdr:to>
      <xdr:col>22</xdr:col>
      <xdr:colOff>130099</xdr:colOff>
      <xdr:row>77</xdr:row>
      <xdr:rowOff>61186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8F975D-492F-2685-6C37-4F9B769FF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0" y="18661380"/>
          <a:ext cx="6447079" cy="2606266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</xdr:colOff>
      <xdr:row>23</xdr:row>
      <xdr:rowOff>118840</xdr:rowOff>
    </xdr:from>
    <xdr:to>
      <xdr:col>22</xdr:col>
      <xdr:colOff>138202</xdr:colOff>
      <xdr:row>34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FCAB985-833C-480E-6339-9C4739B9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6140" y="4248880"/>
          <a:ext cx="6478042" cy="196904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53341</xdr:colOff>
      <xdr:row>7</xdr:row>
      <xdr:rowOff>3717</xdr:rowOff>
    </xdr:from>
    <xdr:to>
      <xdr:col>22</xdr:col>
      <xdr:colOff>73289</xdr:colOff>
      <xdr:row>16</xdr:row>
      <xdr:rowOff>160020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198573-75D4-F42E-C711-F9A761B87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08521" y="1245777"/>
          <a:ext cx="6420748" cy="1802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327660</xdr:colOff>
      <xdr:row>4</xdr:row>
      <xdr:rowOff>114299</xdr:rowOff>
    </xdr:from>
    <xdr:to>
      <xdr:col>5</xdr:col>
      <xdr:colOff>30480</xdr:colOff>
      <xdr:row>19</xdr:row>
      <xdr:rowOff>111012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5C63E14-CFB1-2223-A9BB-1E8B8DA70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0" y="845819"/>
          <a:ext cx="2423160" cy="2739913"/>
        </a:xfrm>
        <a:prstGeom prst="rect">
          <a:avLst/>
        </a:prstGeom>
      </xdr:spPr>
    </xdr:pic>
    <xdr:clientData/>
  </xdr:twoCellAnchor>
  <xdr:twoCellAnchor editAs="oneCell">
    <xdr:from>
      <xdr:col>14</xdr:col>
      <xdr:colOff>502920</xdr:colOff>
      <xdr:row>4</xdr:row>
      <xdr:rowOff>91440</xdr:rowOff>
    </xdr:from>
    <xdr:to>
      <xdr:col>17</xdr:col>
      <xdr:colOff>907048</xdr:colOff>
      <xdr:row>20</xdr:row>
      <xdr:rowOff>45970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DC1099-6CFA-E5BE-CDB3-F6518AFA5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822960"/>
          <a:ext cx="3093988" cy="2880610"/>
        </a:xfrm>
        <a:prstGeom prst="rect">
          <a:avLst/>
        </a:prstGeom>
      </xdr:spPr>
    </xdr:pic>
    <xdr:clientData/>
  </xdr:twoCellAnchor>
  <xdr:twoCellAnchor editAs="oneCell">
    <xdr:from>
      <xdr:col>17</xdr:col>
      <xdr:colOff>1310640</xdr:colOff>
      <xdr:row>4</xdr:row>
      <xdr:rowOff>152400</xdr:rowOff>
    </xdr:from>
    <xdr:to>
      <xdr:col>26</xdr:col>
      <xdr:colOff>457637</xdr:colOff>
      <xdr:row>10</xdr:row>
      <xdr:rowOff>68668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C904C9A-3C49-F5B8-A7C4-CDD5F80E4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9580" y="883920"/>
          <a:ext cx="5037257" cy="1013548"/>
        </a:xfrm>
        <a:prstGeom prst="rect">
          <a:avLst/>
        </a:prstGeom>
      </xdr:spPr>
    </xdr:pic>
    <xdr:clientData/>
  </xdr:twoCellAnchor>
  <xdr:twoCellAnchor editAs="oneCell">
    <xdr:from>
      <xdr:col>1</xdr:col>
      <xdr:colOff>273454</xdr:colOff>
      <xdr:row>24</xdr:row>
      <xdr:rowOff>38100</xdr:rowOff>
    </xdr:from>
    <xdr:to>
      <xdr:col>5</xdr:col>
      <xdr:colOff>122166</xdr:colOff>
      <xdr:row>37</xdr:row>
      <xdr:rowOff>23087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DD2D0DD-3FF5-A4DE-B197-9F680819A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3054" y="4427220"/>
          <a:ext cx="2569052" cy="2362427"/>
        </a:xfrm>
        <a:prstGeom prst="rect">
          <a:avLst/>
        </a:prstGeom>
      </xdr:spPr>
    </xdr:pic>
    <xdr:clientData/>
  </xdr:twoCellAnchor>
  <xdr:twoCellAnchor editAs="oneCell">
    <xdr:from>
      <xdr:col>14</xdr:col>
      <xdr:colOff>541020</xdr:colOff>
      <xdr:row>22</xdr:row>
      <xdr:rowOff>106680</xdr:rowOff>
    </xdr:from>
    <xdr:to>
      <xdr:col>17</xdr:col>
      <xdr:colOff>937527</xdr:colOff>
      <xdr:row>38</xdr:row>
      <xdr:rowOff>99313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437511F-FB52-3444-564D-CFB63316B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0100" y="4130040"/>
          <a:ext cx="3086367" cy="291871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91440</xdr:rowOff>
    </xdr:from>
    <xdr:to>
      <xdr:col>26</xdr:col>
      <xdr:colOff>450011</xdr:colOff>
      <xdr:row>28</xdr:row>
      <xdr:rowOff>7708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DAF0BFC-26C0-B627-4A56-CDB9DFFD6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50540" y="4114800"/>
          <a:ext cx="4968671" cy="1013548"/>
        </a:xfrm>
        <a:prstGeom prst="rect">
          <a:avLst/>
        </a:prstGeom>
      </xdr:spPr>
    </xdr:pic>
    <xdr:clientData/>
  </xdr:twoCellAnchor>
  <xdr:twoCellAnchor editAs="oneCell">
    <xdr:from>
      <xdr:col>1</xdr:col>
      <xdr:colOff>358140</xdr:colOff>
      <xdr:row>44</xdr:row>
      <xdr:rowOff>99060</xdr:rowOff>
    </xdr:from>
    <xdr:to>
      <xdr:col>4</xdr:col>
      <xdr:colOff>884120</xdr:colOff>
      <xdr:row>58</xdr:row>
      <xdr:rowOff>114523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408F325-4B4E-20BA-49D5-220F0B0A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7740" y="8130540"/>
          <a:ext cx="2309060" cy="2575783"/>
        </a:xfrm>
        <a:prstGeom prst="rect">
          <a:avLst/>
        </a:prstGeom>
      </xdr:spPr>
    </xdr:pic>
    <xdr:clientData/>
  </xdr:twoCellAnchor>
  <xdr:twoCellAnchor editAs="oneCell">
    <xdr:from>
      <xdr:col>14</xdr:col>
      <xdr:colOff>525780</xdr:colOff>
      <xdr:row>44</xdr:row>
      <xdr:rowOff>76200</xdr:rowOff>
    </xdr:from>
    <xdr:to>
      <xdr:col>17</xdr:col>
      <xdr:colOff>929908</xdr:colOff>
      <xdr:row>60</xdr:row>
      <xdr:rowOff>61212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4A5BA7D-93E2-D65E-7516-132780A1F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14860" y="8107680"/>
          <a:ext cx="3093988" cy="291109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53340</xdr:rowOff>
    </xdr:from>
    <xdr:to>
      <xdr:col>26</xdr:col>
      <xdr:colOff>442390</xdr:colOff>
      <xdr:row>49</xdr:row>
      <xdr:rowOff>129626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27278FB-F2EC-0870-E934-6AE100B9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750540" y="8084820"/>
          <a:ext cx="4961050" cy="990686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281940</xdr:colOff>
      <xdr:row>64</xdr:row>
      <xdr:rowOff>68579</xdr:rowOff>
    </xdr:from>
    <xdr:to>
      <xdr:col>4</xdr:col>
      <xdr:colOff>876300</xdr:colOff>
      <xdr:row>80</xdr:row>
      <xdr:rowOff>144318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01A3B3A-2811-93B8-4D08-827D9EF70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1540" y="11750039"/>
          <a:ext cx="2377440" cy="3001819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533400</xdr:colOff>
      <xdr:row>64</xdr:row>
      <xdr:rowOff>99060</xdr:rowOff>
    </xdr:from>
    <xdr:to>
      <xdr:col>17</xdr:col>
      <xdr:colOff>929907</xdr:colOff>
      <xdr:row>80</xdr:row>
      <xdr:rowOff>76452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180AC96-DA8A-3F96-AB78-AAB686621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22480" y="11780520"/>
          <a:ext cx="3086367" cy="2903472"/>
        </a:xfrm>
        <a:prstGeom prst="rect">
          <a:avLst/>
        </a:prstGeom>
      </xdr:spPr>
    </xdr:pic>
    <xdr:clientData/>
  </xdr:twoCellAnchor>
  <xdr:twoCellAnchor editAs="oneCell">
    <xdr:from>
      <xdr:col>17</xdr:col>
      <xdr:colOff>1303020</xdr:colOff>
      <xdr:row>64</xdr:row>
      <xdr:rowOff>114300</xdr:rowOff>
    </xdr:from>
    <xdr:to>
      <xdr:col>26</xdr:col>
      <xdr:colOff>389051</xdr:colOff>
      <xdr:row>70</xdr:row>
      <xdr:rowOff>22947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8ACDC01-FA93-F0F1-852A-5E4CA510E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81960" y="11795760"/>
          <a:ext cx="4976291" cy="10059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396240</xdr:colOff>
      <xdr:row>22</xdr:row>
      <xdr:rowOff>91440</xdr:rowOff>
    </xdr:from>
    <xdr:to>
      <xdr:col>23</xdr:col>
      <xdr:colOff>297858</xdr:colOff>
      <xdr:row>33</xdr:row>
      <xdr:rowOff>114476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0547A0-02EB-958B-C318-E06F65F03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6480" y="5029200"/>
          <a:ext cx="7826418" cy="2034716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21</xdr:row>
      <xdr:rowOff>22860</xdr:rowOff>
    </xdr:from>
    <xdr:to>
      <xdr:col>9</xdr:col>
      <xdr:colOff>282377</xdr:colOff>
      <xdr:row>34</xdr:row>
      <xdr:rowOff>175479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D43911D-716C-B1CD-19D4-3266E817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4777740"/>
          <a:ext cx="5037257" cy="2530059"/>
        </a:xfrm>
        <a:prstGeom prst="rect">
          <a:avLst/>
        </a:prstGeom>
      </xdr:spPr>
    </xdr:pic>
    <xdr:clientData/>
  </xdr:twoCellAnchor>
  <xdr:twoCellAnchor editAs="oneCell">
    <xdr:from>
      <xdr:col>11</xdr:col>
      <xdr:colOff>99060</xdr:colOff>
      <xdr:row>55</xdr:row>
      <xdr:rowOff>131441</xdr:rowOff>
    </xdr:from>
    <xdr:to>
      <xdr:col>23</xdr:col>
      <xdr:colOff>495988</xdr:colOff>
      <xdr:row>70</xdr:row>
      <xdr:rowOff>23095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A36C59-0911-56B4-336E-7EB201BAB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900" y="12018641"/>
          <a:ext cx="7712128" cy="2634854"/>
        </a:xfrm>
        <a:prstGeom prst="rect">
          <a:avLst/>
        </a:prstGeom>
      </xdr:spPr>
    </xdr:pic>
    <xdr:clientData/>
  </xdr:twoCellAnchor>
  <xdr:twoCellAnchor editAs="oneCell">
    <xdr:from>
      <xdr:col>10</xdr:col>
      <xdr:colOff>548640</xdr:colOff>
      <xdr:row>35</xdr:row>
      <xdr:rowOff>103078</xdr:rowOff>
    </xdr:from>
    <xdr:to>
      <xdr:col>23</xdr:col>
      <xdr:colOff>320040</xdr:colOff>
      <xdr:row>51</xdr:row>
      <xdr:rowOff>52483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71114AD-F3E3-D942-F97B-5E7446F1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8880" y="7418278"/>
          <a:ext cx="7696200" cy="2875485"/>
        </a:xfrm>
        <a:prstGeom prst="rect">
          <a:avLst/>
        </a:prstGeom>
      </xdr:spPr>
    </xdr:pic>
    <xdr:clientData/>
  </xdr:twoCellAnchor>
  <xdr:twoCellAnchor editAs="oneCell">
    <xdr:from>
      <xdr:col>10</xdr:col>
      <xdr:colOff>373380</xdr:colOff>
      <xdr:row>3</xdr:row>
      <xdr:rowOff>160020</xdr:rowOff>
    </xdr:from>
    <xdr:to>
      <xdr:col>23</xdr:col>
      <xdr:colOff>396929</xdr:colOff>
      <xdr:row>17</xdr:row>
      <xdr:rowOff>137380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475160E-3E12-4CC8-1921-9154BC512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03620" y="1074420"/>
          <a:ext cx="7948349" cy="25376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9</xdr:col>
      <xdr:colOff>342900</xdr:colOff>
      <xdr:row>70</xdr:row>
      <xdr:rowOff>69392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90551E-73AE-E2CB-B7EC-EABDF6534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" y="10424160"/>
          <a:ext cx="5219700" cy="2629712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37</xdr:row>
      <xdr:rowOff>91440</xdr:rowOff>
    </xdr:from>
    <xdr:to>
      <xdr:col>9</xdr:col>
      <xdr:colOff>381000</xdr:colOff>
      <xdr:row>51</xdr:row>
      <xdr:rowOff>162466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F5E3356-D171-8835-B235-6002B8DE0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" y="6858000"/>
          <a:ext cx="5135880" cy="263134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76200</xdr:rowOff>
    </xdr:from>
    <xdr:to>
      <xdr:col>9</xdr:col>
      <xdr:colOff>286278</xdr:colOff>
      <xdr:row>17</xdr:row>
      <xdr:rowOff>129540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18EA352-573B-FFB7-D7B6-03207DFE0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940" y="624840"/>
          <a:ext cx="5124978" cy="26136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28109</xdr:colOff>
      <xdr:row>38</xdr:row>
      <xdr:rowOff>83820</xdr:rowOff>
    </xdr:from>
    <xdr:to>
      <xdr:col>14</xdr:col>
      <xdr:colOff>449580</xdr:colOff>
      <xdr:row>64</xdr:row>
      <xdr:rowOff>13976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B9CB67-ECF3-3081-6197-DA3C7239B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669" y="6957060"/>
          <a:ext cx="5610691" cy="4685036"/>
        </a:xfrm>
        <a:prstGeom prst="rect">
          <a:avLst/>
        </a:prstGeom>
      </xdr:spPr>
    </xdr:pic>
    <xdr:clientData/>
  </xdr:twoCellAnchor>
  <xdr:twoCellAnchor editAs="oneCell">
    <xdr:from>
      <xdr:col>4</xdr:col>
      <xdr:colOff>33307</xdr:colOff>
      <xdr:row>71</xdr:row>
      <xdr:rowOff>30480</xdr:rowOff>
    </xdr:from>
    <xdr:to>
      <xdr:col>14</xdr:col>
      <xdr:colOff>541867</xdr:colOff>
      <xdr:row>96</xdr:row>
      <xdr:rowOff>137851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6495F8-2CFC-C1E1-7923-7DF8814CE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867" y="12900660"/>
          <a:ext cx="5697780" cy="4648891"/>
        </a:xfrm>
        <a:prstGeom prst="rect">
          <a:avLst/>
        </a:prstGeom>
      </xdr:spPr>
    </xdr:pic>
    <xdr:clientData/>
  </xdr:twoCellAnchor>
  <xdr:twoCellAnchor editAs="oneCell">
    <xdr:from>
      <xdr:col>3</xdr:col>
      <xdr:colOff>922019</xdr:colOff>
      <xdr:row>103</xdr:row>
      <xdr:rowOff>22631</xdr:rowOff>
    </xdr:from>
    <xdr:to>
      <xdr:col>14</xdr:col>
      <xdr:colOff>653180</xdr:colOff>
      <xdr:row>129</xdr:row>
      <xdr:rowOff>45720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D5727A1-3D35-50E3-6979-A129B6158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5559" y="18493511"/>
          <a:ext cx="5842401" cy="4770349"/>
        </a:xfrm>
        <a:prstGeom prst="rect">
          <a:avLst/>
        </a:prstGeom>
      </xdr:spPr>
    </xdr:pic>
    <xdr:clientData/>
  </xdr:twoCellAnchor>
  <xdr:twoCellAnchor editAs="oneCell">
    <xdr:from>
      <xdr:col>4</xdr:col>
      <xdr:colOff>69015</xdr:colOff>
      <xdr:row>7</xdr:row>
      <xdr:rowOff>99060</xdr:rowOff>
    </xdr:from>
    <xdr:to>
      <xdr:col>14</xdr:col>
      <xdr:colOff>283148</xdr:colOff>
      <xdr:row>32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457B51-DDC2-C2B7-9630-BD92F7CB7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44575" y="1333500"/>
          <a:ext cx="5403353" cy="44958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281940</xdr:colOff>
      <xdr:row>28</xdr:row>
      <xdr:rowOff>0</xdr:rowOff>
    </xdr:from>
    <xdr:to>
      <xdr:col>17</xdr:col>
      <xdr:colOff>663206</xdr:colOff>
      <xdr:row>48</xdr:row>
      <xdr:rowOff>91765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8A3E1FF-9CD0-C864-985F-93BD415BF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0" y="9555480"/>
          <a:ext cx="3071126" cy="3749365"/>
        </a:xfrm>
        <a:prstGeom prst="rect">
          <a:avLst/>
        </a:prstGeom>
      </xdr:spPr>
    </xdr:pic>
    <xdr:clientData/>
  </xdr:twoCellAnchor>
  <xdr:twoCellAnchor editAs="oneCell">
    <xdr:from>
      <xdr:col>17</xdr:col>
      <xdr:colOff>922020</xdr:colOff>
      <xdr:row>34</xdr:row>
      <xdr:rowOff>106680</xdr:rowOff>
    </xdr:from>
    <xdr:to>
      <xdr:col>25</xdr:col>
      <xdr:colOff>183305</xdr:colOff>
      <xdr:row>40</xdr:row>
      <xdr:rowOff>7707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A93B6B5-66FF-ACC1-C666-40DC91F89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02940" y="13136880"/>
          <a:ext cx="4900085" cy="998307"/>
        </a:xfrm>
        <a:prstGeom prst="rect">
          <a:avLst/>
        </a:prstGeom>
      </xdr:spPr>
    </xdr:pic>
    <xdr:clientData/>
  </xdr:twoCellAnchor>
  <xdr:twoCellAnchor editAs="oneCell">
    <xdr:from>
      <xdr:col>1</xdr:col>
      <xdr:colOff>350520</xdr:colOff>
      <xdr:row>29</xdr:row>
      <xdr:rowOff>160019</xdr:rowOff>
    </xdr:from>
    <xdr:to>
      <xdr:col>5</xdr:col>
      <xdr:colOff>106680</xdr:colOff>
      <xdr:row>47</xdr:row>
      <xdr:rowOff>129910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7D31EFC-8EEE-8972-9BCC-D2D07250D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" y="9898379"/>
          <a:ext cx="2476500" cy="3261731"/>
        </a:xfrm>
        <a:prstGeom prst="rect">
          <a:avLst/>
        </a:prstGeom>
      </xdr:spPr>
    </xdr:pic>
    <xdr:clientData/>
  </xdr:twoCellAnchor>
  <xdr:twoCellAnchor editAs="oneCell">
    <xdr:from>
      <xdr:col>1</xdr:col>
      <xdr:colOff>312420</xdr:colOff>
      <xdr:row>5</xdr:row>
      <xdr:rowOff>45720</xdr:rowOff>
    </xdr:from>
    <xdr:to>
      <xdr:col>5</xdr:col>
      <xdr:colOff>106898</xdr:colOff>
      <xdr:row>24</xdr:row>
      <xdr:rowOff>15538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3A3C7CA-1DC5-803E-EAD7-F2DDEE09E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020" y="960120"/>
          <a:ext cx="2514818" cy="3444538"/>
        </a:xfrm>
        <a:prstGeom prst="rect">
          <a:avLst/>
        </a:prstGeom>
      </xdr:spPr>
    </xdr:pic>
    <xdr:clientData/>
  </xdr:twoCellAnchor>
  <xdr:twoCellAnchor editAs="oneCell">
    <xdr:from>
      <xdr:col>14</xdr:col>
      <xdr:colOff>259080</xdr:colOff>
      <xdr:row>4</xdr:row>
      <xdr:rowOff>167640</xdr:rowOff>
    </xdr:from>
    <xdr:to>
      <xdr:col>17</xdr:col>
      <xdr:colOff>602243</xdr:colOff>
      <xdr:row>25</xdr:row>
      <xdr:rowOff>23180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9B37284-3C10-098F-802E-19B5993E4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50140" y="5334000"/>
          <a:ext cx="3033023" cy="3696020"/>
        </a:xfrm>
        <a:prstGeom prst="rect">
          <a:avLst/>
        </a:prstGeom>
      </xdr:spPr>
    </xdr:pic>
    <xdr:clientData/>
  </xdr:twoCellAnchor>
  <xdr:twoCellAnchor editAs="oneCell">
    <xdr:from>
      <xdr:col>17</xdr:col>
      <xdr:colOff>929640</xdr:colOff>
      <xdr:row>12</xdr:row>
      <xdr:rowOff>68580</xdr:rowOff>
    </xdr:from>
    <xdr:to>
      <xdr:col>25</xdr:col>
      <xdr:colOff>229028</xdr:colOff>
      <xdr:row>17</xdr:row>
      <xdr:rowOff>114383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55E8B81-4C64-A044-3619-9E0DB58E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10560" y="6697980"/>
          <a:ext cx="4938188" cy="960203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365760</xdr:colOff>
      <xdr:row>54</xdr:row>
      <xdr:rowOff>22860</xdr:rowOff>
    </xdr:from>
    <xdr:to>
      <xdr:col>5</xdr:col>
      <xdr:colOff>121920</xdr:colOff>
      <xdr:row>75</xdr:row>
      <xdr:rowOff>88268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B1796C3-26B1-E5A1-9036-65B672009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5360" y="14317980"/>
          <a:ext cx="2476500" cy="3905888"/>
        </a:xfrm>
        <a:prstGeom prst="rect">
          <a:avLst/>
        </a:prstGeom>
      </xdr:spPr>
    </xdr:pic>
    <xdr:clientData/>
  </xdr:twoCellAnchor>
  <xdr:twoCellAnchor editAs="oneCell">
    <xdr:from>
      <xdr:col>14</xdr:col>
      <xdr:colOff>320040</xdr:colOff>
      <xdr:row>54</xdr:row>
      <xdr:rowOff>60960</xdr:rowOff>
    </xdr:from>
    <xdr:to>
      <xdr:col>17</xdr:col>
      <xdr:colOff>686065</xdr:colOff>
      <xdr:row>75</xdr:row>
      <xdr:rowOff>76534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80F321A-5BFE-95C9-2C74-EC4FAD02B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11100" y="14356080"/>
          <a:ext cx="3055885" cy="3856054"/>
        </a:xfrm>
        <a:prstGeom prst="rect">
          <a:avLst/>
        </a:prstGeom>
      </xdr:spPr>
    </xdr:pic>
    <xdr:clientData/>
  </xdr:twoCellAnchor>
  <xdr:twoCellAnchor editAs="oneCell">
    <xdr:from>
      <xdr:col>17</xdr:col>
      <xdr:colOff>1097280</xdr:colOff>
      <xdr:row>60</xdr:row>
      <xdr:rowOff>152400</xdr:rowOff>
    </xdr:from>
    <xdr:to>
      <xdr:col>25</xdr:col>
      <xdr:colOff>389047</xdr:colOff>
      <xdr:row>66</xdr:row>
      <xdr:rowOff>61047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FB6F8DE-CDD4-4EB1-CDBA-E0B144D3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078200" y="15544800"/>
          <a:ext cx="4930567" cy="1005927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80</xdr:row>
      <xdr:rowOff>60959</xdr:rowOff>
    </xdr:from>
    <xdr:to>
      <xdr:col>5</xdr:col>
      <xdr:colOff>91440</xdr:colOff>
      <xdr:row>101</xdr:row>
      <xdr:rowOff>25650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A7F976B-61A2-B9F0-BCC1-AAA1FD4BB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00" y="19103339"/>
          <a:ext cx="2468880" cy="3805171"/>
        </a:xfrm>
        <a:prstGeom prst="rect">
          <a:avLst/>
        </a:prstGeom>
      </xdr:spPr>
    </xdr:pic>
    <xdr:clientData/>
  </xdr:twoCellAnchor>
  <xdr:twoCellAnchor editAs="oneCell">
    <xdr:from>
      <xdr:col>17</xdr:col>
      <xdr:colOff>1203960</xdr:colOff>
      <xdr:row>87</xdr:row>
      <xdr:rowOff>167640</xdr:rowOff>
    </xdr:from>
    <xdr:to>
      <xdr:col>25</xdr:col>
      <xdr:colOff>526210</xdr:colOff>
      <xdr:row>93</xdr:row>
      <xdr:rowOff>38184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7649AF9-604C-BC06-46EB-7C95EF980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184880" y="20490180"/>
          <a:ext cx="4961050" cy="967824"/>
        </a:xfrm>
        <a:prstGeom prst="rect">
          <a:avLst/>
        </a:prstGeom>
      </xdr:spPr>
    </xdr:pic>
    <xdr:clientData/>
  </xdr:twoCellAnchor>
  <xdr:twoCellAnchor editAs="oneCell">
    <xdr:from>
      <xdr:col>14</xdr:col>
      <xdr:colOff>388620</xdr:colOff>
      <xdr:row>80</xdr:row>
      <xdr:rowOff>22860</xdr:rowOff>
    </xdr:from>
    <xdr:to>
      <xdr:col>17</xdr:col>
      <xdr:colOff>899160</xdr:colOff>
      <xdr:row>102</xdr:row>
      <xdr:rowOff>43787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B621A8-6578-9C06-6F92-9A12B1729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79680" y="19065240"/>
          <a:ext cx="3200400" cy="40442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107</xdr:row>
      <xdr:rowOff>83897</xdr:rowOff>
    </xdr:from>
    <xdr:to>
      <xdr:col>22</xdr:col>
      <xdr:colOff>16093</xdr:colOff>
      <xdr:row>137</xdr:row>
      <xdr:rowOff>153152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71F999-EBD4-C1EF-503A-813EAFBB5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8940" y="19652057"/>
          <a:ext cx="6302593" cy="5555655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108</xdr:row>
      <xdr:rowOff>60960</xdr:rowOff>
    </xdr:from>
    <xdr:to>
      <xdr:col>10</xdr:col>
      <xdr:colOff>579120</xdr:colOff>
      <xdr:row>133</xdr:row>
      <xdr:rowOff>154082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7F6B4D-8850-F8FA-5FF1-073141CEC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880" y="20543520"/>
          <a:ext cx="5364480" cy="4665122"/>
        </a:xfrm>
        <a:prstGeom prst="rect">
          <a:avLst/>
        </a:prstGeom>
      </xdr:spPr>
    </xdr:pic>
    <xdr:clientData/>
  </xdr:twoCellAnchor>
  <xdr:twoCellAnchor editAs="oneCell">
    <xdr:from>
      <xdr:col>11</xdr:col>
      <xdr:colOff>218831</xdr:colOff>
      <xdr:row>71</xdr:row>
      <xdr:rowOff>167641</xdr:rowOff>
    </xdr:from>
    <xdr:to>
      <xdr:col>22</xdr:col>
      <xdr:colOff>139615</xdr:colOff>
      <xdr:row>102</xdr:row>
      <xdr:rowOff>114301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9AD007-587E-4BC3-ECF0-97B3A9620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8671" y="13152121"/>
          <a:ext cx="6626384" cy="5615940"/>
        </a:xfrm>
        <a:prstGeom prst="rect">
          <a:avLst/>
        </a:prstGeom>
      </xdr:spPr>
    </xdr:pic>
    <xdr:clientData/>
  </xdr:twoCellAnchor>
  <xdr:twoCellAnchor editAs="oneCell">
    <xdr:from>
      <xdr:col>11</xdr:col>
      <xdr:colOff>316586</xdr:colOff>
      <xdr:row>38</xdr:row>
      <xdr:rowOff>60960</xdr:rowOff>
    </xdr:from>
    <xdr:to>
      <xdr:col>22</xdr:col>
      <xdr:colOff>170326</xdr:colOff>
      <xdr:row>70</xdr:row>
      <xdr:rowOff>53340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8488ADD-DA01-4698-9A84-FEEAEBF74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56426" y="5730240"/>
          <a:ext cx="6559340" cy="5844540"/>
        </a:xfrm>
        <a:prstGeom prst="rect">
          <a:avLst/>
        </a:prstGeom>
      </xdr:spPr>
    </xdr:pic>
    <xdr:clientData/>
  </xdr:twoCellAnchor>
  <xdr:twoCellAnchor editAs="oneCell">
    <xdr:from>
      <xdr:col>11</xdr:col>
      <xdr:colOff>259377</xdr:colOff>
      <xdr:row>2</xdr:row>
      <xdr:rowOff>15240</xdr:rowOff>
    </xdr:from>
    <xdr:to>
      <xdr:col>22</xdr:col>
      <xdr:colOff>267536</xdr:colOff>
      <xdr:row>35</xdr:row>
      <xdr:rowOff>84581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10E665B-FC85-9675-F755-402C9CDF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99217" y="381000"/>
          <a:ext cx="6713759" cy="6104381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73</xdr:row>
      <xdr:rowOff>99060</xdr:rowOff>
    </xdr:from>
    <xdr:to>
      <xdr:col>10</xdr:col>
      <xdr:colOff>591500</xdr:colOff>
      <xdr:row>99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DD0DE-5856-36D9-318E-DA03B22D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1540" y="14180820"/>
          <a:ext cx="5430200" cy="4747260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2</xdr:row>
      <xdr:rowOff>106680</xdr:rowOff>
    </xdr:from>
    <xdr:to>
      <xdr:col>10</xdr:col>
      <xdr:colOff>495300</xdr:colOff>
      <xdr:row>27</xdr:row>
      <xdr:rowOff>153044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604648-984F-027B-98F6-293F80E45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0120" y="472440"/>
          <a:ext cx="5265420" cy="4618364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</xdr:colOff>
      <xdr:row>39</xdr:row>
      <xdr:rowOff>68580</xdr:rowOff>
    </xdr:from>
    <xdr:to>
      <xdr:col>11</xdr:col>
      <xdr:colOff>14773</xdr:colOff>
      <xdr:row>65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3916D6-FBCD-295F-9D34-D8778F3CE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00" y="7200900"/>
          <a:ext cx="5402113" cy="47320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632460</xdr:colOff>
      <xdr:row>15</xdr:row>
      <xdr:rowOff>60960</xdr:rowOff>
    </xdr:from>
    <xdr:to>
      <xdr:col>23</xdr:col>
      <xdr:colOff>99377</xdr:colOff>
      <xdr:row>30</xdr:row>
      <xdr:rowOff>7849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C1E48-73B8-777F-C9ED-D0120376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1620" y="2766060"/>
          <a:ext cx="3657917" cy="2644369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</xdr:colOff>
      <xdr:row>31</xdr:row>
      <xdr:rowOff>60960</xdr:rowOff>
    </xdr:from>
    <xdr:to>
      <xdr:col>23</xdr:col>
      <xdr:colOff>160337</xdr:colOff>
      <xdr:row>45</xdr:row>
      <xdr:rowOff>145003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1A5002-8B57-4604-9434-D7FF2A5FB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12580" y="5821680"/>
          <a:ext cx="3657917" cy="256816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0</xdr:row>
      <xdr:rowOff>53340</xdr:rowOff>
    </xdr:from>
    <xdr:to>
      <xdr:col>23</xdr:col>
      <xdr:colOff>91754</xdr:colOff>
      <xdr:row>14</xdr:row>
      <xdr:rowOff>137386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22929C-9394-549B-6372-1AFF41717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82100" y="53340"/>
          <a:ext cx="3619814" cy="2606266"/>
        </a:xfrm>
        <a:prstGeom prst="rect">
          <a:avLst/>
        </a:prstGeom>
      </xdr:spPr>
    </xdr:pic>
    <xdr:clientData/>
  </xdr:twoCellAnchor>
  <xdr:twoCellAnchor editAs="oneCell">
    <xdr:from>
      <xdr:col>17</xdr:col>
      <xdr:colOff>99060</xdr:colOff>
      <xdr:row>47</xdr:row>
      <xdr:rowOff>53340</xdr:rowOff>
    </xdr:from>
    <xdr:to>
      <xdr:col>23</xdr:col>
      <xdr:colOff>190814</xdr:colOff>
      <xdr:row>61</xdr:row>
      <xdr:rowOff>106905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C40664-0703-8E9B-4D5B-A600E672F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1160" y="8465820"/>
          <a:ext cx="3619814" cy="25910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28</xdr:row>
      <xdr:rowOff>45720</xdr:rowOff>
    </xdr:from>
    <xdr:to>
      <xdr:col>28</xdr:col>
      <xdr:colOff>53767</xdr:colOff>
      <xdr:row>33</xdr:row>
      <xdr:rowOff>99144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587755-6BE4-634D-4E90-49250C70C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2640" y="5143500"/>
          <a:ext cx="4930567" cy="967824"/>
        </a:xfrm>
        <a:prstGeom prst="rect">
          <a:avLst/>
        </a:prstGeom>
      </xdr:spPr>
    </xdr:pic>
    <xdr:clientData/>
  </xdr:twoCellAnchor>
  <xdr:twoCellAnchor editAs="oneCell">
    <xdr:from>
      <xdr:col>19</xdr:col>
      <xdr:colOff>601980</xdr:colOff>
      <xdr:row>8</xdr:row>
      <xdr:rowOff>30480</xdr:rowOff>
    </xdr:from>
    <xdr:to>
      <xdr:col>28</xdr:col>
      <xdr:colOff>46147</xdr:colOff>
      <xdr:row>13</xdr:row>
      <xdr:rowOff>122007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31F1A4C-3E9C-7371-9F63-91D90102E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81560" y="1493520"/>
          <a:ext cx="4930567" cy="1005927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</xdr:colOff>
      <xdr:row>46</xdr:row>
      <xdr:rowOff>45720</xdr:rowOff>
    </xdr:from>
    <xdr:to>
      <xdr:col>28</xdr:col>
      <xdr:colOff>53767</xdr:colOff>
      <xdr:row>51</xdr:row>
      <xdr:rowOff>99144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5C2785-B70F-E8CE-290D-C58016F73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10260" y="8412480"/>
          <a:ext cx="4922947" cy="967824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</xdr:colOff>
      <xdr:row>65</xdr:row>
      <xdr:rowOff>38100</xdr:rowOff>
    </xdr:from>
    <xdr:to>
      <xdr:col>28</xdr:col>
      <xdr:colOff>107109</xdr:colOff>
      <xdr:row>70</xdr:row>
      <xdr:rowOff>91524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6CE3384-8A2E-92F5-6453-32A7C120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33120" y="11856720"/>
          <a:ext cx="4953429" cy="967824"/>
        </a:xfrm>
        <a:prstGeom prst="rect">
          <a:avLst/>
        </a:prstGeom>
      </xdr:spPr>
    </xdr:pic>
    <xdr:clientData/>
  </xdr:twoCellAnchor>
  <xdr:twoCellAnchor editAs="oneCell">
    <xdr:from>
      <xdr:col>15</xdr:col>
      <xdr:colOff>426720</xdr:colOff>
      <xdr:row>61</xdr:row>
      <xdr:rowOff>15240</xdr:rowOff>
    </xdr:from>
    <xdr:to>
      <xdr:col>19</xdr:col>
      <xdr:colOff>251656</xdr:colOff>
      <xdr:row>75</xdr:row>
      <xdr:rowOff>145012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9F50EC-6899-29B6-7933-EB751C5FD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81360" y="11102340"/>
          <a:ext cx="2263336" cy="2682472"/>
        </a:xfrm>
        <a:prstGeom prst="rect">
          <a:avLst/>
        </a:prstGeom>
      </xdr:spPr>
    </xdr:pic>
    <xdr:clientData/>
  </xdr:twoCellAnchor>
  <xdr:twoCellAnchor editAs="oneCell">
    <xdr:from>
      <xdr:col>2</xdr:col>
      <xdr:colOff>121920</xdr:colOff>
      <xdr:row>59</xdr:row>
      <xdr:rowOff>160020</xdr:rowOff>
    </xdr:from>
    <xdr:to>
      <xdr:col>6</xdr:col>
      <xdr:colOff>335544</xdr:colOff>
      <xdr:row>73</xdr:row>
      <xdr:rowOff>208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BDA847-B490-6E02-4861-889E4361D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500" y="10881360"/>
          <a:ext cx="3048264" cy="2400508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42</xdr:row>
      <xdr:rowOff>152400</xdr:rowOff>
    </xdr:from>
    <xdr:to>
      <xdr:col>6</xdr:col>
      <xdr:colOff>282199</xdr:colOff>
      <xdr:row>56</xdr:row>
      <xdr:rowOff>30691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52CD46-494B-FFC6-2067-2788BF2B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1120" y="7787640"/>
          <a:ext cx="2987299" cy="2438611"/>
        </a:xfrm>
        <a:prstGeom prst="rect">
          <a:avLst/>
        </a:prstGeom>
      </xdr:spPr>
    </xdr:pic>
    <xdr:clientData/>
  </xdr:twoCellAnchor>
  <xdr:twoCellAnchor editAs="oneCell">
    <xdr:from>
      <xdr:col>15</xdr:col>
      <xdr:colOff>426720</xdr:colOff>
      <xdr:row>42</xdr:row>
      <xdr:rowOff>160020</xdr:rowOff>
    </xdr:from>
    <xdr:to>
      <xdr:col>19</xdr:col>
      <xdr:colOff>183070</xdr:colOff>
      <xdr:row>57</xdr:row>
      <xdr:rowOff>68809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C59283-9318-410B-5010-FF650727C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81360" y="7795260"/>
          <a:ext cx="2194750" cy="26443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6</xdr:col>
      <xdr:colOff>137418</xdr:colOff>
      <xdr:row>37</xdr:row>
      <xdr:rowOff>99275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17E37D2-0A9C-3DFF-126B-CC81A22F9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1580" y="4366260"/>
          <a:ext cx="2972058" cy="2476715"/>
        </a:xfrm>
        <a:prstGeom prst="rect">
          <a:avLst/>
        </a:prstGeom>
      </xdr:spPr>
    </xdr:pic>
    <xdr:clientData/>
  </xdr:twoCellAnchor>
  <xdr:twoCellAnchor editAs="oneCell">
    <xdr:from>
      <xdr:col>15</xdr:col>
      <xdr:colOff>449580</xdr:colOff>
      <xdr:row>24</xdr:row>
      <xdr:rowOff>15240</xdr:rowOff>
    </xdr:from>
    <xdr:to>
      <xdr:col>19</xdr:col>
      <xdr:colOff>221172</xdr:colOff>
      <xdr:row>38</xdr:row>
      <xdr:rowOff>122151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21F15C8-B396-6293-87C0-0A12A6A6D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4220" y="4381500"/>
          <a:ext cx="2209992" cy="266723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5</xdr:row>
      <xdr:rowOff>7620</xdr:rowOff>
    </xdr:from>
    <xdr:to>
      <xdr:col>6</xdr:col>
      <xdr:colOff>160279</xdr:colOff>
      <xdr:row>18</xdr:row>
      <xdr:rowOff>45929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4BDE95C-B03E-AA26-7E33-37447E73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922020"/>
          <a:ext cx="2987299" cy="2415749"/>
        </a:xfrm>
        <a:prstGeom prst="rect">
          <a:avLst/>
        </a:prstGeom>
      </xdr:spPr>
    </xdr:pic>
    <xdr:clientData/>
  </xdr:twoCellAnchor>
  <xdr:twoCellAnchor editAs="oneCell">
    <xdr:from>
      <xdr:col>15</xdr:col>
      <xdr:colOff>510540</xdr:colOff>
      <xdr:row>5</xdr:row>
      <xdr:rowOff>30480</xdr:rowOff>
    </xdr:from>
    <xdr:to>
      <xdr:col>19</xdr:col>
      <xdr:colOff>320235</xdr:colOff>
      <xdr:row>19</xdr:row>
      <xdr:rowOff>122149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E1BE788-EC32-D1BF-08AD-4BA3341F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51720" y="944880"/>
          <a:ext cx="2248095" cy="2644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26</xdr:row>
      <xdr:rowOff>22860</xdr:rowOff>
    </xdr:from>
    <xdr:to>
      <xdr:col>9</xdr:col>
      <xdr:colOff>122348</xdr:colOff>
      <xdr:row>45</xdr:row>
      <xdr:rowOff>30782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FFA2A-CC31-05CB-0C0C-8082FC191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571500"/>
          <a:ext cx="4938188" cy="3482642"/>
        </a:xfrm>
        <a:prstGeom prst="rect">
          <a:avLst/>
        </a:prstGeom>
      </xdr:spPr>
    </xdr:pic>
    <xdr:clientData/>
  </xdr:twoCellAnchor>
  <xdr:twoCellAnchor editAs="oneCell">
    <xdr:from>
      <xdr:col>10</xdr:col>
      <xdr:colOff>251460</xdr:colOff>
      <xdr:row>48</xdr:row>
      <xdr:rowOff>91440</xdr:rowOff>
    </xdr:from>
    <xdr:to>
      <xdr:col>22</xdr:col>
      <xdr:colOff>335921</xdr:colOff>
      <xdr:row>68</xdr:row>
      <xdr:rowOff>68895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97F958A-7984-751A-0208-FB54B915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1700" y="8869680"/>
          <a:ext cx="7399661" cy="3635055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</xdr:colOff>
      <xdr:row>26</xdr:row>
      <xdr:rowOff>45720</xdr:rowOff>
    </xdr:from>
    <xdr:to>
      <xdr:col>22</xdr:col>
      <xdr:colOff>289560</xdr:colOff>
      <xdr:row>46</xdr:row>
      <xdr:rowOff>94056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F5B62D-3666-2BC0-F213-A3BDE837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8820" y="4800600"/>
          <a:ext cx="7536180" cy="3705936"/>
        </a:xfrm>
        <a:prstGeom prst="rect">
          <a:avLst/>
        </a:prstGeom>
      </xdr:spPr>
    </xdr:pic>
    <xdr:clientData/>
  </xdr:twoCellAnchor>
  <xdr:twoCellAnchor editAs="oneCell">
    <xdr:from>
      <xdr:col>10</xdr:col>
      <xdr:colOff>579120</xdr:colOff>
      <xdr:row>70</xdr:row>
      <xdr:rowOff>144780</xdr:rowOff>
    </xdr:from>
    <xdr:to>
      <xdr:col>23</xdr:col>
      <xdr:colOff>122567</xdr:colOff>
      <xdr:row>89</xdr:row>
      <xdr:rowOff>114598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70442F-828F-62BB-C6BB-307F80017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09360" y="12946380"/>
          <a:ext cx="7468247" cy="3444538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22861</xdr:colOff>
      <xdr:row>3</xdr:row>
      <xdr:rowOff>106680</xdr:rowOff>
    </xdr:from>
    <xdr:to>
      <xdr:col>22</xdr:col>
      <xdr:colOff>393409</xdr:colOff>
      <xdr:row>18</xdr:row>
      <xdr:rowOff>167640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1BC7E3F-F9DE-B422-3337-0FEA7AFE2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3101" y="655320"/>
          <a:ext cx="7685748" cy="280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9</xdr:col>
      <xdr:colOff>91871</xdr:colOff>
      <xdr:row>22</xdr:row>
      <xdr:rowOff>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1E7A1-2F40-7949-5111-0680609E0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" y="548640"/>
          <a:ext cx="4968671" cy="34750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9</xdr:col>
      <xdr:colOff>84250</xdr:colOff>
      <xdr:row>68</xdr:row>
      <xdr:rowOff>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B0807C-E2AB-C071-DC0F-DD99A1BD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" y="8961120"/>
          <a:ext cx="4961050" cy="3475021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220980</xdr:colOff>
      <xdr:row>71</xdr:row>
      <xdr:rowOff>121920</xdr:rowOff>
    </xdr:from>
    <xdr:to>
      <xdr:col>9</xdr:col>
      <xdr:colOff>140044</xdr:colOff>
      <xdr:row>91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BBB6A9-C685-BF78-3091-4F4D63765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0980" y="13106400"/>
          <a:ext cx="5039704" cy="3543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</xdr:colOff>
      <xdr:row>68</xdr:row>
      <xdr:rowOff>25768</xdr:rowOff>
    </xdr:from>
    <xdr:to>
      <xdr:col>22</xdr:col>
      <xdr:colOff>107570</xdr:colOff>
      <xdr:row>80</xdr:row>
      <xdr:rowOff>129743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7A8637-523E-6A4C-A8D0-D3D72C7DC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1471008"/>
          <a:ext cx="10051670" cy="2290915"/>
        </a:xfrm>
        <a:prstGeom prst="rect">
          <a:avLst/>
        </a:prstGeom>
      </xdr:spPr>
    </xdr:pic>
    <xdr:clientData/>
  </xdr:twoCellAnchor>
  <xdr:twoCellAnchor editAs="oneCell">
    <xdr:from>
      <xdr:col>3</xdr:col>
      <xdr:colOff>205739</xdr:colOff>
      <xdr:row>46</xdr:row>
      <xdr:rowOff>155718</xdr:rowOff>
    </xdr:from>
    <xdr:to>
      <xdr:col>21</xdr:col>
      <xdr:colOff>560732</xdr:colOff>
      <xdr:row>60</xdr:row>
      <xdr:rowOff>160020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2AFE7A-4D52-D81A-45EC-3B789C769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4059" y="8453898"/>
          <a:ext cx="9948573" cy="2473182"/>
        </a:xfrm>
        <a:prstGeom prst="rect">
          <a:avLst/>
        </a:prstGeom>
      </xdr:spPr>
    </xdr:pic>
    <xdr:clientData/>
  </xdr:twoCellAnchor>
  <xdr:twoCellAnchor editAs="oneCell">
    <xdr:from>
      <xdr:col>3</xdr:col>
      <xdr:colOff>175260</xdr:colOff>
      <xdr:row>26</xdr:row>
      <xdr:rowOff>149016</xdr:rowOff>
    </xdr:from>
    <xdr:to>
      <xdr:col>22</xdr:col>
      <xdr:colOff>30480</xdr:colOff>
      <xdr:row>39</xdr:row>
      <xdr:rowOff>120457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F3B626-B0CD-C421-B2D6-1BBF2D49C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3580" y="4644816"/>
          <a:ext cx="10058400" cy="2348881"/>
        </a:xfrm>
        <a:prstGeom prst="rect">
          <a:avLst/>
        </a:prstGeom>
      </xdr:spPr>
    </xdr:pic>
    <xdr:clientData/>
  </xdr:twoCellAnchor>
  <xdr:twoCellAnchor editAs="oneCell">
    <xdr:from>
      <xdr:col>3</xdr:col>
      <xdr:colOff>160021</xdr:colOff>
      <xdr:row>8</xdr:row>
      <xdr:rowOff>0</xdr:rowOff>
    </xdr:from>
    <xdr:to>
      <xdr:col>22</xdr:col>
      <xdr:colOff>190051</xdr:colOff>
      <xdr:row>18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AF13AA-31AB-F867-1BF9-AC924DB7A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58341" y="1424940"/>
          <a:ext cx="10233210" cy="18288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236220</xdr:colOff>
      <xdr:row>24</xdr:row>
      <xdr:rowOff>175260</xdr:rowOff>
    </xdr:from>
    <xdr:to>
      <xdr:col>4</xdr:col>
      <xdr:colOff>708855</xdr:colOff>
      <xdr:row>41</xdr:row>
      <xdr:rowOff>91702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062472-1A2F-2C8A-20EA-2F6F8944F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" y="4541520"/>
          <a:ext cx="2255715" cy="3025402"/>
        </a:xfrm>
        <a:prstGeom prst="rect">
          <a:avLst/>
        </a:prstGeom>
      </xdr:spPr>
    </xdr:pic>
    <xdr:clientData/>
  </xdr:twoCellAnchor>
  <xdr:twoCellAnchor editAs="oneCell">
    <xdr:from>
      <xdr:col>13</xdr:col>
      <xdr:colOff>495300</xdr:colOff>
      <xdr:row>31</xdr:row>
      <xdr:rowOff>15240</xdr:rowOff>
    </xdr:from>
    <xdr:to>
      <xdr:col>21</xdr:col>
      <xdr:colOff>571929</xdr:colOff>
      <xdr:row>36</xdr:row>
      <xdr:rowOff>76285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A199F1C-4230-6E64-8AF2-783DBC9E6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2520" y="5661660"/>
          <a:ext cx="4953429" cy="975445"/>
        </a:xfrm>
        <a:prstGeom prst="rect">
          <a:avLst/>
        </a:prstGeom>
      </xdr:spPr>
    </xdr:pic>
    <xdr:clientData/>
  </xdr:twoCellAnchor>
  <xdr:twoCellAnchor editAs="oneCell">
    <xdr:from>
      <xdr:col>1</xdr:col>
      <xdr:colOff>145137</xdr:colOff>
      <xdr:row>45</xdr:row>
      <xdr:rowOff>91440</xdr:rowOff>
    </xdr:from>
    <xdr:to>
      <xdr:col>4</xdr:col>
      <xdr:colOff>770639</xdr:colOff>
      <xdr:row>60</xdr:row>
      <xdr:rowOff>99060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8B7AD5-964B-2CBC-0710-A5FAF79D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737" y="8275320"/>
          <a:ext cx="2408582" cy="2750820"/>
        </a:xfrm>
        <a:prstGeom prst="rect">
          <a:avLst/>
        </a:prstGeom>
      </xdr:spPr>
    </xdr:pic>
    <xdr:clientData/>
  </xdr:twoCellAnchor>
  <xdr:twoCellAnchor editAs="oneCell">
    <xdr:from>
      <xdr:col>13</xdr:col>
      <xdr:colOff>487680</xdr:colOff>
      <xdr:row>49</xdr:row>
      <xdr:rowOff>167640</xdr:rowOff>
    </xdr:from>
    <xdr:to>
      <xdr:col>21</xdr:col>
      <xdr:colOff>579551</xdr:colOff>
      <xdr:row>55</xdr:row>
      <xdr:rowOff>45805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0E2C2DA-BC50-EA55-4598-DB5BDAC59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24900" y="9083040"/>
          <a:ext cx="4968671" cy="975445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</xdr:colOff>
      <xdr:row>67</xdr:row>
      <xdr:rowOff>22860</xdr:rowOff>
    </xdr:from>
    <xdr:to>
      <xdr:col>4</xdr:col>
      <xdr:colOff>716483</xdr:colOff>
      <xdr:row>84</xdr:row>
      <xdr:rowOff>129819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280993E-79AD-DBA5-96E2-8C1E1A2AF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9620" y="12199620"/>
          <a:ext cx="2339543" cy="3215919"/>
        </a:xfrm>
        <a:prstGeom prst="rect">
          <a:avLst/>
        </a:prstGeom>
      </xdr:spPr>
    </xdr:pic>
    <xdr:clientData/>
  </xdr:twoCellAnchor>
  <xdr:twoCellAnchor editAs="oneCell">
    <xdr:from>
      <xdr:col>13</xdr:col>
      <xdr:colOff>518160</xdr:colOff>
      <xdr:row>67</xdr:row>
      <xdr:rowOff>7620</xdr:rowOff>
    </xdr:from>
    <xdr:to>
      <xdr:col>18</xdr:col>
      <xdr:colOff>564148</xdr:colOff>
      <xdr:row>84</xdr:row>
      <xdr:rowOff>114579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BD4613F-C19D-8549-341E-D8146A412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55380" y="12184380"/>
          <a:ext cx="3093988" cy="3215919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304800</xdr:colOff>
      <xdr:row>73</xdr:row>
      <xdr:rowOff>7620</xdr:rowOff>
    </xdr:from>
    <xdr:to>
      <xdr:col>27</xdr:col>
      <xdr:colOff>404291</xdr:colOff>
      <xdr:row>78</xdr:row>
      <xdr:rowOff>91527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21D3668-2A55-88C0-99D6-720F4421A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9620" y="13281660"/>
          <a:ext cx="4976291" cy="998307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4</xdr:row>
      <xdr:rowOff>99060</xdr:rowOff>
    </xdr:from>
    <xdr:to>
      <xdr:col>4</xdr:col>
      <xdr:colOff>746961</xdr:colOff>
      <xdr:row>21</xdr:row>
      <xdr:rowOff>84088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C4D051D-AD89-9112-A507-8AD63B9C5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5340" y="830580"/>
          <a:ext cx="2324301" cy="3093988"/>
        </a:xfrm>
        <a:prstGeom prst="rect">
          <a:avLst/>
        </a:prstGeom>
      </xdr:spPr>
    </xdr:pic>
    <xdr:clientData/>
  </xdr:twoCellAnchor>
  <xdr:twoCellAnchor editAs="oneCell">
    <xdr:from>
      <xdr:col>13</xdr:col>
      <xdr:colOff>518160</xdr:colOff>
      <xdr:row>9</xdr:row>
      <xdr:rowOff>114300</xdr:rowOff>
    </xdr:from>
    <xdr:to>
      <xdr:col>21</xdr:col>
      <xdr:colOff>602410</xdr:colOff>
      <xdr:row>14</xdr:row>
      <xdr:rowOff>175345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B64E0AE-79B0-433D-284B-CE030E763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55380" y="1760220"/>
          <a:ext cx="4961050" cy="97544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</xdr:colOff>
      <xdr:row>53</xdr:row>
      <xdr:rowOff>91944</xdr:rowOff>
    </xdr:from>
    <xdr:to>
      <xdr:col>17</xdr:col>
      <xdr:colOff>481480</xdr:colOff>
      <xdr:row>64</xdr:row>
      <xdr:rowOff>7619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87572A0-2392-B029-C461-B8B39AED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2180" y="9731244"/>
          <a:ext cx="4718200" cy="1843535"/>
        </a:xfrm>
        <a:prstGeom prst="rect">
          <a:avLst/>
        </a:prstGeom>
      </xdr:spPr>
    </xdr:pic>
    <xdr:clientData/>
  </xdr:twoCellAnchor>
  <xdr:twoCellAnchor editAs="oneCell">
    <xdr:from>
      <xdr:col>10</xdr:col>
      <xdr:colOff>14813</xdr:colOff>
      <xdr:row>64</xdr:row>
      <xdr:rowOff>15240</xdr:rowOff>
    </xdr:from>
    <xdr:to>
      <xdr:col>17</xdr:col>
      <xdr:colOff>457200</xdr:colOff>
      <xdr:row>91</xdr:row>
      <xdr:rowOff>53384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CFF6F04-71CF-EB40-1BC5-3D0EF982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6513" y="11582400"/>
          <a:ext cx="4709587" cy="480826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54</xdr:row>
      <xdr:rowOff>121920</xdr:rowOff>
    </xdr:from>
    <xdr:to>
      <xdr:col>9</xdr:col>
      <xdr:colOff>30914</xdr:colOff>
      <xdr:row>77</xdr:row>
      <xdr:rowOff>152752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9C790A-79B5-21EE-F5A8-D313C883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40" y="9936480"/>
          <a:ext cx="5006774" cy="4061812"/>
        </a:xfrm>
        <a:prstGeom prst="rect">
          <a:avLst/>
        </a:prstGeom>
      </xdr:spPr>
    </xdr:pic>
    <xdr:clientData/>
  </xdr:twoCellAnchor>
  <xdr:twoCellAnchor editAs="oneCell">
    <xdr:from>
      <xdr:col>9</xdr:col>
      <xdr:colOff>441960</xdr:colOff>
      <xdr:row>105</xdr:row>
      <xdr:rowOff>118964</xdr:rowOff>
    </xdr:from>
    <xdr:to>
      <xdr:col>17</xdr:col>
      <xdr:colOff>328358</xdr:colOff>
      <xdr:row>116</xdr:row>
      <xdr:rowOff>61234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15F1482-E2FF-22AF-8439-823984E03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4060" y="18909884"/>
          <a:ext cx="4763198" cy="1870130"/>
        </a:xfrm>
        <a:prstGeom prst="rect">
          <a:avLst/>
        </a:prstGeom>
      </xdr:spPr>
    </xdr:pic>
    <xdr:clientData/>
  </xdr:twoCellAnchor>
  <xdr:twoCellAnchor editAs="oneCell">
    <xdr:from>
      <xdr:col>9</xdr:col>
      <xdr:colOff>441584</xdr:colOff>
      <xdr:row>116</xdr:row>
      <xdr:rowOff>53340</xdr:rowOff>
    </xdr:from>
    <xdr:to>
      <xdr:col>17</xdr:col>
      <xdr:colOff>320040</xdr:colOff>
      <xdr:row>143</xdr:row>
      <xdr:rowOff>165646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F44E598-EC21-70EC-5178-0E71FED54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13684" y="20772120"/>
          <a:ext cx="4755256" cy="4882426"/>
        </a:xfrm>
        <a:prstGeom prst="rect">
          <a:avLst/>
        </a:prstGeom>
      </xdr:spPr>
    </xdr:pic>
    <xdr:clientData/>
  </xdr:twoCellAnchor>
  <xdr:twoCellAnchor editAs="oneCell">
    <xdr:from>
      <xdr:col>9</xdr:col>
      <xdr:colOff>394926</xdr:colOff>
      <xdr:row>156</xdr:row>
      <xdr:rowOff>15240</xdr:rowOff>
    </xdr:from>
    <xdr:to>
      <xdr:col>17</xdr:col>
      <xdr:colOff>426720</xdr:colOff>
      <xdr:row>178</xdr:row>
      <xdr:rowOff>21708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D4C3CB-A195-326B-7D76-5D641CB0A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7026" y="27744420"/>
          <a:ext cx="4908594" cy="3862188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178</xdr:row>
      <xdr:rowOff>13360</xdr:rowOff>
    </xdr:from>
    <xdr:to>
      <xdr:col>17</xdr:col>
      <xdr:colOff>387317</xdr:colOff>
      <xdr:row>192</xdr:row>
      <xdr:rowOff>15239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CCF93A9-671A-2F1D-BF07-9D4680ADC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91200" y="31598260"/>
          <a:ext cx="4845017" cy="2493619"/>
        </a:xfrm>
        <a:prstGeom prst="rect">
          <a:avLst/>
        </a:prstGeom>
      </xdr:spPr>
    </xdr:pic>
    <xdr:clientData/>
  </xdr:twoCellAnchor>
  <xdr:twoCellAnchor editAs="oneCell">
    <xdr:from>
      <xdr:col>9</xdr:col>
      <xdr:colOff>586046</xdr:colOff>
      <xdr:row>1</xdr:row>
      <xdr:rowOff>22860</xdr:rowOff>
    </xdr:from>
    <xdr:to>
      <xdr:col>17</xdr:col>
      <xdr:colOff>457887</xdr:colOff>
      <xdr:row>32</xdr:row>
      <xdr:rowOff>168454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45743D6-FCA6-1DB1-B09D-E4CF6BE61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58146" y="198120"/>
          <a:ext cx="4748641" cy="5609134"/>
        </a:xfrm>
        <a:prstGeom prst="rect">
          <a:avLst/>
        </a:prstGeom>
      </xdr:spPr>
    </xdr:pic>
    <xdr:clientData/>
  </xdr:twoCellAnchor>
  <xdr:twoCellAnchor editAs="oneCell">
    <xdr:from>
      <xdr:col>9</xdr:col>
      <xdr:colOff>601980</xdr:colOff>
      <xdr:row>33</xdr:row>
      <xdr:rowOff>23499</xdr:rowOff>
    </xdr:from>
    <xdr:to>
      <xdr:col>17</xdr:col>
      <xdr:colOff>441960</xdr:colOff>
      <xdr:row>38</xdr:row>
      <xdr:rowOff>115093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5001327-C2A1-A684-1B41-E7DF4FA57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74080" y="5807079"/>
          <a:ext cx="4716780" cy="96789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108</xdr:row>
      <xdr:rowOff>106680</xdr:rowOff>
    </xdr:from>
    <xdr:to>
      <xdr:col>8</xdr:col>
      <xdr:colOff>724333</xdr:colOff>
      <xdr:row>131</xdr:row>
      <xdr:rowOff>160374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D1FAA1B-DE76-0B72-2D9D-AAE20FF28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1460" y="19423380"/>
          <a:ext cx="4999153" cy="4084674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159</xdr:row>
      <xdr:rowOff>91440</xdr:rowOff>
    </xdr:from>
    <xdr:to>
      <xdr:col>8</xdr:col>
      <xdr:colOff>701473</xdr:colOff>
      <xdr:row>183</xdr:row>
      <xdr:rowOff>160390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C9C149F-5EC8-A2CF-1C1F-F8544969F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6220" y="28384500"/>
          <a:ext cx="4991533" cy="427519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2</xdr:row>
      <xdr:rowOff>121920</xdr:rowOff>
    </xdr:from>
    <xdr:to>
      <xdr:col>8</xdr:col>
      <xdr:colOff>739573</xdr:colOff>
      <xdr:row>27</xdr:row>
      <xdr:rowOff>23231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67C47D1-D372-D371-804E-B5F1679CF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6700" y="472440"/>
          <a:ext cx="4999153" cy="42828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9</xdr:row>
      <xdr:rowOff>1</xdr:rowOff>
    </xdr:from>
    <xdr:to>
      <xdr:col>9</xdr:col>
      <xdr:colOff>53340</xdr:colOff>
      <xdr:row>19</xdr:row>
      <xdr:rowOff>156101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98A7C-F507-9E59-CFEF-BE4D96932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1140" y="1645921"/>
          <a:ext cx="4396740" cy="19849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27</xdr:row>
      <xdr:rowOff>45720</xdr:rowOff>
    </xdr:from>
    <xdr:to>
      <xdr:col>9</xdr:col>
      <xdr:colOff>68971</xdr:colOff>
      <xdr:row>38</xdr:row>
      <xdr:rowOff>76377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BC2F86-6700-F4AE-2806-AAC30895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6360" y="4251960"/>
          <a:ext cx="4511431" cy="2042337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</xdr:colOff>
      <xdr:row>45</xdr:row>
      <xdr:rowOff>167640</xdr:rowOff>
    </xdr:from>
    <xdr:to>
      <xdr:col>9</xdr:col>
      <xdr:colOff>84210</xdr:colOff>
      <xdr:row>57</xdr:row>
      <xdr:rowOff>7796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F3C79C-7EBE-2D6D-1A23-E86324833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2560" y="7848600"/>
          <a:ext cx="4496190" cy="203471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64</xdr:row>
      <xdr:rowOff>144780</xdr:rowOff>
    </xdr:from>
    <xdr:to>
      <xdr:col>9</xdr:col>
      <xdr:colOff>53728</xdr:colOff>
      <xdr:row>76</xdr:row>
      <xdr:rowOff>15419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33D14C-012A-38F9-0DA5-24D3D00AB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4940" y="11849100"/>
          <a:ext cx="4473328" cy="20651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175260</xdr:rowOff>
    </xdr:from>
    <xdr:to>
      <xdr:col>9</xdr:col>
      <xdr:colOff>23248</xdr:colOff>
      <xdr:row>94</xdr:row>
      <xdr:rowOff>15416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2BF9AA-070C-80E8-7D31-C9C002AF4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6840" y="15171420"/>
          <a:ext cx="4480948" cy="20347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F6B8-CEA2-4CD6-B7BD-8E6158595952}">
  <dimension ref="A1:BQ94"/>
  <sheetViews>
    <sheetView showGridLines="0" tabSelected="1" topLeftCell="A34" zoomScaleNormal="90" workbookViewId="0">
      <selection activeCell="V41" sqref="V41"/>
    </sheetView>
  </sheetViews>
  <sheetFormatPr defaultRowHeight="13.8" outlineLevelCol="1" x14ac:dyDescent="0.25"/>
  <cols>
    <col min="1" max="1" width="4.44140625" style="2" bestFit="1" customWidth="1"/>
    <col min="2" max="2" width="6.88671875" style="2" bestFit="1" customWidth="1"/>
    <col min="3" max="3" width="7.44140625" style="2" bestFit="1" customWidth="1"/>
    <col min="4" max="4" width="4.5546875" style="2" customWidth="1"/>
    <col min="5" max="5" width="8.6640625" style="2" bestFit="1" customWidth="1"/>
    <col min="6" max="6" width="14.21875" style="2" bestFit="1" customWidth="1"/>
    <col min="7" max="7" width="16" style="2" bestFit="1" customWidth="1"/>
    <col min="8" max="8" width="20.109375" style="2" bestFit="1" customWidth="1"/>
    <col min="9" max="9" width="3.77734375" style="2" customWidth="1"/>
    <col min="10" max="10" width="18.88671875" style="2" hidden="1" customWidth="1" outlineLevel="1"/>
    <col min="11" max="11" width="11.21875" style="2" bestFit="1" customWidth="1" collapsed="1"/>
    <col min="12" max="12" width="11" style="2" bestFit="1" customWidth="1"/>
    <col min="13" max="13" width="10.33203125" style="2" customWidth="1"/>
    <col min="14" max="14" width="10.77734375" style="2" bestFit="1" customWidth="1"/>
    <col min="15" max="15" width="4" style="2" customWidth="1"/>
    <col min="16" max="16" width="18.88671875" style="2" hidden="1" customWidth="1" outlineLevel="1"/>
    <col min="17" max="17" width="10.6640625" style="2" bestFit="1" customWidth="1" collapsed="1"/>
    <col min="18" max="18" width="10.6640625" style="2" bestFit="1" customWidth="1"/>
    <col min="19" max="19" width="15.109375" style="2" bestFit="1" customWidth="1"/>
    <col min="20" max="20" width="3.5546875" style="2" customWidth="1"/>
    <col min="21" max="21" width="9.77734375" style="2" bestFit="1" customWidth="1"/>
    <col min="22" max="22" width="14.33203125" style="2" bestFit="1" customWidth="1"/>
    <col min="23" max="23" width="15.5546875" style="2" bestFit="1" customWidth="1"/>
    <col min="24" max="28" width="7.44140625" style="2" customWidth="1"/>
    <col min="29" max="30" width="4.77734375" style="2" customWidth="1"/>
    <col min="31" max="34" width="3.109375" style="2" customWidth="1"/>
    <col min="35" max="35" width="9.77734375" style="2" bestFit="1" customWidth="1"/>
    <col min="36" max="36" width="14.77734375" style="2" customWidth="1"/>
    <col min="37" max="37" width="13.5546875" style="2" bestFit="1" customWidth="1"/>
    <col min="38" max="38" width="4.109375" style="2" customWidth="1"/>
    <col min="39" max="39" width="5.21875" style="2" bestFit="1" customWidth="1"/>
    <col min="40" max="40" width="11.21875" style="2" bestFit="1" customWidth="1"/>
    <col min="41" max="41" width="7.44140625" style="2" customWidth="1"/>
    <col min="42" max="45" width="12" style="2" customWidth="1"/>
    <col min="46" max="48" width="2.21875" style="2" customWidth="1"/>
    <col min="49" max="49" width="9.77734375" style="2" bestFit="1" customWidth="1"/>
    <col min="50" max="50" width="13.109375" style="2" bestFit="1" customWidth="1"/>
    <col min="51" max="51" width="7.44140625" style="2" bestFit="1" customWidth="1"/>
    <col min="52" max="52" width="4.33203125" style="2" customWidth="1"/>
    <col min="53" max="53" width="6" style="2" bestFit="1" customWidth="1"/>
    <col min="54" max="54" width="11.21875" style="2" bestFit="1" customWidth="1"/>
    <col min="55" max="62" width="8.88671875" style="2"/>
    <col min="63" max="63" width="9.77734375" style="2" hidden="1" customWidth="1" outlineLevel="1"/>
    <col min="64" max="64" width="10.6640625" style="2" hidden="1" customWidth="1" outlineLevel="1"/>
    <col min="65" max="65" width="11.44140625" style="2" hidden="1" customWidth="1" outlineLevel="1"/>
    <col min="66" max="68" width="0" style="2" hidden="1" customWidth="1" outlineLevel="1"/>
    <col min="69" max="69" width="8.88671875" style="2" collapsed="1"/>
    <col min="70" max="16384" width="8.88671875" style="2"/>
  </cols>
  <sheetData>
    <row r="1" spans="1:68" ht="8.4" customHeight="1" x14ac:dyDescent="0.25">
      <c r="B1" s="8"/>
      <c r="C1" s="6"/>
    </row>
    <row r="2" spans="1:68" ht="14.4" x14ac:dyDescent="0.3">
      <c r="A2" s="3"/>
      <c r="D2" s="7"/>
      <c r="E2" s="113" t="s">
        <v>22</v>
      </c>
      <c r="F2" s="113"/>
      <c r="G2" s="113"/>
      <c r="H2" s="113"/>
      <c r="I2" s="113"/>
      <c r="P2"/>
      <c r="Q2"/>
      <c r="R2"/>
    </row>
    <row r="3" spans="1:68" ht="14.4" customHeight="1" x14ac:dyDescent="0.25">
      <c r="A3" s="3"/>
      <c r="D3" s="1"/>
    </row>
    <row r="4" spans="1:68" x14ac:dyDescent="0.25">
      <c r="A4" s="3"/>
      <c r="E4" s="49"/>
      <c r="F4" s="50" t="s">
        <v>24</v>
      </c>
      <c r="G4" s="50" t="s">
        <v>57</v>
      </c>
      <c r="H4" s="51" t="s">
        <v>58</v>
      </c>
      <c r="K4" s="9" t="s">
        <v>53</v>
      </c>
    </row>
    <row r="5" spans="1:68" x14ac:dyDescent="0.25">
      <c r="A5" s="3"/>
      <c r="E5" s="52" t="s">
        <v>1</v>
      </c>
      <c r="F5" s="4" t="s">
        <v>20</v>
      </c>
      <c r="G5" s="4" t="s">
        <v>60</v>
      </c>
      <c r="H5" s="53" t="s">
        <v>59</v>
      </c>
      <c r="J5" s="5"/>
      <c r="V5" s="83" t="s">
        <v>73</v>
      </c>
    </row>
    <row r="6" spans="1:68" x14ac:dyDescent="0.25">
      <c r="A6" s="3"/>
      <c r="C6" s="13"/>
      <c r="D6" s="13"/>
      <c r="E6" s="54" t="s">
        <v>34</v>
      </c>
      <c r="F6" s="19">
        <f>H23</f>
        <v>372</v>
      </c>
      <c r="G6" s="19">
        <f>N23</f>
        <v>242</v>
      </c>
      <c r="H6" s="42">
        <f>S23</f>
        <v>112.33333333333333</v>
      </c>
      <c r="V6" s="83" t="s">
        <v>74</v>
      </c>
    </row>
    <row r="7" spans="1:68" x14ac:dyDescent="0.25">
      <c r="A7" s="3"/>
      <c r="D7" s="13"/>
      <c r="E7" s="54" t="s">
        <v>66</v>
      </c>
      <c r="F7" s="19">
        <f>H36</f>
        <v>448</v>
      </c>
      <c r="G7" s="19">
        <f>N36</f>
        <v>423</v>
      </c>
      <c r="H7" s="42">
        <f>S36</f>
        <v>103</v>
      </c>
      <c r="J7" s="71"/>
      <c r="V7" s="83" t="s">
        <v>75</v>
      </c>
    </row>
    <row r="8" spans="1:68" x14ac:dyDescent="0.25">
      <c r="A8" s="3"/>
      <c r="E8" s="54" t="s">
        <v>84</v>
      </c>
      <c r="F8" s="19">
        <f>H51</f>
        <v>444</v>
      </c>
      <c r="G8" s="19">
        <f>N51</f>
        <v>459.66666666666669</v>
      </c>
      <c r="H8" s="42">
        <f>S51</f>
        <v>165</v>
      </c>
      <c r="V8" s="83" t="s">
        <v>76</v>
      </c>
    </row>
    <row r="9" spans="1:68" x14ac:dyDescent="0.25">
      <c r="A9" s="3"/>
      <c r="D9" s="13"/>
      <c r="E9" s="54" t="s">
        <v>90</v>
      </c>
      <c r="F9" s="19">
        <f>H68</f>
        <v>560</v>
      </c>
      <c r="G9" s="19">
        <f>N68</f>
        <v>431</v>
      </c>
      <c r="H9" s="42">
        <f>S68</f>
        <v>396.08</v>
      </c>
    </row>
    <row r="10" spans="1:68" x14ac:dyDescent="0.25">
      <c r="A10" s="3"/>
      <c r="E10" s="54" t="s">
        <v>96</v>
      </c>
      <c r="F10" s="19">
        <f>H84</f>
        <v>432</v>
      </c>
      <c r="G10" s="19">
        <f>N84</f>
        <v>282.33333333333337</v>
      </c>
      <c r="H10" s="42">
        <f>S84</f>
        <v>174.72</v>
      </c>
    </row>
    <row r="11" spans="1:68" ht="5.4" customHeight="1" x14ac:dyDescent="0.25">
      <c r="A11" s="3"/>
      <c r="E11" s="54"/>
      <c r="F11" s="3"/>
      <c r="G11" s="3"/>
      <c r="H11" s="36"/>
    </row>
    <row r="12" spans="1:68" x14ac:dyDescent="0.25">
      <c r="A12" s="3"/>
      <c r="E12" s="55" t="s">
        <v>19</v>
      </c>
      <c r="F12" s="46">
        <f>AVERAGE(F6:F10)</f>
        <v>451.2</v>
      </c>
      <c r="G12" s="46">
        <f>AVERAGE(G6:G10)</f>
        <v>367.6</v>
      </c>
      <c r="H12" s="56">
        <f>AVERAGE(H6:H10)</f>
        <v>190.22666666666666</v>
      </c>
    </row>
    <row r="13" spans="1:68" x14ac:dyDescent="0.25">
      <c r="A13" s="3"/>
      <c r="E13" s="57" t="s">
        <v>23</v>
      </c>
      <c r="F13" s="58"/>
      <c r="G13" s="58">
        <f>($F$12-G12)/$F$12*1</f>
        <v>0.18528368794326233</v>
      </c>
      <c r="H13" s="59">
        <f>($F$12-H12)/$F$12*1</f>
        <v>0.57839834515366439</v>
      </c>
    </row>
    <row r="14" spans="1:68" x14ac:dyDescent="0.25">
      <c r="B14" s="5"/>
      <c r="C14" s="12"/>
      <c r="H14" s="117">
        <f>H13-G13</f>
        <v>0.39311465721040206</v>
      </c>
    </row>
    <row r="15" spans="1:68" ht="14.4" customHeight="1" x14ac:dyDescent="0.25">
      <c r="B15" s="113"/>
      <c r="C15" s="113"/>
      <c r="AJ15" s="116" t="s">
        <v>54</v>
      </c>
      <c r="AK15" s="116"/>
      <c r="AL15" s="7"/>
      <c r="AX15" s="116" t="s">
        <v>108</v>
      </c>
      <c r="AY15" s="116"/>
      <c r="AZ15" s="116"/>
      <c r="BA15" s="116"/>
      <c r="BB15" s="116"/>
    </row>
    <row r="16" spans="1:68" ht="14.4" customHeight="1" x14ac:dyDescent="0.25">
      <c r="B16" s="5"/>
      <c r="D16" s="4"/>
      <c r="E16" s="113" t="s">
        <v>100</v>
      </c>
      <c r="F16" s="113"/>
      <c r="G16" s="113"/>
      <c r="H16" s="113"/>
      <c r="I16" s="4"/>
      <c r="J16" s="113" t="s">
        <v>25</v>
      </c>
      <c r="K16" s="113"/>
      <c r="L16" s="113"/>
      <c r="M16" s="113"/>
      <c r="N16" s="113"/>
      <c r="O16" s="4"/>
      <c r="P16" s="113" t="s">
        <v>101</v>
      </c>
      <c r="Q16" s="113"/>
      <c r="R16" s="113"/>
      <c r="S16" s="113"/>
      <c r="V16" s="116" t="s">
        <v>10</v>
      </c>
      <c r="W16" s="116"/>
      <c r="X16" s="6"/>
      <c r="Y16" s="6"/>
      <c r="Z16" s="6"/>
      <c r="AA16" s="6"/>
      <c r="AB16" s="6"/>
      <c r="AC16" s="6"/>
      <c r="AD16" s="6"/>
      <c r="AJ16" s="116" t="s">
        <v>105</v>
      </c>
      <c r="AK16" s="116"/>
      <c r="AL16" s="6"/>
      <c r="AO16" s="6"/>
      <c r="AP16" s="6"/>
      <c r="AQ16" s="6"/>
      <c r="AR16" s="6"/>
      <c r="AS16" s="6"/>
      <c r="AX16" s="116" t="s">
        <v>106</v>
      </c>
      <c r="AY16" s="116"/>
      <c r="AZ16" s="116"/>
      <c r="BA16" s="116"/>
      <c r="BB16" s="116"/>
      <c r="BL16" s="116" t="s">
        <v>61</v>
      </c>
      <c r="BM16" s="116"/>
      <c r="BO16" s="116" t="s">
        <v>62</v>
      </c>
      <c r="BP16" s="116"/>
    </row>
    <row r="17" spans="1:68" x14ac:dyDescent="0.25">
      <c r="B17" s="5"/>
      <c r="D17" s="6"/>
      <c r="E17" s="112" t="s">
        <v>98</v>
      </c>
      <c r="F17" s="112"/>
      <c r="G17" s="112"/>
      <c r="H17" s="112"/>
      <c r="I17" s="6"/>
      <c r="J17" s="112" t="s">
        <v>98</v>
      </c>
      <c r="K17" s="112"/>
      <c r="L17" s="112"/>
      <c r="M17" s="112"/>
      <c r="N17" s="112"/>
      <c r="O17" s="6"/>
      <c r="P17" s="112" t="s">
        <v>98</v>
      </c>
      <c r="Q17" s="112"/>
      <c r="R17" s="112"/>
      <c r="S17" s="112"/>
      <c r="X17" s="6"/>
      <c r="Y17" s="6"/>
      <c r="Z17" s="6"/>
      <c r="AA17" s="6"/>
      <c r="AB17" s="6"/>
      <c r="AC17" s="6"/>
      <c r="AD17" s="6"/>
      <c r="AJ17" s="116"/>
      <c r="AK17" s="116"/>
      <c r="AL17" s="6"/>
      <c r="AM17" s="6"/>
      <c r="AN17" s="6"/>
      <c r="AO17" s="6"/>
      <c r="AP17" s="6"/>
      <c r="AQ17" s="6"/>
      <c r="AR17" s="6"/>
      <c r="AS17" s="6"/>
      <c r="AX17" s="7"/>
      <c r="AY17" s="7"/>
      <c r="AZ17" s="76"/>
      <c r="BA17" s="7"/>
      <c r="BB17" s="7"/>
      <c r="BL17" s="116" t="s">
        <v>63</v>
      </c>
      <c r="BM17" s="116"/>
      <c r="BO17" s="116" t="s">
        <v>63</v>
      </c>
      <c r="BP17" s="116"/>
    </row>
    <row r="18" spans="1:68" ht="14.4" x14ac:dyDescent="0.3">
      <c r="B18" s="6" t="s">
        <v>1</v>
      </c>
      <c r="C18" s="6" t="s">
        <v>3</v>
      </c>
      <c r="D18" s="6"/>
      <c r="E18" s="29" t="s">
        <v>15</v>
      </c>
      <c r="F18" s="30" t="s">
        <v>14</v>
      </c>
      <c r="G18" s="30" t="s">
        <v>99</v>
      </c>
      <c r="H18" s="24" t="s">
        <v>8</v>
      </c>
      <c r="I18"/>
      <c r="J18" s="29" t="s">
        <v>18</v>
      </c>
      <c r="K18" s="29" t="s">
        <v>16</v>
      </c>
      <c r="L18" s="30" t="s">
        <v>17</v>
      </c>
      <c r="M18" s="30" t="s">
        <v>2</v>
      </c>
      <c r="N18" s="24" t="s">
        <v>8</v>
      </c>
      <c r="O18"/>
      <c r="P18" s="29" t="s">
        <v>18</v>
      </c>
      <c r="Q18" s="29" t="s">
        <v>16</v>
      </c>
      <c r="R18" s="30" t="s">
        <v>17</v>
      </c>
      <c r="S18" s="24" t="s">
        <v>8</v>
      </c>
      <c r="U18" s="6" t="s">
        <v>9</v>
      </c>
      <c r="V18" s="6" t="s">
        <v>102</v>
      </c>
      <c r="W18" s="6" t="s">
        <v>103</v>
      </c>
      <c r="X18" s="6"/>
      <c r="Y18" s="6"/>
      <c r="Z18" s="6"/>
      <c r="AA18" s="6"/>
      <c r="AB18" s="6"/>
      <c r="AC18" s="6"/>
      <c r="AD18" s="6"/>
      <c r="AJ18" s="6" t="s">
        <v>55</v>
      </c>
      <c r="AK18" s="6" t="s">
        <v>103</v>
      </c>
      <c r="AL18" s="6"/>
      <c r="AM18" s="6" t="s">
        <v>12</v>
      </c>
      <c r="AN18" s="6" t="s">
        <v>56</v>
      </c>
      <c r="AO18" s="6"/>
      <c r="AP18" s="6"/>
      <c r="AQ18" s="6"/>
      <c r="AR18" s="6"/>
      <c r="AS18" s="6"/>
      <c r="AX18" s="6" t="s">
        <v>55</v>
      </c>
      <c r="AY18" s="6" t="s">
        <v>102</v>
      </c>
      <c r="AZ18" s="6"/>
      <c r="BA18" s="6" t="s">
        <v>12</v>
      </c>
      <c r="BB18" s="6" t="s">
        <v>56</v>
      </c>
    </row>
    <row r="19" spans="1:68" ht="14.4" x14ac:dyDescent="0.3">
      <c r="B19" s="6" t="s">
        <v>34</v>
      </c>
      <c r="C19" s="3" t="s">
        <v>5</v>
      </c>
      <c r="D19" s="23"/>
      <c r="E19" s="25">
        <v>28</v>
      </c>
      <c r="F19" s="15">
        <f>66-E19</f>
        <v>38</v>
      </c>
      <c r="G19" s="15">
        <f>93-SUM(E19:F19)</f>
        <v>27</v>
      </c>
      <c r="H19" s="41">
        <f>SUM(E19:G19)</f>
        <v>93</v>
      </c>
      <c r="I19"/>
      <c r="J19" s="31"/>
      <c r="K19" s="31">
        <v>47</v>
      </c>
      <c r="L19" s="14">
        <v>18</v>
      </c>
      <c r="M19" s="32">
        <f>'AVB LLM API'!L20</f>
        <v>1</v>
      </c>
      <c r="N19" s="36">
        <f>SUM(K19:L19)</f>
        <v>65</v>
      </c>
      <c r="O19"/>
      <c r="P19" s="31"/>
      <c r="Q19" s="31">
        <v>11</v>
      </c>
      <c r="R19" s="14">
        <v>7</v>
      </c>
      <c r="S19" s="36">
        <f>SUM(Q19:R19)</f>
        <v>18</v>
      </c>
      <c r="U19" s="11">
        <v>45657</v>
      </c>
      <c r="V19" s="19">
        <f>H19-N19</f>
        <v>28</v>
      </c>
      <c r="W19" s="19">
        <f>H19-S19</f>
        <v>75</v>
      </c>
      <c r="X19" s="19"/>
      <c r="Y19" s="19"/>
      <c r="Z19" s="19"/>
      <c r="AA19" s="19"/>
      <c r="AB19" s="19"/>
      <c r="AC19" s="19"/>
      <c r="AD19" s="19"/>
      <c r="AI19" s="20">
        <v>45657</v>
      </c>
      <c r="AJ19" s="19">
        <f>H19+H20+H21+H22</f>
        <v>372</v>
      </c>
      <c r="AK19" s="19">
        <f>S19+S20+S21+S22</f>
        <v>112.33333333333333</v>
      </c>
      <c r="AL19" s="3"/>
      <c r="AM19" s="22">
        <f>AK19-AJ19</f>
        <v>-259.66666666666669</v>
      </c>
      <c r="AN19" s="18">
        <f>(-AM19/AJ19)</f>
        <v>0.69802867383512546</v>
      </c>
      <c r="AO19" s="3"/>
      <c r="AP19" s="3"/>
      <c r="AQ19" s="3"/>
      <c r="AR19" s="3"/>
      <c r="AS19" s="3"/>
      <c r="AW19" s="20">
        <v>45657</v>
      </c>
      <c r="AX19" s="19">
        <f>AJ19</f>
        <v>372</v>
      </c>
      <c r="AY19" s="19">
        <f>N19+N20+N21+N22</f>
        <v>242</v>
      </c>
      <c r="AZ19" s="13"/>
      <c r="BA19" s="22">
        <f>AY19-AX19</f>
        <v>-130</v>
      </c>
      <c r="BB19" s="18">
        <f>(-BA19/AX19)</f>
        <v>0.34946236559139787</v>
      </c>
      <c r="BJ19" s="3" t="str">
        <f>B19</f>
        <v>AVB</v>
      </c>
      <c r="BK19" s="20">
        <v>45657</v>
      </c>
      <c r="BL19" s="114">
        <f>H19-S19</f>
        <v>75</v>
      </c>
      <c r="BM19" s="114"/>
      <c r="BO19" s="114">
        <f>H19-N19</f>
        <v>28</v>
      </c>
      <c r="BP19" s="114"/>
    </row>
    <row r="20" spans="1:68" ht="14.4" x14ac:dyDescent="0.3">
      <c r="A20" s="39" t="s">
        <v>11</v>
      </c>
      <c r="B20" s="6" t="s">
        <v>34</v>
      </c>
      <c r="C20" s="3" t="s">
        <v>4</v>
      </c>
      <c r="D20" s="23"/>
      <c r="E20" s="25">
        <v>28</v>
      </c>
      <c r="F20" s="15">
        <f t="shared" ref="F20:F22" si="0">66-E20</f>
        <v>38</v>
      </c>
      <c r="G20" s="15">
        <f t="shared" ref="G20:G22" si="1">93-SUM(E20:F20)</f>
        <v>27</v>
      </c>
      <c r="H20" s="41">
        <f>SUM(E20:G20)</f>
        <v>93</v>
      </c>
      <c r="I20"/>
      <c r="J20" s="25">
        <f>3619/250*60</f>
        <v>868.56000000000006</v>
      </c>
      <c r="K20" s="31">
        <v>0</v>
      </c>
      <c r="L20" s="14">
        <v>24</v>
      </c>
      <c r="M20" s="32">
        <f>'AVB LLM API'!L40</f>
        <v>0.96153846153846156</v>
      </c>
      <c r="N20" s="42">
        <f>L20+AVERAGE(K19,K21:K22)</f>
        <v>64</v>
      </c>
      <c r="O20"/>
      <c r="P20" s="25">
        <f>2496/250*60</f>
        <v>599.04</v>
      </c>
      <c r="Q20" s="31">
        <v>0</v>
      </c>
      <c r="R20" s="14">
        <v>10</v>
      </c>
      <c r="S20" s="42">
        <f>R20+AVERAGE(Q19,Q21:Q22)</f>
        <v>29.333333333333332</v>
      </c>
      <c r="U20" s="11">
        <v>45565</v>
      </c>
      <c r="V20" s="19">
        <f>H20-N20</f>
        <v>29</v>
      </c>
      <c r="W20" s="19">
        <f>H20-S20</f>
        <v>63.666666666666671</v>
      </c>
      <c r="X20" s="19"/>
      <c r="Y20" s="19"/>
      <c r="Z20" s="19"/>
      <c r="AA20" s="19"/>
      <c r="AB20" s="19"/>
      <c r="AC20" s="19"/>
      <c r="AD20" s="19"/>
      <c r="AI20" s="20">
        <v>45565</v>
      </c>
      <c r="AJ20" s="19">
        <f>H20+H21+H22</f>
        <v>279</v>
      </c>
      <c r="AK20" s="19">
        <f>S20+S21+S22</f>
        <v>94.333333333333329</v>
      </c>
      <c r="AL20" s="3"/>
      <c r="AM20" s="22">
        <f>AK20-AJ20</f>
        <v>-184.66666666666669</v>
      </c>
      <c r="AN20" s="18">
        <f>(-AM20/AJ20)</f>
        <v>0.66188769414575876</v>
      </c>
      <c r="AO20" s="3"/>
      <c r="AP20" s="3"/>
      <c r="AQ20" s="3"/>
      <c r="AR20" s="3"/>
      <c r="AS20" s="3"/>
      <c r="AW20" s="20">
        <v>45565</v>
      </c>
      <c r="AX20" s="19">
        <f t="shared" ref="AX20:AX22" si="2">AJ20</f>
        <v>279</v>
      </c>
      <c r="AY20" s="19">
        <f>N20+N21+N22</f>
        <v>177</v>
      </c>
      <c r="AZ20" s="19"/>
      <c r="BA20" s="22">
        <f t="shared" ref="BA20:BA22" si="3">AY20-AX20</f>
        <v>-102</v>
      </c>
      <c r="BB20" s="18">
        <f>(-BA20/AX20)</f>
        <v>0.36559139784946237</v>
      </c>
      <c r="BJ20" s="3" t="str">
        <f t="shared" ref="BJ20:BJ22" si="4">B20</f>
        <v>AVB</v>
      </c>
      <c r="BK20" s="20">
        <v>45565</v>
      </c>
      <c r="BL20" s="114">
        <f>H20-(R20+AVERAGE(Q19,Q21:Q22))</f>
        <v>63.666666666666671</v>
      </c>
      <c r="BM20" s="114"/>
      <c r="BO20" s="114">
        <f>H20-(L20+AVERAGE(K19,K21:K22))</f>
        <v>29</v>
      </c>
      <c r="BP20" s="114"/>
    </row>
    <row r="21" spans="1:68" ht="14.4" x14ac:dyDescent="0.3">
      <c r="B21" s="6" t="s">
        <v>34</v>
      </c>
      <c r="C21" s="3" t="s">
        <v>6</v>
      </c>
      <c r="D21" s="23"/>
      <c r="E21" s="25">
        <v>28</v>
      </c>
      <c r="F21" s="15">
        <f t="shared" si="0"/>
        <v>38</v>
      </c>
      <c r="G21" s="15">
        <f t="shared" si="1"/>
        <v>27</v>
      </c>
      <c r="H21" s="41">
        <f>SUM(E21:G21)</f>
        <v>93</v>
      </c>
      <c r="I21"/>
      <c r="J21" s="31"/>
      <c r="K21" s="31">
        <v>38</v>
      </c>
      <c r="L21" s="14">
        <v>20</v>
      </c>
      <c r="M21" s="32">
        <f>'AVB LLM API'!L58</f>
        <v>1</v>
      </c>
      <c r="N21" s="36">
        <f>SUM(K21:L21)</f>
        <v>58</v>
      </c>
      <c r="O21"/>
      <c r="P21" s="31"/>
      <c r="Q21" s="31">
        <v>32</v>
      </c>
      <c r="R21" s="14">
        <v>8</v>
      </c>
      <c r="S21" s="36">
        <f t="shared" ref="S21:S22" si="5">SUM(Q21:R21)</f>
        <v>40</v>
      </c>
      <c r="U21" s="11">
        <v>45473</v>
      </c>
      <c r="V21" s="19">
        <f t="shared" ref="V21:V22" si="6">H21-N21</f>
        <v>35</v>
      </c>
      <c r="W21" s="19">
        <f t="shared" ref="W21:W22" si="7">H21-S21</f>
        <v>53</v>
      </c>
      <c r="X21" s="19"/>
      <c r="Y21" s="19"/>
      <c r="Z21" s="19"/>
      <c r="AA21" s="19"/>
      <c r="AB21" s="19"/>
      <c r="AC21" s="19"/>
      <c r="AD21" s="19"/>
      <c r="AI21" s="20">
        <v>45473</v>
      </c>
      <c r="AJ21" s="19">
        <f>H21+H22</f>
        <v>186</v>
      </c>
      <c r="AK21" s="19">
        <f>S21+S22</f>
        <v>65</v>
      </c>
      <c r="AL21" s="3"/>
      <c r="AM21" s="22">
        <f>AK21-AJ21</f>
        <v>-121</v>
      </c>
      <c r="AN21" s="18">
        <f>(-AM21/AJ21)</f>
        <v>0.65053763440860213</v>
      </c>
      <c r="AO21" s="3"/>
      <c r="AP21" s="3"/>
      <c r="AQ21" s="3"/>
      <c r="AR21" s="3"/>
      <c r="AS21" s="3"/>
      <c r="AW21" s="20">
        <v>45473</v>
      </c>
      <c r="AX21" s="19">
        <f t="shared" si="2"/>
        <v>186</v>
      </c>
      <c r="AY21" s="3">
        <f>N21+N22</f>
        <v>113</v>
      </c>
      <c r="AZ21" s="3"/>
      <c r="BA21" s="22">
        <f t="shared" si="3"/>
        <v>-73</v>
      </c>
      <c r="BB21" s="18">
        <f>(-BA21/AX21)</f>
        <v>0.39247311827956988</v>
      </c>
      <c r="BJ21" s="3" t="str">
        <f t="shared" si="4"/>
        <v>AVB</v>
      </c>
      <c r="BK21" s="20">
        <v>45473</v>
      </c>
      <c r="BL21" s="114">
        <f>H21-S21</f>
        <v>53</v>
      </c>
      <c r="BM21" s="114"/>
      <c r="BO21" s="114">
        <f>H21-N21</f>
        <v>35</v>
      </c>
      <c r="BP21" s="114"/>
    </row>
    <row r="22" spans="1:68" ht="14.4" x14ac:dyDescent="0.3">
      <c r="B22" s="6" t="s">
        <v>34</v>
      </c>
      <c r="C22" s="3" t="s">
        <v>7</v>
      </c>
      <c r="D22" s="23"/>
      <c r="E22" s="27">
        <v>28</v>
      </c>
      <c r="F22" s="38">
        <f t="shared" si="0"/>
        <v>38</v>
      </c>
      <c r="G22" s="38">
        <f t="shared" si="1"/>
        <v>27</v>
      </c>
      <c r="H22" s="75">
        <f>SUM(E22:G22)</f>
        <v>93</v>
      </c>
      <c r="I22"/>
      <c r="J22" s="33"/>
      <c r="K22" s="33">
        <v>35</v>
      </c>
      <c r="L22" s="35">
        <v>20</v>
      </c>
      <c r="M22" s="34">
        <f>'AVB LLM API'!L76</f>
        <v>1</v>
      </c>
      <c r="N22" s="37">
        <f>SUM(K22:L22)</f>
        <v>55</v>
      </c>
      <c r="O22"/>
      <c r="P22" s="33"/>
      <c r="Q22" s="33">
        <v>15</v>
      </c>
      <c r="R22" s="35">
        <v>10</v>
      </c>
      <c r="S22" s="37">
        <f t="shared" si="5"/>
        <v>25</v>
      </c>
      <c r="U22" s="11">
        <v>45382</v>
      </c>
      <c r="V22" s="19">
        <f t="shared" si="6"/>
        <v>38</v>
      </c>
      <c r="W22" s="19">
        <f t="shared" si="7"/>
        <v>68</v>
      </c>
      <c r="X22" s="19"/>
      <c r="Y22" s="19"/>
      <c r="Z22" s="19"/>
      <c r="AA22" s="19"/>
      <c r="AB22" s="19"/>
      <c r="AC22" s="19"/>
      <c r="AD22" s="19"/>
      <c r="AI22" s="20">
        <v>45382</v>
      </c>
      <c r="AJ22" s="19">
        <f>H22</f>
        <v>93</v>
      </c>
      <c r="AK22" s="19">
        <f>S22</f>
        <v>25</v>
      </c>
      <c r="AL22" s="3"/>
      <c r="AM22" s="22">
        <f>AK22-AJ22</f>
        <v>-68</v>
      </c>
      <c r="AN22" s="18">
        <f>(-AM22/AJ22)</f>
        <v>0.73118279569892475</v>
      </c>
      <c r="AO22" s="3"/>
      <c r="AP22" s="3"/>
      <c r="AQ22" s="3"/>
      <c r="AR22" s="3"/>
      <c r="AS22" s="3"/>
      <c r="AW22" s="20">
        <v>45382</v>
      </c>
      <c r="AX22" s="19">
        <f t="shared" si="2"/>
        <v>93</v>
      </c>
      <c r="AY22" s="3">
        <f>N22</f>
        <v>55</v>
      </c>
      <c r="AZ22" s="3"/>
      <c r="BA22" s="22">
        <f t="shared" si="3"/>
        <v>-38</v>
      </c>
      <c r="BB22" s="18">
        <f>(-BA22/AX22)</f>
        <v>0.40860215053763443</v>
      </c>
      <c r="BJ22" s="3" t="str">
        <f t="shared" si="4"/>
        <v>AVB</v>
      </c>
      <c r="BK22" s="20">
        <v>45382</v>
      </c>
      <c r="BL22" s="114">
        <f>H22-S22</f>
        <v>68</v>
      </c>
      <c r="BM22" s="114"/>
      <c r="BN22" s="39"/>
      <c r="BO22" s="114">
        <f>H22-N22</f>
        <v>38</v>
      </c>
      <c r="BP22" s="114"/>
    </row>
    <row r="23" spans="1:68" ht="14.4" x14ac:dyDescent="0.3">
      <c r="B23" s="6" t="s">
        <v>8</v>
      </c>
      <c r="D23" s="3"/>
      <c r="G23" s="10" t="s">
        <v>104</v>
      </c>
      <c r="H23" s="19">
        <f>SUM(H19:H22)</f>
        <v>372</v>
      </c>
      <c r="I23"/>
      <c r="L23" s="10" t="s">
        <v>104</v>
      </c>
      <c r="N23" s="19">
        <f>SUM(N19:N22)</f>
        <v>242</v>
      </c>
      <c r="O23" s="23"/>
      <c r="R23" s="10" t="s">
        <v>104</v>
      </c>
      <c r="S23" s="19">
        <f>SUM(S19:S22)</f>
        <v>112.33333333333333</v>
      </c>
      <c r="U23" s="11" t="s">
        <v>8</v>
      </c>
      <c r="V23" s="19">
        <f>SUM(V19:V22)</f>
        <v>130</v>
      </c>
      <c r="W23" s="19">
        <f>SUM(W19:W22)</f>
        <v>259.66666666666669</v>
      </c>
      <c r="BK23" s="10" t="s">
        <v>13</v>
      </c>
      <c r="BL23" s="115">
        <f>P20/AVERAGE(BL19:BM22)</f>
        <v>9.2278305519897295</v>
      </c>
      <c r="BM23" s="115"/>
      <c r="BO23" s="115">
        <f>J20/AVERAGE(BO19:BP22)</f>
        <v>26.72492307692308</v>
      </c>
      <c r="BP23" s="115"/>
    </row>
    <row r="24" spans="1:68" x14ac:dyDescent="0.25">
      <c r="B24" s="6"/>
      <c r="L24" s="10" t="s">
        <v>21</v>
      </c>
      <c r="N24" s="111">
        <f>(($H23-N23)/$H23)*1</f>
        <v>0.34946236559139787</v>
      </c>
      <c r="R24" s="10" t="s">
        <v>21</v>
      </c>
      <c r="S24" s="111">
        <f>(($H23-S23)/$H23)*1</f>
        <v>0.69802867383512546</v>
      </c>
    </row>
    <row r="25" spans="1:68" x14ac:dyDescent="0.25">
      <c r="B25" s="6"/>
      <c r="L25" s="10" t="s">
        <v>107</v>
      </c>
      <c r="M25" s="110">
        <f>AVERAGE(M19:M22)</f>
        <v>0.99038461538461542</v>
      </c>
    </row>
    <row r="26" spans="1:68" x14ac:dyDescent="0.25">
      <c r="B26" s="6"/>
      <c r="K26" s="3">
        <f>SUM(K19:K22)</f>
        <v>120</v>
      </c>
      <c r="L26" s="3">
        <f>SUM(L19:L22)</f>
        <v>82</v>
      </c>
    </row>
    <row r="27" spans="1:68" x14ac:dyDescent="0.25">
      <c r="B27" s="6"/>
    </row>
    <row r="28" spans="1:68" x14ac:dyDescent="0.25">
      <c r="B28" s="6"/>
    </row>
    <row r="29" spans="1:68" x14ac:dyDescent="0.25">
      <c r="B29" s="6"/>
      <c r="D29" s="4"/>
      <c r="E29" s="113" t="s">
        <v>100</v>
      </c>
      <c r="F29" s="113"/>
      <c r="G29" s="113"/>
      <c r="H29" s="113"/>
      <c r="I29" s="4"/>
      <c r="J29" s="113" t="s">
        <v>25</v>
      </c>
      <c r="K29" s="113"/>
      <c r="L29" s="113"/>
      <c r="M29" s="113"/>
      <c r="N29" s="113"/>
      <c r="O29" s="4"/>
      <c r="P29" s="113" t="s">
        <v>101</v>
      </c>
      <c r="Q29" s="113"/>
      <c r="R29" s="113"/>
      <c r="S29" s="113"/>
    </row>
    <row r="30" spans="1:68" x14ac:dyDescent="0.25">
      <c r="B30" s="6"/>
      <c r="E30" s="112" t="s">
        <v>98</v>
      </c>
      <c r="F30" s="112"/>
      <c r="G30" s="112"/>
      <c r="H30" s="112"/>
      <c r="I30" s="6"/>
      <c r="J30" s="112" t="s">
        <v>98</v>
      </c>
      <c r="K30" s="112"/>
      <c r="L30" s="112"/>
      <c r="M30" s="112"/>
      <c r="N30" s="112"/>
      <c r="O30" s="6"/>
      <c r="P30" s="112" t="s">
        <v>98</v>
      </c>
      <c r="Q30" s="112"/>
      <c r="R30" s="112"/>
      <c r="S30" s="112"/>
    </row>
    <row r="31" spans="1:68" ht="14.4" x14ac:dyDescent="0.3">
      <c r="B31" s="6" t="s">
        <v>1</v>
      </c>
      <c r="C31" s="6" t="s">
        <v>3</v>
      </c>
      <c r="D31" s="6"/>
      <c r="E31" s="29" t="s">
        <v>15</v>
      </c>
      <c r="F31" s="30" t="s">
        <v>14</v>
      </c>
      <c r="G31" s="30" t="s">
        <v>99</v>
      </c>
      <c r="H31" s="24" t="s">
        <v>8</v>
      </c>
      <c r="I31"/>
      <c r="J31" s="29" t="s">
        <v>18</v>
      </c>
      <c r="K31" s="29" t="s">
        <v>16</v>
      </c>
      <c r="L31" s="30" t="s">
        <v>17</v>
      </c>
      <c r="M31" s="30" t="s">
        <v>2</v>
      </c>
      <c r="N31" s="24" t="s">
        <v>8</v>
      </c>
      <c r="O31"/>
      <c r="P31" s="29" t="s">
        <v>18</v>
      </c>
      <c r="Q31" s="29" t="s">
        <v>16</v>
      </c>
      <c r="R31" s="30" t="s">
        <v>17</v>
      </c>
      <c r="S31" s="24" t="s">
        <v>8</v>
      </c>
      <c r="U31" s="6" t="s">
        <v>9</v>
      </c>
      <c r="V31" s="6" t="s">
        <v>102</v>
      </c>
      <c r="W31" s="6" t="s">
        <v>103</v>
      </c>
      <c r="AJ31" s="6" t="s">
        <v>55</v>
      </c>
      <c r="AK31" s="6" t="s">
        <v>103</v>
      </c>
      <c r="AL31" s="6"/>
      <c r="AM31" s="6" t="s">
        <v>12</v>
      </c>
      <c r="AN31" s="6" t="s">
        <v>56</v>
      </c>
      <c r="AO31" s="6"/>
      <c r="AX31" s="6" t="s">
        <v>55</v>
      </c>
      <c r="AY31" s="6" t="s">
        <v>102</v>
      </c>
      <c r="AZ31" s="6"/>
      <c r="BA31" s="6" t="s">
        <v>12</v>
      </c>
      <c r="BB31" s="6" t="s">
        <v>56</v>
      </c>
    </row>
    <row r="32" spans="1:68" ht="14.4" x14ac:dyDescent="0.3">
      <c r="B32" s="6" t="s">
        <v>66</v>
      </c>
      <c r="C32" s="3" t="s">
        <v>5</v>
      </c>
      <c r="D32" s="23"/>
      <c r="E32" s="25">
        <v>25</v>
      </c>
      <c r="F32" s="15">
        <v>59</v>
      </c>
      <c r="G32" s="15">
        <v>28</v>
      </c>
      <c r="H32" s="26">
        <f t="shared" ref="H32" si="8">SUM(E32:G32)</f>
        <v>112</v>
      </c>
      <c r="I32"/>
      <c r="J32" s="31"/>
      <c r="K32" s="31">
        <v>62</v>
      </c>
      <c r="L32" s="14">
        <v>46</v>
      </c>
      <c r="M32" s="32">
        <f>'CCI LLM API'!H26</f>
        <v>0.92105263157894735</v>
      </c>
      <c r="N32" s="36">
        <f>SUM(K32:L32)</f>
        <v>108</v>
      </c>
      <c r="O32"/>
      <c r="P32" s="31"/>
      <c r="Q32" s="25">
        <v>22</v>
      </c>
      <c r="R32" s="14">
        <v>8</v>
      </c>
      <c r="S32" s="42">
        <f>SUM(Q32:R32)</f>
        <v>30</v>
      </c>
      <c r="U32" s="11">
        <v>45657</v>
      </c>
      <c r="V32" s="19">
        <f>H32-N32</f>
        <v>4</v>
      </c>
      <c r="W32" s="19">
        <f>H32-S32</f>
        <v>82</v>
      </c>
      <c r="X32" s="3"/>
      <c r="Y32" s="3"/>
      <c r="Z32" s="3"/>
      <c r="AA32" s="3"/>
      <c r="AB32" s="3"/>
      <c r="AC32" s="3"/>
      <c r="AD32" s="3"/>
      <c r="AI32" s="20">
        <v>45657</v>
      </c>
      <c r="AJ32" s="19">
        <f>H32+H33+H34+H35</f>
        <v>448</v>
      </c>
      <c r="AK32" s="19">
        <f>S32+S33+S34+S35</f>
        <v>103</v>
      </c>
      <c r="AL32" s="19"/>
      <c r="AM32" s="22">
        <f>AK32-AJ32</f>
        <v>-345</v>
      </c>
      <c r="AN32" s="18">
        <f>(-AM32/AJ32)</f>
        <v>0.7700892857142857</v>
      </c>
      <c r="AO32" s="3"/>
      <c r="AP32" s="3"/>
      <c r="AQ32" s="3"/>
      <c r="AR32" s="3"/>
      <c r="AS32" s="3"/>
      <c r="AW32" s="20">
        <v>45657</v>
      </c>
      <c r="AX32" s="19">
        <f>AJ32</f>
        <v>448</v>
      </c>
      <c r="AY32" s="19">
        <f>N32+N33+N34+N35</f>
        <v>423</v>
      </c>
      <c r="AZ32" s="19"/>
      <c r="BA32" s="22">
        <f>AY32-AX32</f>
        <v>-25</v>
      </c>
      <c r="BB32" s="18">
        <f>(-BA32/AX32)</f>
        <v>5.5803571428571432E-2</v>
      </c>
      <c r="BJ32" s="3" t="str">
        <f>B32</f>
        <v>CCI</v>
      </c>
      <c r="BK32" s="20">
        <v>45657</v>
      </c>
      <c r="BL32" s="114">
        <f>H32-S32</f>
        <v>82</v>
      </c>
      <c r="BM32" s="114"/>
      <c r="BO32" s="114">
        <f>H32-N32</f>
        <v>4</v>
      </c>
      <c r="BP32" s="114"/>
    </row>
    <row r="33" spans="1:68" ht="14.4" x14ac:dyDescent="0.3">
      <c r="A33" s="39" t="s">
        <v>11</v>
      </c>
      <c r="B33" s="6" t="s">
        <v>66</v>
      </c>
      <c r="C33" s="3" t="s">
        <v>4</v>
      </c>
      <c r="D33" s="72"/>
      <c r="E33" s="25">
        <v>25</v>
      </c>
      <c r="F33" s="15">
        <v>59</v>
      </c>
      <c r="G33" s="15">
        <v>28</v>
      </c>
      <c r="H33" s="41">
        <f>SUM(E33:G33)</f>
        <v>112</v>
      </c>
      <c r="I33"/>
      <c r="J33" s="25">
        <f>5674/250*60</f>
        <v>1361.76</v>
      </c>
      <c r="K33" s="31">
        <v>0</v>
      </c>
      <c r="L33" s="14">
        <v>39</v>
      </c>
      <c r="M33" s="32">
        <f>'CCI LLM API'!H50</f>
        <v>0.73684210526315785</v>
      </c>
      <c r="N33" s="42">
        <f>L33+AVERAGE(K32,K34:K35)</f>
        <v>99</v>
      </c>
      <c r="O33"/>
      <c r="P33" s="25">
        <f>2639/250*60</f>
        <v>633.3599999999999</v>
      </c>
      <c r="Q33" s="31">
        <v>0</v>
      </c>
      <c r="R33" s="14">
        <v>6</v>
      </c>
      <c r="S33" s="42">
        <f>R33+AVERAGE(Q32,Q34:Q35)</f>
        <v>24</v>
      </c>
      <c r="U33" s="11">
        <v>45565</v>
      </c>
      <c r="V33" s="19">
        <f>H33-N33</f>
        <v>13</v>
      </c>
      <c r="W33" s="19">
        <f>H33-S33</f>
        <v>88</v>
      </c>
      <c r="X33" s="3"/>
      <c r="Y33" s="3"/>
      <c r="Z33" s="3"/>
      <c r="AA33" s="3"/>
      <c r="AB33" s="3"/>
      <c r="AC33" s="3"/>
      <c r="AD33" s="3"/>
      <c r="AI33" s="20">
        <v>45565</v>
      </c>
      <c r="AJ33" s="19">
        <f>H33+H34+H35</f>
        <v>336</v>
      </c>
      <c r="AK33" s="19">
        <f>S33+S34+S35</f>
        <v>73</v>
      </c>
      <c r="AL33" s="19"/>
      <c r="AM33" s="22">
        <f>AK33-AJ33</f>
        <v>-263</v>
      </c>
      <c r="AN33" s="18">
        <f>(-AM33/AJ33)</f>
        <v>0.78273809523809523</v>
      </c>
      <c r="AO33" s="3"/>
      <c r="AP33" s="3"/>
      <c r="AQ33" s="3"/>
      <c r="AR33" s="3"/>
      <c r="AS33" s="3"/>
      <c r="AW33" s="20">
        <v>45565</v>
      </c>
      <c r="AX33" s="19">
        <f t="shared" ref="AX33:AX35" si="9">AJ33</f>
        <v>336</v>
      </c>
      <c r="AY33" s="19">
        <f>N33+N34+N35</f>
        <v>315</v>
      </c>
      <c r="AZ33" s="19"/>
      <c r="BA33" s="22">
        <f t="shared" ref="BA33:BA35" si="10">AY33-AX33</f>
        <v>-21</v>
      </c>
      <c r="BB33" s="18">
        <f>(-BA33/AX33)</f>
        <v>6.25E-2</v>
      </c>
      <c r="BJ33" s="3" t="str">
        <f t="shared" ref="BJ33:BJ35" si="11">B33</f>
        <v>CCI</v>
      </c>
      <c r="BK33" s="20">
        <v>45565</v>
      </c>
      <c r="BL33" s="114">
        <f>H33-(R33+AVERAGE(Q32,Q34:Q35))</f>
        <v>88</v>
      </c>
      <c r="BM33" s="114"/>
      <c r="BO33" s="114">
        <f>H33-(L33+AVERAGE(K32,K34:K35))</f>
        <v>13</v>
      </c>
      <c r="BP33" s="114"/>
    </row>
    <row r="34" spans="1:68" ht="14.4" x14ac:dyDescent="0.3">
      <c r="B34" s="6" t="s">
        <v>66</v>
      </c>
      <c r="C34" s="3" t="s">
        <v>6</v>
      </c>
      <c r="D34" s="23"/>
      <c r="E34" s="25">
        <v>25</v>
      </c>
      <c r="F34" s="15">
        <v>59</v>
      </c>
      <c r="G34" s="15">
        <v>28</v>
      </c>
      <c r="H34" s="26">
        <f t="shared" ref="H34:H35" si="12">SUM(E34:G34)</f>
        <v>112</v>
      </c>
      <c r="I34"/>
      <c r="J34" s="31"/>
      <c r="K34" s="31">
        <f>73</f>
        <v>73</v>
      </c>
      <c r="L34" s="14">
        <v>44</v>
      </c>
      <c r="M34" s="32">
        <f>'CCI LLM API'!H77</f>
        <v>0.85</v>
      </c>
      <c r="N34" s="36">
        <f>SUM(K34:L34)</f>
        <v>117</v>
      </c>
      <c r="O34"/>
      <c r="P34" s="31"/>
      <c r="Q34" s="25">
        <v>15</v>
      </c>
      <c r="R34" s="15">
        <v>7</v>
      </c>
      <c r="S34" s="42">
        <f t="shared" ref="S34:S35" si="13">SUM(Q34:R34)</f>
        <v>22</v>
      </c>
      <c r="U34" s="11">
        <v>45473</v>
      </c>
      <c r="V34" s="19">
        <f t="shared" ref="V34:V35" si="14">H34-N34</f>
        <v>-5</v>
      </c>
      <c r="W34" s="19">
        <f t="shared" ref="W34:W35" si="15">H34-S34</f>
        <v>90</v>
      </c>
      <c r="X34" s="3"/>
      <c r="Y34" s="3"/>
      <c r="Z34" s="3"/>
      <c r="AA34" s="3"/>
      <c r="AB34" s="3"/>
      <c r="AC34" s="3"/>
      <c r="AD34" s="3"/>
      <c r="AI34" s="20">
        <v>45473</v>
      </c>
      <c r="AJ34" s="19">
        <f>H34+H35</f>
        <v>224</v>
      </c>
      <c r="AK34" s="19">
        <f>S34+S35</f>
        <v>49</v>
      </c>
      <c r="AL34" s="19"/>
      <c r="AM34" s="22">
        <f>AK34-AJ34</f>
        <v>-175</v>
      </c>
      <c r="AN34" s="18">
        <f>(-AM34/AJ34)</f>
        <v>0.78125</v>
      </c>
      <c r="AO34" s="3"/>
      <c r="AP34" s="3"/>
      <c r="AQ34" s="3"/>
      <c r="AR34" s="3"/>
      <c r="AS34" s="3"/>
      <c r="AW34" s="20">
        <v>45473</v>
      </c>
      <c r="AX34" s="19">
        <f t="shared" si="9"/>
        <v>224</v>
      </c>
      <c r="AY34" s="3">
        <f>N34+N35</f>
        <v>216</v>
      </c>
      <c r="AZ34" s="3"/>
      <c r="BA34" s="22">
        <f t="shared" si="10"/>
        <v>-8</v>
      </c>
      <c r="BB34" s="18">
        <f>(-BA34/AX34)</f>
        <v>3.5714285714285712E-2</v>
      </c>
      <c r="BJ34" s="3" t="str">
        <f t="shared" si="11"/>
        <v>CCI</v>
      </c>
      <c r="BK34" s="20">
        <v>45473</v>
      </c>
      <c r="BL34" s="114">
        <f>H34-S34</f>
        <v>90</v>
      </c>
      <c r="BM34" s="114"/>
      <c r="BO34" s="114">
        <f>H34-N34</f>
        <v>-5</v>
      </c>
      <c r="BP34" s="114"/>
    </row>
    <row r="35" spans="1:68" ht="14.4" x14ac:dyDescent="0.3">
      <c r="B35" s="6" t="s">
        <v>66</v>
      </c>
      <c r="C35" s="3" t="s">
        <v>7</v>
      </c>
      <c r="D35" s="23"/>
      <c r="E35" s="27">
        <v>25</v>
      </c>
      <c r="F35" s="38">
        <v>59</v>
      </c>
      <c r="G35" s="38">
        <v>28</v>
      </c>
      <c r="H35" s="28">
        <f t="shared" si="12"/>
        <v>112</v>
      </c>
      <c r="I35"/>
      <c r="J35" s="33"/>
      <c r="K35" s="27">
        <v>45</v>
      </c>
      <c r="L35" s="35">
        <v>54</v>
      </c>
      <c r="M35" s="34">
        <f>'CCI LLM API'!H103</f>
        <v>0.9</v>
      </c>
      <c r="N35" s="47">
        <f>SUM(K35:L35)</f>
        <v>99</v>
      </c>
      <c r="O35"/>
      <c r="P35" s="33"/>
      <c r="Q35" s="27">
        <v>17</v>
      </c>
      <c r="R35" s="35">
        <v>10</v>
      </c>
      <c r="S35" s="47">
        <f t="shared" si="13"/>
        <v>27</v>
      </c>
      <c r="U35" s="11">
        <v>45382</v>
      </c>
      <c r="V35" s="19">
        <f t="shared" si="14"/>
        <v>13</v>
      </c>
      <c r="W35" s="19">
        <f t="shared" si="15"/>
        <v>85</v>
      </c>
      <c r="X35" s="3"/>
      <c r="Y35" s="3"/>
      <c r="Z35" s="3"/>
      <c r="AA35" s="3"/>
      <c r="AB35" s="3"/>
      <c r="AC35" s="3"/>
      <c r="AD35" s="3"/>
      <c r="AI35" s="20">
        <v>45382</v>
      </c>
      <c r="AJ35" s="19">
        <f>H35</f>
        <v>112</v>
      </c>
      <c r="AK35" s="19">
        <f>S35</f>
        <v>27</v>
      </c>
      <c r="AL35" s="19"/>
      <c r="AM35" s="22">
        <f>AK35-AJ35</f>
        <v>-85</v>
      </c>
      <c r="AN35" s="18">
        <f>(-AM35/AJ35)</f>
        <v>0.7589285714285714</v>
      </c>
      <c r="AO35" s="3"/>
      <c r="AP35" s="3"/>
      <c r="AQ35" s="3"/>
      <c r="AR35" s="3"/>
      <c r="AS35" s="3"/>
      <c r="AW35" s="20">
        <v>45382</v>
      </c>
      <c r="AX35" s="19">
        <f t="shared" si="9"/>
        <v>112</v>
      </c>
      <c r="AY35" s="3">
        <f>N35</f>
        <v>99</v>
      </c>
      <c r="AZ35" s="3"/>
      <c r="BA35" s="22">
        <f t="shared" si="10"/>
        <v>-13</v>
      </c>
      <c r="BB35" s="18">
        <f>(-BA35/AX35)</f>
        <v>0.11607142857142858</v>
      </c>
      <c r="BJ35" s="3" t="str">
        <f t="shared" si="11"/>
        <v>CCI</v>
      </c>
      <c r="BK35" s="20">
        <v>45382</v>
      </c>
      <c r="BL35" s="114">
        <f>H35-S35</f>
        <v>85</v>
      </c>
      <c r="BM35" s="114"/>
      <c r="BO35" s="114">
        <f>H35-N35</f>
        <v>13</v>
      </c>
      <c r="BP35" s="114"/>
    </row>
    <row r="36" spans="1:68" ht="14.4" x14ac:dyDescent="0.3">
      <c r="D36" s="3"/>
      <c r="G36" s="10" t="s">
        <v>104</v>
      </c>
      <c r="H36" s="3">
        <f>SUM(H32:H35)</f>
        <v>448</v>
      </c>
      <c r="I36"/>
      <c r="L36" s="10" t="s">
        <v>104</v>
      </c>
      <c r="N36" s="19">
        <f>SUM(N32:N35)</f>
        <v>423</v>
      </c>
      <c r="O36" s="23"/>
      <c r="R36" s="10" t="s">
        <v>104</v>
      </c>
      <c r="S36" s="19">
        <f>SUM(S32:S35)</f>
        <v>103</v>
      </c>
      <c r="U36" s="11" t="s">
        <v>8</v>
      </c>
      <c r="V36" s="19">
        <f>SUM(V32:V35)</f>
        <v>25</v>
      </c>
      <c r="W36" s="19">
        <f>SUM(W32:W35)</f>
        <v>345</v>
      </c>
      <c r="BK36" s="10" t="s">
        <v>13</v>
      </c>
      <c r="BL36" s="115">
        <f>P33/AVERAGE(BL32:BM35)</f>
        <v>7.343304347826086</v>
      </c>
      <c r="BM36" s="115"/>
      <c r="BO36" s="115">
        <f>J33/AVERAGE(BO32:BP35)</f>
        <v>217.88159999999999</v>
      </c>
      <c r="BP36" s="115"/>
    </row>
    <row r="37" spans="1:68" x14ac:dyDescent="0.25">
      <c r="L37" s="10" t="s">
        <v>21</v>
      </c>
      <c r="N37" s="111">
        <f>(($H36-N36)/$H36)*1</f>
        <v>5.5803571428571432E-2</v>
      </c>
      <c r="R37" s="10" t="s">
        <v>21</v>
      </c>
      <c r="S37" s="111">
        <f>(($H36-S36)/$H36)*1</f>
        <v>0.7700892857142857</v>
      </c>
    </row>
    <row r="38" spans="1:68" x14ac:dyDescent="0.25">
      <c r="L38" s="10" t="s">
        <v>107</v>
      </c>
      <c r="M38" s="110">
        <f>AVERAGE(M32:M35)</f>
        <v>0.85197368421052633</v>
      </c>
    </row>
    <row r="39" spans="1:68" x14ac:dyDescent="0.25">
      <c r="K39" s="3">
        <f>SUM(K32:K35)</f>
        <v>180</v>
      </c>
      <c r="L39" s="3">
        <f>SUM(L32:L35)</f>
        <v>183</v>
      </c>
    </row>
    <row r="44" spans="1:68" x14ac:dyDescent="0.25">
      <c r="B44" s="6"/>
      <c r="D44" s="4"/>
      <c r="E44" s="113" t="s">
        <v>100</v>
      </c>
      <c r="F44" s="113"/>
      <c r="G44" s="113"/>
      <c r="H44" s="113"/>
      <c r="I44" s="4"/>
      <c r="J44" s="113" t="s">
        <v>25</v>
      </c>
      <c r="K44" s="113"/>
      <c r="L44" s="113"/>
      <c r="M44" s="113"/>
      <c r="N44" s="113"/>
      <c r="O44" s="4"/>
      <c r="P44" s="113" t="s">
        <v>101</v>
      </c>
      <c r="Q44" s="113"/>
      <c r="R44" s="113"/>
      <c r="S44" s="113"/>
    </row>
    <row r="45" spans="1:68" x14ac:dyDescent="0.25">
      <c r="B45" s="6"/>
      <c r="E45" s="112" t="s">
        <v>98</v>
      </c>
      <c r="F45" s="112"/>
      <c r="G45" s="112"/>
      <c r="H45" s="112"/>
      <c r="I45" s="6"/>
      <c r="J45" s="112" t="s">
        <v>98</v>
      </c>
      <c r="K45" s="112"/>
      <c r="L45" s="112"/>
      <c r="M45" s="112"/>
      <c r="N45" s="112"/>
      <c r="O45" s="6"/>
      <c r="P45" s="112" t="s">
        <v>98</v>
      </c>
      <c r="Q45" s="112"/>
      <c r="R45" s="112"/>
      <c r="S45" s="112"/>
    </row>
    <row r="46" spans="1:68" ht="14.4" x14ac:dyDescent="0.3">
      <c r="B46" s="6" t="s">
        <v>1</v>
      </c>
      <c r="C46" s="6" t="s">
        <v>3</v>
      </c>
      <c r="D46" s="6"/>
      <c r="E46" s="29" t="s">
        <v>15</v>
      </c>
      <c r="F46" s="30" t="s">
        <v>14</v>
      </c>
      <c r="G46" s="30" t="s">
        <v>99</v>
      </c>
      <c r="H46" s="24" t="s">
        <v>8</v>
      </c>
      <c r="I46"/>
      <c r="J46" s="29" t="s">
        <v>18</v>
      </c>
      <c r="K46" s="29" t="s">
        <v>16</v>
      </c>
      <c r="L46" s="30" t="s">
        <v>17</v>
      </c>
      <c r="M46" s="30" t="s">
        <v>2</v>
      </c>
      <c r="N46" s="24" t="s">
        <v>8</v>
      </c>
      <c r="O46"/>
      <c r="P46" s="29" t="s">
        <v>18</v>
      </c>
      <c r="Q46" s="29" t="s">
        <v>16</v>
      </c>
      <c r="R46" s="30" t="s">
        <v>17</v>
      </c>
      <c r="S46" s="24" t="s">
        <v>8</v>
      </c>
      <c r="U46" s="6" t="s">
        <v>9</v>
      </c>
      <c r="V46" s="6" t="s">
        <v>102</v>
      </c>
      <c r="W46" s="6" t="s">
        <v>103</v>
      </c>
      <c r="AJ46" s="6" t="s">
        <v>55</v>
      </c>
      <c r="AK46" s="6" t="s">
        <v>103</v>
      </c>
      <c r="AL46" s="6"/>
      <c r="AM46" s="6" t="s">
        <v>12</v>
      </c>
      <c r="AN46" s="6" t="s">
        <v>56</v>
      </c>
      <c r="AO46" s="6"/>
      <c r="AX46" s="6" t="s">
        <v>55</v>
      </c>
      <c r="AY46" s="6" t="s">
        <v>102</v>
      </c>
      <c r="AZ46" s="6"/>
      <c r="BA46" s="6" t="s">
        <v>12</v>
      </c>
      <c r="BB46" s="6" t="s">
        <v>56</v>
      </c>
    </row>
    <row r="47" spans="1:68" ht="14.4" x14ac:dyDescent="0.3">
      <c r="B47" s="6" t="s">
        <v>84</v>
      </c>
      <c r="C47" s="3" t="s">
        <v>5</v>
      </c>
      <c r="D47" s="23"/>
      <c r="E47" s="25">
        <v>55</v>
      </c>
      <c r="F47" s="15">
        <v>31</v>
      </c>
      <c r="G47" s="15">
        <v>25</v>
      </c>
      <c r="H47" s="26">
        <f t="shared" ref="H47" si="16">SUM(E47:G47)</f>
        <v>111</v>
      </c>
      <c r="I47"/>
      <c r="J47" s="31"/>
      <c r="K47" s="31">
        <v>92</v>
      </c>
      <c r="L47" s="14">
        <v>20</v>
      </c>
      <c r="M47" s="32">
        <f>'AMT LLM API'!G23</f>
        <v>1</v>
      </c>
      <c r="N47" s="36">
        <f>SUM(K47:L47)</f>
        <v>112</v>
      </c>
      <c r="O47"/>
      <c r="P47" s="31"/>
      <c r="Q47" s="31">
        <v>21</v>
      </c>
      <c r="R47" s="14">
        <v>20</v>
      </c>
      <c r="S47" s="36">
        <f>SUM(Q47:R47)</f>
        <v>41</v>
      </c>
      <c r="U47" s="11">
        <v>45657</v>
      </c>
      <c r="V47" s="19">
        <f>H47-N47</f>
        <v>-1</v>
      </c>
      <c r="W47" s="19">
        <f>H47-S47</f>
        <v>70</v>
      </c>
      <c r="X47" s="3"/>
      <c r="Y47" s="3"/>
      <c r="Z47" s="3"/>
      <c r="AA47" s="3"/>
      <c r="AB47" s="3"/>
      <c r="AC47" s="3"/>
      <c r="AD47" s="3"/>
      <c r="AI47" s="20">
        <v>45657</v>
      </c>
      <c r="AJ47" s="19">
        <f>H47+H48+H49+H50</f>
        <v>444</v>
      </c>
      <c r="AK47" s="19">
        <f>S47+S48+S49+S50</f>
        <v>165</v>
      </c>
      <c r="AL47" s="19"/>
      <c r="AM47" s="22">
        <f>AK47-AJ47</f>
        <v>-279</v>
      </c>
      <c r="AN47" s="18">
        <f>(-AM47/AJ47)</f>
        <v>0.6283783783783784</v>
      </c>
      <c r="AO47" s="3"/>
      <c r="AP47" s="3"/>
      <c r="AQ47" s="3"/>
      <c r="AR47" s="3"/>
      <c r="AS47" s="3"/>
      <c r="AW47" s="20">
        <v>45657</v>
      </c>
      <c r="AX47" s="19">
        <f>AJ47</f>
        <v>444</v>
      </c>
      <c r="AY47" s="19">
        <f>N47+N48+N49+N50</f>
        <v>459.66666666666669</v>
      </c>
      <c r="AZ47" s="19"/>
      <c r="BA47" s="22">
        <f>AY47-AX47</f>
        <v>15.666666666666686</v>
      </c>
      <c r="BB47" s="18">
        <f>(-BA47/AX47)</f>
        <v>-3.528528528528533E-2</v>
      </c>
      <c r="BJ47" s="3" t="str">
        <f>B47</f>
        <v>AMT</v>
      </c>
      <c r="BK47" s="20">
        <v>45657</v>
      </c>
      <c r="BL47" s="114">
        <f>H47-S47</f>
        <v>70</v>
      </c>
      <c r="BM47" s="114"/>
      <c r="BO47" s="114">
        <f>H47-N47</f>
        <v>-1</v>
      </c>
      <c r="BP47" s="114"/>
    </row>
    <row r="48" spans="1:68" ht="14.4" x14ac:dyDescent="0.3">
      <c r="A48" s="39" t="s">
        <v>11</v>
      </c>
      <c r="B48" s="6" t="s">
        <v>84</v>
      </c>
      <c r="C48" s="3" t="s">
        <v>4</v>
      </c>
      <c r="D48" s="72"/>
      <c r="E48" s="25">
        <v>55</v>
      </c>
      <c r="F48" s="15">
        <v>31</v>
      </c>
      <c r="G48" s="15">
        <v>25</v>
      </c>
      <c r="H48" s="41">
        <f>SUM(E48:G48)</f>
        <v>111</v>
      </c>
      <c r="I48"/>
      <c r="J48" s="25">
        <f>4812/250*60</f>
        <v>1154.8800000000001</v>
      </c>
      <c r="K48" s="31">
        <v>0</v>
      </c>
      <c r="L48" s="14">
        <v>32</v>
      </c>
      <c r="M48" s="32">
        <f>'AMT LLM API'!G43</f>
        <v>1</v>
      </c>
      <c r="N48" s="42">
        <f>L48+AVERAGE(K47,K49:K50)</f>
        <v>120.66666666666667</v>
      </c>
      <c r="O48"/>
      <c r="P48" s="25">
        <f>3929/250*60</f>
        <v>942.95999999999992</v>
      </c>
      <c r="Q48" s="31">
        <v>0</v>
      </c>
      <c r="R48" s="14">
        <v>19</v>
      </c>
      <c r="S48" s="42">
        <f>R48+AVERAGE(Q47,Q49:Q50)</f>
        <v>41</v>
      </c>
      <c r="U48" s="11">
        <v>45565</v>
      </c>
      <c r="V48" s="19">
        <f>H48-N48</f>
        <v>-9.6666666666666714</v>
      </c>
      <c r="W48" s="19">
        <f>H48-S48</f>
        <v>70</v>
      </c>
      <c r="X48" s="3"/>
      <c r="Y48" s="3"/>
      <c r="Z48" s="3"/>
      <c r="AA48" s="3"/>
      <c r="AB48" s="3"/>
      <c r="AC48" s="3"/>
      <c r="AD48" s="3"/>
      <c r="AI48" s="20">
        <v>45565</v>
      </c>
      <c r="AJ48" s="19">
        <f>H48+H49+H50</f>
        <v>333</v>
      </c>
      <c r="AK48" s="19">
        <f>S48+S49+S50</f>
        <v>124</v>
      </c>
      <c r="AL48" s="19"/>
      <c r="AM48" s="22">
        <f>AK48-AJ48</f>
        <v>-209</v>
      </c>
      <c r="AN48" s="18">
        <f>(-AM48/AJ48)</f>
        <v>0.62762762762762758</v>
      </c>
      <c r="AO48" s="3"/>
      <c r="AP48" s="3"/>
      <c r="AQ48" s="3"/>
      <c r="AR48" s="3"/>
      <c r="AS48" s="3"/>
      <c r="AW48" s="20">
        <v>45565</v>
      </c>
      <c r="AX48" s="19">
        <f t="shared" ref="AX48:AX50" si="17">AJ48</f>
        <v>333</v>
      </c>
      <c r="AY48" s="19">
        <f>N48+N49+N50</f>
        <v>347.66666666666669</v>
      </c>
      <c r="AZ48" s="19"/>
      <c r="BA48" s="22">
        <f t="shared" ref="BA48:BA50" si="18">AY48-AX48</f>
        <v>14.666666666666686</v>
      </c>
      <c r="BB48" s="18">
        <f>(-BA48/AX48)</f>
        <v>-4.4044044044044099E-2</v>
      </c>
      <c r="BJ48" s="3" t="str">
        <f t="shared" ref="BJ48:BJ50" si="19">B48</f>
        <v>AMT</v>
      </c>
      <c r="BK48" s="20">
        <v>45565</v>
      </c>
      <c r="BL48" s="114">
        <f>H48-(R48+AVERAGE(Q47,Q49:Q50))</f>
        <v>70</v>
      </c>
      <c r="BM48" s="114"/>
      <c r="BO48" s="114">
        <f>H48-(L48+AVERAGE(K47,K49:K50))</f>
        <v>-9.6666666666666714</v>
      </c>
      <c r="BP48" s="114"/>
    </row>
    <row r="49" spans="2:68" ht="14.4" x14ac:dyDescent="0.3">
      <c r="B49" s="6" t="s">
        <v>84</v>
      </c>
      <c r="C49" s="3" t="s">
        <v>6</v>
      </c>
      <c r="D49" s="23"/>
      <c r="E49" s="25">
        <v>55</v>
      </c>
      <c r="F49" s="15">
        <v>31</v>
      </c>
      <c r="G49" s="15">
        <v>25</v>
      </c>
      <c r="H49" s="26">
        <f t="shared" ref="H49:H50" si="20">SUM(E49:G49)</f>
        <v>111</v>
      </c>
      <c r="I49"/>
      <c r="J49" s="31"/>
      <c r="K49" s="31">
        <v>88</v>
      </c>
      <c r="L49" s="14">
        <v>31</v>
      </c>
      <c r="M49" s="32">
        <f>'AMT LLM API'!G63</f>
        <v>1</v>
      </c>
      <c r="N49" s="36">
        <f>SUM(K49:L49)</f>
        <v>119</v>
      </c>
      <c r="O49"/>
      <c r="P49" s="31"/>
      <c r="Q49" s="31">
        <v>22</v>
      </c>
      <c r="R49" s="14">
        <v>20</v>
      </c>
      <c r="S49" s="36">
        <f t="shared" ref="S49:S50" si="21">SUM(Q49:R49)</f>
        <v>42</v>
      </c>
      <c r="U49" s="11">
        <v>45473</v>
      </c>
      <c r="V49" s="19">
        <f t="shared" ref="V49:V50" si="22">H49-N49</f>
        <v>-8</v>
      </c>
      <c r="W49" s="19">
        <f t="shared" ref="W49:W50" si="23">H49-S49</f>
        <v>69</v>
      </c>
      <c r="X49" s="3"/>
      <c r="Y49" s="3"/>
      <c r="Z49" s="3"/>
      <c r="AA49" s="3"/>
      <c r="AB49" s="3"/>
      <c r="AC49" s="3"/>
      <c r="AD49" s="3"/>
      <c r="AI49" s="20">
        <v>45473</v>
      </c>
      <c r="AJ49" s="19">
        <f>H49+H50</f>
        <v>222</v>
      </c>
      <c r="AK49" s="19">
        <f>S49+S50</f>
        <v>83</v>
      </c>
      <c r="AL49" s="19"/>
      <c r="AM49" s="22">
        <f>AK49-AJ49</f>
        <v>-139</v>
      </c>
      <c r="AN49" s="18">
        <f>(-AM49/AJ49)</f>
        <v>0.62612612612612617</v>
      </c>
      <c r="AO49" s="3"/>
      <c r="AP49" s="3"/>
      <c r="AQ49" s="3"/>
      <c r="AR49" s="3"/>
      <c r="AS49" s="3"/>
      <c r="AW49" s="20">
        <v>45473</v>
      </c>
      <c r="AX49" s="19">
        <f t="shared" si="17"/>
        <v>222</v>
      </c>
      <c r="AY49" s="3">
        <f>N49+N50</f>
        <v>227</v>
      </c>
      <c r="AZ49" s="3"/>
      <c r="BA49" s="22">
        <f t="shared" si="18"/>
        <v>5</v>
      </c>
      <c r="BB49" s="18">
        <f>(-BA49/AX49)</f>
        <v>-2.2522522522522521E-2</v>
      </c>
      <c r="BJ49" s="3" t="str">
        <f t="shared" si="19"/>
        <v>AMT</v>
      </c>
      <c r="BK49" s="20">
        <v>45473</v>
      </c>
      <c r="BL49" s="114">
        <f>H49-S49</f>
        <v>69</v>
      </c>
      <c r="BM49" s="114"/>
      <c r="BO49" s="114">
        <f>H49-N49</f>
        <v>-8</v>
      </c>
      <c r="BP49" s="114"/>
    </row>
    <row r="50" spans="2:68" ht="14.4" x14ac:dyDescent="0.3">
      <c r="B50" s="6" t="s">
        <v>84</v>
      </c>
      <c r="C50" s="3" t="s">
        <v>7</v>
      </c>
      <c r="D50" s="23"/>
      <c r="E50" s="27">
        <v>55</v>
      </c>
      <c r="F50" s="38">
        <v>31</v>
      </c>
      <c r="G50" s="38">
        <v>25</v>
      </c>
      <c r="H50" s="28">
        <f t="shared" si="20"/>
        <v>111</v>
      </c>
      <c r="I50"/>
      <c r="J50" s="33"/>
      <c r="K50" s="33">
        <v>86</v>
      </c>
      <c r="L50" s="35">
        <v>22</v>
      </c>
      <c r="M50" s="34">
        <f>'AMT LLM API'!G85</f>
        <v>0.96875</v>
      </c>
      <c r="N50" s="37">
        <f>SUM(K50:L50)</f>
        <v>108</v>
      </c>
      <c r="O50"/>
      <c r="P50" s="33"/>
      <c r="Q50" s="33">
        <v>23</v>
      </c>
      <c r="R50" s="35">
        <v>18</v>
      </c>
      <c r="S50" s="37">
        <f t="shared" si="21"/>
        <v>41</v>
      </c>
      <c r="U50" s="11">
        <v>45382</v>
      </c>
      <c r="V50" s="19">
        <f t="shared" si="22"/>
        <v>3</v>
      </c>
      <c r="W50" s="19">
        <f t="shared" si="23"/>
        <v>70</v>
      </c>
      <c r="X50" s="3"/>
      <c r="Y50" s="3"/>
      <c r="Z50" s="3"/>
      <c r="AA50" s="3"/>
      <c r="AB50" s="3"/>
      <c r="AC50" s="3"/>
      <c r="AD50" s="3"/>
      <c r="AI50" s="20">
        <v>45382</v>
      </c>
      <c r="AJ50" s="19">
        <f>H50</f>
        <v>111</v>
      </c>
      <c r="AK50" s="19">
        <f>S50</f>
        <v>41</v>
      </c>
      <c r="AL50" s="19"/>
      <c r="AM50" s="22">
        <f>AK50-AJ50</f>
        <v>-70</v>
      </c>
      <c r="AN50" s="18">
        <f>(-AM50/AJ50)</f>
        <v>0.63063063063063063</v>
      </c>
      <c r="AO50" s="3"/>
      <c r="AP50" s="3"/>
      <c r="AQ50" s="3"/>
      <c r="AR50" s="3"/>
      <c r="AS50" s="3"/>
      <c r="AW50" s="20">
        <v>45382</v>
      </c>
      <c r="AX50" s="19">
        <f t="shared" si="17"/>
        <v>111</v>
      </c>
      <c r="AY50" s="3">
        <f>N50</f>
        <v>108</v>
      </c>
      <c r="AZ50" s="3"/>
      <c r="BA50" s="22">
        <f t="shared" si="18"/>
        <v>-3</v>
      </c>
      <c r="BB50" s="18">
        <f>(-BA50/AX50)</f>
        <v>2.7027027027027029E-2</v>
      </c>
      <c r="BJ50" s="3" t="str">
        <f t="shared" si="19"/>
        <v>AMT</v>
      </c>
      <c r="BK50" s="20">
        <v>45382</v>
      </c>
      <c r="BL50" s="114">
        <f>H50-S50</f>
        <v>70</v>
      </c>
      <c r="BM50" s="114"/>
      <c r="BO50" s="114">
        <f>H50-N50</f>
        <v>3</v>
      </c>
      <c r="BP50" s="114"/>
    </row>
    <row r="51" spans="2:68" ht="14.4" x14ac:dyDescent="0.3">
      <c r="D51" s="3"/>
      <c r="G51" s="10" t="s">
        <v>104</v>
      </c>
      <c r="H51" s="3">
        <f>SUM(H47:H50)</f>
        <v>444</v>
      </c>
      <c r="I51"/>
      <c r="L51" s="10" t="s">
        <v>104</v>
      </c>
      <c r="N51" s="19">
        <f>SUM(N47:N50)</f>
        <v>459.66666666666669</v>
      </c>
      <c r="O51" s="23"/>
      <c r="R51" s="10" t="s">
        <v>104</v>
      </c>
      <c r="S51" s="19">
        <f>SUM(S47:S50)</f>
        <v>165</v>
      </c>
      <c r="U51" s="11" t="s">
        <v>8</v>
      </c>
      <c r="V51" s="19">
        <f>SUM(V47:V50)</f>
        <v>-15.666666666666671</v>
      </c>
      <c r="W51" s="19">
        <f>SUM(W47:W50)</f>
        <v>279</v>
      </c>
      <c r="BK51" s="10" t="s">
        <v>13</v>
      </c>
      <c r="BL51" s="115">
        <f>P48/AVERAGE(BL47:BM50)</f>
        <v>13.519139784946235</v>
      </c>
      <c r="BM51" s="115"/>
      <c r="BO51" s="115">
        <f>J48/AVERAGE(BO47:BP50)</f>
        <v>-294.86297872340418</v>
      </c>
      <c r="BP51" s="115"/>
    </row>
    <row r="52" spans="2:68" x14ac:dyDescent="0.25">
      <c r="L52" s="10" t="s">
        <v>21</v>
      </c>
      <c r="N52" s="111">
        <f>(($H51-N51)/$H51)*1</f>
        <v>-3.528528528528533E-2</v>
      </c>
      <c r="R52" s="10" t="s">
        <v>21</v>
      </c>
      <c r="S52" s="111">
        <f>(($H51-S51)/$H51)*1</f>
        <v>0.6283783783783784</v>
      </c>
    </row>
    <row r="53" spans="2:68" x14ac:dyDescent="0.25">
      <c r="L53" s="10" t="s">
        <v>107</v>
      </c>
      <c r="M53" s="110">
        <f>AVERAGE(M47:M50)</f>
        <v>0.9921875</v>
      </c>
    </row>
    <row r="54" spans="2:68" x14ac:dyDescent="0.25">
      <c r="K54" s="3">
        <f>SUM(K47:K50)</f>
        <v>266</v>
      </c>
      <c r="L54" s="3">
        <f>SUM(L47:L50)</f>
        <v>105</v>
      </c>
    </row>
    <row r="61" spans="2:68" x14ac:dyDescent="0.25">
      <c r="B61" s="6"/>
      <c r="D61" s="4"/>
      <c r="E61" s="113" t="s">
        <v>100</v>
      </c>
      <c r="F61" s="113"/>
      <c r="G61" s="113"/>
      <c r="H61" s="113"/>
      <c r="I61" s="4"/>
      <c r="J61" s="113" t="s">
        <v>25</v>
      </c>
      <c r="K61" s="113"/>
      <c r="L61" s="113"/>
      <c r="M61" s="113"/>
      <c r="N61" s="113"/>
      <c r="O61" s="4"/>
      <c r="P61" s="113" t="s">
        <v>101</v>
      </c>
      <c r="Q61" s="113"/>
      <c r="R61" s="113"/>
      <c r="S61" s="113"/>
    </row>
    <row r="62" spans="2:68" x14ac:dyDescent="0.25">
      <c r="B62" s="6"/>
      <c r="E62" s="112" t="s">
        <v>98</v>
      </c>
      <c r="F62" s="112"/>
      <c r="G62" s="112"/>
      <c r="H62" s="112"/>
      <c r="I62" s="6"/>
      <c r="J62" s="112" t="s">
        <v>98</v>
      </c>
      <c r="K62" s="112"/>
      <c r="L62" s="112"/>
      <c r="M62" s="112"/>
      <c r="N62" s="112"/>
      <c r="O62" s="6"/>
      <c r="P62" s="112" t="s">
        <v>98</v>
      </c>
      <c r="Q62" s="112"/>
      <c r="R62" s="112"/>
      <c r="S62" s="112"/>
    </row>
    <row r="63" spans="2:68" ht="14.4" x14ac:dyDescent="0.3">
      <c r="B63" s="6" t="s">
        <v>1</v>
      </c>
      <c r="C63" s="6" t="s">
        <v>3</v>
      </c>
      <c r="D63" s="6"/>
      <c r="E63" s="29" t="s">
        <v>15</v>
      </c>
      <c r="F63" s="30" t="s">
        <v>14</v>
      </c>
      <c r="G63" s="30" t="s">
        <v>99</v>
      </c>
      <c r="H63" s="24" t="s">
        <v>8</v>
      </c>
      <c r="I63"/>
      <c r="J63" s="29" t="s">
        <v>18</v>
      </c>
      <c r="K63" s="29" t="s">
        <v>16</v>
      </c>
      <c r="L63" s="30" t="s">
        <v>17</v>
      </c>
      <c r="M63" s="30" t="s">
        <v>2</v>
      </c>
      <c r="N63" s="24" t="s">
        <v>8</v>
      </c>
      <c r="O63"/>
      <c r="P63" s="29" t="s">
        <v>18</v>
      </c>
      <c r="Q63" s="29" t="s">
        <v>16</v>
      </c>
      <c r="R63" s="30" t="s">
        <v>17</v>
      </c>
      <c r="S63" s="24" t="s">
        <v>8</v>
      </c>
      <c r="U63" s="6" t="s">
        <v>9</v>
      </c>
      <c r="V63" s="6" t="s">
        <v>102</v>
      </c>
      <c r="W63" s="6" t="s">
        <v>103</v>
      </c>
      <c r="AJ63" s="6" t="s">
        <v>55</v>
      </c>
      <c r="AK63" s="6" t="s">
        <v>103</v>
      </c>
      <c r="AL63" s="6"/>
      <c r="AM63" s="6" t="s">
        <v>12</v>
      </c>
      <c r="AN63" s="6" t="s">
        <v>56</v>
      </c>
      <c r="AO63" s="6"/>
      <c r="AX63" s="6" t="s">
        <v>55</v>
      </c>
      <c r="AY63" s="6" t="s">
        <v>102</v>
      </c>
      <c r="AZ63" s="6"/>
      <c r="BA63" s="6" t="s">
        <v>12</v>
      </c>
      <c r="BB63" s="6" t="s">
        <v>56</v>
      </c>
    </row>
    <row r="64" spans="2:68" ht="14.4" x14ac:dyDescent="0.3">
      <c r="B64" s="6" t="s">
        <v>90</v>
      </c>
      <c r="C64" s="3" t="s">
        <v>5</v>
      </c>
      <c r="D64" s="23"/>
      <c r="E64" s="25">
        <v>66</v>
      </c>
      <c r="F64" s="15">
        <v>41</v>
      </c>
      <c r="G64" s="15">
        <v>33</v>
      </c>
      <c r="H64" s="26">
        <f t="shared" ref="H64" si="24">SUM(E64:G64)</f>
        <v>140</v>
      </c>
      <c r="I64"/>
      <c r="J64" s="31"/>
      <c r="K64" s="31">
        <v>83</v>
      </c>
      <c r="L64" s="14">
        <v>29</v>
      </c>
      <c r="M64" s="32">
        <f>'PLD LLM API'!H21</f>
        <v>0.7857142857142857</v>
      </c>
      <c r="N64" s="42">
        <f>SUM(K64:L64)</f>
        <v>112</v>
      </c>
      <c r="O64"/>
      <c r="P64" s="31"/>
      <c r="Q64" s="31">
        <v>31</v>
      </c>
      <c r="R64" s="14">
        <v>15</v>
      </c>
      <c r="S64" s="42">
        <f>SUM(Q64:R64)</f>
        <v>46</v>
      </c>
      <c r="U64" s="11">
        <v>45657</v>
      </c>
      <c r="V64" s="19">
        <f>H64-N64</f>
        <v>28</v>
      </c>
      <c r="W64" s="19">
        <f>H64-S64</f>
        <v>94</v>
      </c>
      <c r="X64" s="3"/>
      <c r="Y64" s="3"/>
      <c r="Z64" s="3"/>
      <c r="AA64" s="3"/>
      <c r="AB64" s="3"/>
      <c r="AC64" s="3"/>
      <c r="AD64" s="3"/>
      <c r="AI64" s="20">
        <v>45657</v>
      </c>
      <c r="AJ64" s="19">
        <f>H64+H65+H66+H67</f>
        <v>560</v>
      </c>
      <c r="AK64" s="19">
        <f>S64+S65+S66+S67</f>
        <v>396.08</v>
      </c>
      <c r="AL64" s="19"/>
      <c r="AM64" s="22">
        <f>AK64-AJ64</f>
        <v>-163.92000000000002</v>
      </c>
      <c r="AN64" s="18">
        <f>(-AM64/AJ64)</f>
        <v>0.29271428571428576</v>
      </c>
      <c r="AO64" s="3"/>
      <c r="AP64" s="3"/>
      <c r="AQ64" s="3"/>
      <c r="AR64" s="3"/>
      <c r="AS64" s="3"/>
      <c r="AW64" s="20">
        <v>45657</v>
      </c>
      <c r="AX64" s="19">
        <f>AJ64</f>
        <v>560</v>
      </c>
      <c r="AY64" s="19">
        <f>N64+N65+N66+N67</f>
        <v>431</v>
      </c>
      <c r="AZ64" s="19"/>
      <c r="BA64" s="22">
        <f>AY64-AX64</f>
        <v>-129</v>
      </c>
      <c r="BB64" s="18">
        <f>(-BA64/AX64)</f>
        <v>0.23035714285714284</v>
      </c>
      <c r="BJ64" s="3" t="str">
        <f>B64</f>
        <v>PLD</v>
      </c>
      <c r="BK64" s="20">
        <v>45657</v>
      </c>
      <c r="BL64" s="114">
        <f>H64-S64</f>
        <v>94</v>
      </c>
      <c r="BM64" s="114"/>
      <c r="BO64" s="114">
        <f>H64-N64</f>
        <v>28</v>
      </c>
      <c r="BP64" s="114"/>
    </row>
    <row r="65" spans="1:68" ht="14.4" x14ac:dyDescent="0.3">
      <c r="A65" s="39"/>
      <c r="B65" s="6" t="s">
        <v>90</v>
      </c>
      <c r="C65" s="3" t="s">
        <v>4</v>
      </c>
      <c r="D65" s="72"/>
      <c r="E65" s="25">
        <v>66</v>
      </c>
      <c r="F65" s="15">
        <v>41</v>
      </c>
      <c r="G65" s="15">
        <v>33</v>
      </c>
      <c r="H65" s="41">
        <f>SUM(E65:G65)</f>
        <v>140</v>
      </c>
      <c r="I65"/>
      <c r="J65" s="25"/>
      <c r="K65" s="31">
        <v>73</v>
      </c>
      <c r="L65" s="14">
        <v>35</v>
      </c>
      <c r="M65" s="32">
        <f>'PLD LLM API'!H40</f>
        <v>0.7857142857142857</v>
      </c>
      <c r="N65" s="42">
        <f>SUM(K65:L65)</f>
        <v>108</v>
      </c>
      <c r="O65"/>
      <c r="P65" s="25"/>
      <c r="Q65" s="25">
        <f>769/250*60+8</f>
        <v>192.56</v>
      </c>
      <c r="R65" s="14">
        <v>13</v>
      </c>
      <c r="S65" s="42">
        <f>SUM(Q65:R65)</f>
        <v>205.56</v>
      </c>
      <c r="U65" s="11">
        <v>45565</v>
      </c>
      <c r="V65" s="19">
        <f>H65-N65</f>
        <v>32</v>
      </c>
      <c r="W65" s="19">
        <f>H65-S65</f>
        <v>-65.56</v>
      </c>
      <c r="X65" s="3"/>
      <c r="Y65" s="3"/>
      <c r="Z65" s="3"/>
      <c r="AA65" s="3"/>
      <c r="AB65" s="3"/>
      <c r="AC65" s="3"/>
      <c r="AD65" s="3"/>
      <c r="AI65" s="20">
        <v>45565</v>
      </c>
      <c r="AJ65" s="19">
        <f>H65+H66+H67</f>
        <v>420</v>
      </c>
      <c r="AK65" s="19">
        <f>S65+S66+S67</f>
        <v>350.08</v>
      </c>
      <c r="AL65" s="19"/>
      <c r="AM65" s="22">
        <f>AK65-AJ65</f>
        <v>-69.920000000000016</v>
      </c>
      <c r="AN65" s="18">
        <f>(-AM65/AJ65)</f>
        <v>0.16647619047619053</v>
      </c>
      <c r="AO65" s="3"/>
      <c r="AP65" s="3"/>
      <c r="AQ65" s="3"/>
      <c r="AR65" s="3"/>
      <c r="AS65" s="3"/>
      <c r="AW65" s="20">
        <v>45565</v>
      </c>
      <c r="AX65" s="19">
        <f t="shared" ref="AX65:AX67" si="25">AJ65</f>
        <v>420</v>
      </c>
      <c r="AY65" s="19">
        <f>N65+N66+N67</f>
        <v>319</v>
      </c>
      <c r="AZ65" s="19"/>
      <c r="BA65" s="22">
        <f t="shared" ref="BA65:BA67" si="26">AY65-AX65</f>
        <v>-101</v>
      </c>
      <c r="BB65" s="18">
        <f>(-BA65/AX65)</f>
        <v>0.24047619047619048</v>
      </c>
      <c r="BJ65" s="3" t="str">
        <f t="shared" ref="BJ65:BJ67" si="27">B65</f>
        <v>PLD</v>
      </c>
      <c r="BK65" s="20">
        <v>45565</v>
      </c>
      <c r="BL65" s="114">
        <f>H65-(R65+AVERAGE(Q64,Q66:Q67))</f>
        <v>106.66666666666667</v>
      </c>
      <c r="BM65" s="114"/>
      <c r="BO65" s="114">
        <f>H65-(L65+AVERAGE(K64,K66:K67))</f>
        <v>52.333333333333343</v>
      </c>
      <c r="BP65" s="114"/>
    </row>
    <row r="66" spans="1:68" ht="14.4" x14ac:dyDescent="0.3">
      <c r="A66" s="39" t="s">
        <v>11</v>
      </c>
      <c r="B66" s="6" t="s">
        <v>90</v>
      </c>
      <c r="C66" s="3" t="s">
        <v>6</v>
      </c>
      <c r="D66" s="23"/>
      <c r="E66" s="25">
        <v>66</v>
      </c>
      <c r="F66" s="15">
        <v>41</v>
      </c>
      <c r="G66" s="15">
        <v>33</v>
      </c>
      <c r="H66" s="26">
        <f t="shared" ref="H66:H67" si="28">SUM(E66:G66)</f>
        <v>140</v>
      </c>
      <c r="I66"/>
      <c r="J66" s="25">
        <f>5132/250*60</f>
        <v>1231.6799999999998</v>
      </c>
      <c r="K66" s="31">
        <v>0</v>
      </c>
      <c r="L66" s="14">
        <v>30</v>
      </c>
      <c r="M66" s="32">
        <f>'PLD LLM API'!H61</f>
        <v>0.8571428571428571</v>
      </c>
      <c r="N66" s="42">
        <f>L66+AVERAGE(K64:K65,K67)</f>
        <v>107</v>
      </c>
      <c r="O66"/>
      <c r="P66" s="25">
        <f>2732/250*60</f>
        <v>655.68000000000006</v>
      </c>
      <c r="Q66" s="31">
        <v>0</v>
      </c>
      <c r="R66" s="14">
        <v>14</v>
      </c>
      <c r="S66" s="42">
        <f>R66+AVERAGE(Q64:Q65,Q67)</f>
        <v>98.52</v>
      </c>
      <c r="U66" s="11">
        <v>45473</v>
      </c>
      <c r="V66" s="19">
        <f t="shared" ref="V66:V67" si="29">H66-N66</f>
        <v>33</v>
      </c>
      <c r="W66" s="19">
        <f t="shared" ref="W66:W67" si="30">H66-S66</f>
        <v>41.480000000000004</v>
      </c>
      <c r="X66" s="3"/>
      <c r="Y66" s="3"/>
      <c r="Z66" s="3"/>
      <c r="AA66" s="3"/>
      <c r="AB66" s="3"/>
      <c r="AC66" s="3"/>
      <c r="AD66" s="3"/>
      <c r="AI66" s="20">
        <v>45473</v>
      </c>
      <c r="AJ66" s="19">
        <f>H66+H67</f>
        <v>280</v>
      </c>
      <c r="AK66" s="19">
        <f>S66+S67</f>
        <v>144.51999999999998</v>
      </c>
      <c r="AL66" s="19"/>
      <c r="AM66" s="22">
        <f>AK66-AJ66</f>
        <v>-135.48000000000002</v>
      </c>
      <c r="AN66" s="18">
        <f>(-AM66/AJ66)</f>
        <v>0.48385714285714293</v>
      </c>
      <c r="AO66" s="3"/>
      <c r="AP66" s="3"/>
      <c r="AQ66" s="3"/>
      <c r="AR66" s="3"/>
      <c r="AS66" s="3"/>
      <c r="AW66" s="20">
        <v>45473</v>
      </c>
      <c r="AX66" s="19">
        <f t="shared" si="25"/>
        <v>280</v>
      </c>
      <c r="AY66" s="3">
        <f>N66+N67</f>
        <v>211</v>
      </c>
      <c r="AZ66" s="3"/>
      <c r="BA66" s="22">
        <f t="shared" si="26"/>
        <v>-69</v>
      </c>
      <c r="BB66" s="18">
        <f>(-BA66/AX66)</f>
        <v>0.24642857142857144</v>
      </c>
      <c r="BJ66" s="3" t="str">
        <f t="shared" si="27"/>
        <v>PLD</v>
      </c>
      <c r="BK66" s="20">
        <v>45473</v>
      </c>
      <c r="BL66" s="114">
        <f>H66-S66</f>
        <v>41.480000000000004</v>
      </c>
      <c r="BM66" s="114"/>
      <c r="BO66" s="114">
        <f>H66-N66</f>
        <v>33</v>
      </c>
      <c r="BP66" s="114"/>
    </row>
    <row r="67" spans="1:68" ht="14.4" x14ac:dyDescent="0.3">
      <c r="B67" s="6" t="s">
        <v>90</v>
      </c>
      <c r="C67" s="3" t="s">
        <v>7</v>
      </c>
      <c r="D67" s="23"/>
      <c r="E67" s="27">
        <v>66</v>
      </c>
      <c r="F67" s="38">
        <v>41</v>
      </c>
      <c r="G67" s="38">
        <v>33</v>
      </c>
      <c r="H67" s="28">
        <f t="shared" si="28"/>
        <v>140</v>
      </c>
      <c r="I67"/>
      <c r="J67" s="33"/>
      <c r="K67" s="33">
        <v>75</v>
      </c>
      <c r="L67" s="35">
        <v>29</v>
      </c>
      <c r="M67" s="34">
        <f>'PLD LLM API'!H81</f>
        <v>0.7857142857142857</v>
      </c>
      <c r="N67" s="47">
        <f>SUM(K67:L67)</f>
        <v>104</v>
      </c>
      <c r="O67"/>
      <c r="P67" s="33"/>
      <c r="Q67" s="33">
        <v>30</v>
      </c>
      <c r="R67" s="35">
        <v>16</v>
      </c>
      <c r="S67" s="37">
        <f>SUM(Q67:R67)</f>
        <v>46</v>
      </c>
      <c r="U67" s="11">
        <v>45382</v>
      </c>
      <c r="V67" s="19">
        <f t="shared" si="29"/>
        <v>36</v>
      </c>
      <c r="W67" s="19">
        <f t="shared" si="30"/>
        <v>94</v>
      </c>
      <c r="X67" s="3"/>
      <c r="Y67" s="3"/>
      <c r="Z67" s="3"/>
      <c r="AA67" s="3"/>
      <c r="AB67" s="3"/>
      <c r="AC67" s="3"/>
      <c r="AD67" s="3"/>
      <c r="AI67" s="20">
        <v>45382</v>
      </c>
      <c r="AJ67" s="19">
        <f>H67</f>
        <v>140</v>
      </c>
      <c r="AK67" s="19">
        <f>S67</f>
        <v>46</v>
      </c>
      <c r="AL67" s="19"/>
      <c r="AM67" s="22">
        <f>AK67-AJ67</f>
        <v>-94</v>
      </c>
      <c r="AN67" s="18">
        <f>(-AM67/AJ67)</f>
        <v>0.67142857142857137</v>
      </c>
      <c r="AO67" s="3"/>
      <c r="AP67" s="3"/>
      <c r="AQ67" s="3"/>
      <c r="AR67" s="3"/>
      <c r="AS67" s="3"/>
      <c r="AW67" s="20">
        <v>45382</v>
      </c>
      <c r="AX67" s="19">
        <f t="shared" si="25"/>
        <v>140</v>
      </c>
      <c r="AY67" s="3">
        <f>N67</f>
        <v>104</v>
      </c>
      <c r="AZ67" s="3"/>
      <c r="BA67" s="22">
        <f t="shared" si="26"/>
        <v>-36</v>
      </c>
      <c r="BB67" s="18">
        <f>(-BA67/AX67)</f>
        <v>0.25714285714285712</v>
      </c>
      <c r="BJ67" s="3" t="str">
        <f t="shared" si="27"/>
        <v>PLD</v>
      </c>
      <c r="BK67" s="20">
        <v>45382</v>
      </c>
      <c r="BL67" s="114">
        <f>H67-S67</f>
        <v>94</v>
      </c>
      <c r="BM67" s="114"/>
      <c r="BO67" s="114">
        <f>H67-N67</f>
        <v>36</v>
      </c>
      <c r="BP67" s="114"/>
    </row>
    <row r="68" spans="1:68" ht="14.4" x14ac:dyDescent="0.3">
      <c r="D68" s="3"/>
      <c r="G68" s="10" t="s">
        <v>104</v>
      </c>
      <c r="H68" s="3">
        <f>SUM(H64:H67)</f>
        <v>560</v>
      </c>
      <c r="I68"/>
      <c r="L68" s="10" t="s">
        <v>104</v>
      </c>
      <c r="N68" s="19">
        <f>SUM(N64:N67)</f>
        <v>431</v>
      </c>
      <c r="O68" s="23"/>
      <c r="R68" s="10" t="s">
        <v>104</v>
      </c>
      <c r="S68" s="19">
        <f>SUM(S64:S67)</f>
        <v>396.08</v>
      </c>
      <c r="U68" s="11" t="s">
        <v>8</v>
      </c>
      <c r="V68" s="19">
        <f>SUM(V64:V67)</f>
        <v>129</v>
      </c>
      <c r="W68" s="19">
        <f>SUM(W64:W67)</f>
        <v>163.92000000000002</v>
      </c>
      <c r="BK68" s="10" t="s">
        <v>13</v>
      </c>
      <c r="BL68" s="115">
        <f>P65/AVERAGE(BL64:BM67)</f>
        <v>0</v>
      </c>
      <c r="BM68" s="115"/>
      <c r="BO68" s="115">
        <f>J65/AVERAGE(BO64:BP67)</f>
        <v>0</v>
      </c>
      <c r="BP68" s="115"/>
    </row>
    <row r="69" spans="1:68" x14ac:dyDescent="0.25">
      <c r="L69" s="10" t="s">
        <v>21</v>
      </c>
      <c r="N69" s="111">
        <f>(($H68-N68)/$H68)*1</f>
        <v>0.23035714285714284</v>
      </c>
      <c r="R69" s="10" t="s">
        <v>21</v>
      </c>
      <c r="S69" s="111">
        <f>(($H68-S68)/$H68)*1</f>
        <v>0.29271428571428576</v>
      </c>
    </row>
    <row r="70" spans="1:68" x14ac:dyDescent="0.25">
      <c r="L70" s="10" t="s">
        <v>107</v>
      </c>
      <c r="M70" s="110">
        <f>AVERAGE(M64:M67)</f>
        <v>0.80357142857142849</v>
      </c>
    </row>
    <row r="71" spans="1:68" x14ac:dyDescent="0.25">
      <c r="K71" s="3">
        <f>SUM(K64:K67)</f>
        <v>231</v>
      </c>
      <c r="L71" s="3">
        <f>SUM(L64:L67)</f>
        <v>123</v>
      </c>
    </row>
    <row r="77" spans="1:68" x14ac:dyDescent="0.25">
      <c r="B77" s="6"/>
      <c r="D77" s="4"/>
      <c r="E77" s="113" t="s">
        <v>100</v>
      </c>
      <c r="F77" s="113"/>
      <c r="G77" s="113"/>
      <c r="H77" s="113"/>
      <c r="I77" s="4"/>
      <c r="J77" s="113" t="s">
        <v>25</v>
      </c>
      <c r="K77" s="113"/>
      <c r="L77" s="113"/>
      <c r="M77" s="113"/>
      <c r="N77" s="113"/>
      <c r="O77" s="4"/>
      <c r="P77" s="113" t="s">
        <v>101</v>
      </c>
      <c r="Q77" s="113"/>
      <c r="R77" s="113"/>
      <c r="S77" s="113"/>
    </row>
    <row r="78" spans="1:68" x14ac:dyDescent="0.25">
      <c r="B78" s="6"/>
      <c r="E78" s="112" t="s">
        <v>98</v>
      </c>
      <c r="F78" s="112"/>
      <c r="G78" s="112"/>
      <c r="H78" s="112"/>
      <c r="I78" s="6"/>
      <c r="J78" s="112" t="s">
        <v>98</v>
      </c>
      <c r="K78" s="112"/>
      <c r="L78" s="112"/>
      <c r="M78" s="112"/>
      <c r="N78" s="112"/>
      <c r="O78" s="6"/>
      <c r="P78" s="112" t="s">
        <v>98</v>
      </c>
      <c r="Q78" s="112"/>
      <c r="R78" s="112"/>
      <c r="S78" s="112"/>
    </row>
    <row r="79" spans="1:68" ht="14.4" x14ac:dyDescent="0.3">
      <c r="B79" s="6" t="s">
        <v>1</v>
      </c>
      <c r="C79" s="6" t="s">
        <v>3</v>
      </c>
      <c r="D79" s="6"/>
      <c r="E79" s="29" t="s">
        <v>15</v>
      </c>
      <c r="F79" s="30" t="s">
        <v>14</v>
      </c>
      <c r="G79" s="30" t="s">
        <v>99</v>
      </c>
      <c r="H79" s="24" t="s">
        <v>8</v>
      </c>
      <c r="I79"/>
      <c r="J79" s="29" t="s">
        <v>18</v>
      </c>
      <c r="K79" s="29" t="s">
        <v>16</v>
      </c>
      <c r="L79" s="30" t="s">
        <v>17</v>
      </c>
      <c r="M79" s="30" t="s">
        <v>2</v>
      </c>
      <c r="N79" s="24" t="s">
        <v>8</v>
      </c>
      <c r="O79"/>
      <c r="P79" s="29" t="s">
        <v>18</v>
      </c>
      <c r="Q79" s="29" t="s">
        <v>16</v>
      </c>
      <c r="R79" s="30" t="s">
        <v>17</v>
      </c>
      <c r="S79" s="24" t="s">
        <v>8</v>
      </c>
      <c r="U79" s="6" t="s">
        <v>9</v>
      </c>
      <c r="V79" s="6" t="s">
        <v>102</v>
      </c>
      <c r="W79" s="6" t="s">
        <v>103</v>
      </c>
      <c r="AJ79" s="6" t="s">
        <v>55</v>
      </c>
      <c r="AK79" s="6" t="s">
        <v>103</v>
      </c>
      <c r="AL79" s="6"/>
      <c r="AM79" s="6" t="s">
        <v>12</v>
      </c>
      <c r="AN79" s="6" t="s">
        <v>56</v>
      </c>
      <c r="AO79" s="6"/>
      <c r="AX79" s="6" t="s">
        <v>55</v>
      </c>
      <c r="AY79" s="6" t="s">
        <v>102</v>
      </c>
      <c r="AZ79" s="6"/>
      <c r="BA79" s="6" t="s">
        <v>12</v>
      </c>
      <c r="BB79" s="6" t="s">
        <v>56</v>
      </c>
    </row>
    <row r="80" spans="1:68" ht="14.4" x14ac:dyDescent="0.3">
      <c r="B80" s="6" t="s">
        <v>96</v>
      </c>
      <c r="C80" s="3" t="s">
        <v>5</v>
      </c>
      <c r="D80" s="23"/>
      <c r="E80" s="25">
        <v>35</v>
      </c>
      <c r="F80" s="15">
        <v>40</v>
      </c>
      <c r="G80" s="15">
        <v>33</v>
      </c>
      <c r="H80" s="26">
        <f t="shared" ref="H80" si="31">SUM(E80:G80)</f>
        <v>108</v>
      </c>
      <c r="I80"/>
      <c r="J80" s="31"/>
      <c r="K80" s="31">
        <v>61</v>
      </c>
      <c r="L80" s="14">
        <v>33</v>
      </c>
      <c r="M80" s="32">
        <f>'WELL LLM API'!M18</f>
        <v>1</v>
      </c>
      <c r="N80" s="36">
        <f>SUM(K80:L80)</f>
        <v>94</v>
      </c>
      <c r="O80"/>
      <c r="P80" s="31"/>
      <c r="Q80" s="31">
        <v>10</v>
      </c>
      <c r="R80" s="14">
        <v>12</v>
      </c>
      <c r="S80" s="36">
        <f>SUM(Q80:R80)</f>
        <v>22</v>
      </c>
      <c r="U80" s="11">
        <v>45657</v>
      </c>
      <c r="V80" s="19">
        <f>H80-N80</f>
        <v>14</v>
      </c>
      <c r="W80" s="19">
        <f>H80-S80</f>
        <v>86</v>
      </c>
      <c r="X80" s="3"/>
      <c r="Y80" s="3"/>
      <c r="Z80" s="3"/>
      <c r="AA80" s="3"/>
      <c r="AB80" s="3"/>
      <c r="AC80" s="3"/>
      <c r="AD80" s="3"/>
      <c r="AI80" s="20">
        <v>45657</v>
      </c>
      <c r="AJ80" s="19">
        <f>H80+H81+H82+H83</f>
        <v>432</v>
      </c>
      <c r="AK80" s="19">
        <f>S80+S81+S82+S83</f>
        <v>174.72</v>
      </c>
      <c r="AL80" s="19"/>
      <c r="AM80" s="22">
        <f>AK80-AJ80</f>
        <v>-257.27999999999997</v>
      </c>
      <c r="AN80" s="18">
        <f>(-AM80/AJ80)</f>
        <v>0.5955555555555555</v>
      </c>
      <c r="AO80" s="3"/>
      <c r="AP80" s="3"/>
      <c r="AQ80" s="3"/>
      <c r="AR80" s="3"/>
      <c r="AS80" s="3"/>
      <c r="AW80" s="20">
        <v>45657</v>
      </c>
      <c r="AX80" s="19">
        <f>AJ80</f>
        <v>432</v>
      </c>
      <c r="AY80" s="19">
        <f>N80+N81+N82+N83</f>
        <v>282.33333333333337</v>
      </c>
      <c r="AZ80" s="19"/>
      <c r="BA80" s="22">
        <f>AY80-AX80</f>
        <v>-149.66666666666663</v>
      </c>
      <c r="BB80" s="18">
        <f>(-BA80/AX80)</f>
        <v>0.34645061728395055</v>
      </c>
      <c r="BJ80" s="3" t="str">
        <f>B80</f>
        <v>WELL</v>
      </c>
      <c r="BK80" s="20">
        <v>45657</v>
      </c>
      <c r="BL80" s="114">
        <f>H80-S80</f>
        <v>86</v>
      </c>
      <c r="BM80" s="114"/>
      <c r="BO80" s="114">
        <f>H80-N80</f>
        <v>14</v>
      </c>
      <c r="BP80" s="114"/>
    </row>
    <row r="81" spans="1:68" ht="14.4" x14ac:dyDescent="0.3">
      <c r="A81" s="39" t="s">
        <v>11</v>
      </c>
      <c r="B81" s="6" t="s">
        <v>96</v>
      </c>
      <c r="C81" s="3" t="s">
        <v>4</v>
      </c>
      <c r="D81" s="72"/>
      <c r="E81" s="25">
        <v>35</v>
      </c>
      <c r="F81" s="15">
        <v>40</v>
      </c>
      <c r="G81" s="15">
        <v>33</v>
      </c>
      <c r="H81" s="41">
        <f>SUM(E81:G81)</f>
        <v>108</v>
      </c>
      <c r="I81"/>
      <c r="J81" s="25">
        <f>4897/250*60</f>
        <v>1175.28</v>
      </c>
      <c r="K81" s="31">
        <v>0</v>
      </c>
      <c r="L81" s="14">
        <v>28</v>
      </c>
      <c r="M81" s="32">
        <f>'WELL LLM API'!M34</f>
        <v>1</v>
      </c>
      <c r="N81" s="42">
        <f>L81+AVERAGE(K80,K82:K83)</f>
        <v>68.333333333333343</v>
      </c>
      <c r="O81"/>
      <c r="P81" s="25">
        <f>2757/250*60</f>
        <v>661.68000000000006</v>
      </c>
      <c r="Q81" s="31">
        <v>0</v>
      </c>
      <c r="R81" s="14">
        <v>10</v>
      </c>
      <c r="S81" s="42">
        <f>R81+AVERAGE(Q80,Q82:Q83)</f>
        <v>44.68</v>
      </c>
      <c r="U81" s="11">
        <v>45565</v>
      </c>
      <c r="V81" s="19">
        <f>H81-N81</f>
        <v>39.666666666666657</v>
      </c>
      <c r="W81" s="19">
        <f>H81-S81</f>
        <v>63.32</v>
      </c>
      <c r="X81" s="3"/>
      <c r="Y81" s="3"/>
      <c r="Z81" s="3"/>
      <c r="AA81" s="3"/>
      <c r="AB81" s="3"/>
      <c r="AC81" s="3"/>
      <c r="AD81" s="3"/>
      <c r="AI81" s="20">
        <v>45565</v>
      </c>
      <c r="AJ81" s="19">
        <f>H81+H82+H83</f>
        <v>324</v>
      </c>
      <c r="AK81" s="19">
        <f>S81+S82+S83</f>
        <v>152.72</v>
      </c>
      <c r="AL81" s="19"/>
      <c r="AM81" s="22">
        <f>AK81-AJ81</f>
        <v>-171.28</v>
      </c>
      <c r="AN81" s="18">
        <f>(-AM81/AJ81)</f>
        <v>0.52864197530864199</v>
      </c>
      <c r="AO81" s="3"/>
      <c r="AP81" s="3"/>
      <c r="AQ81" s="3"/>
      <c r="AR81" s="3"/>
      <c r="AS81" s="3"/>
      <c r="AW81" s="20">
        <v>45565</v>
      </c>
      <c r="AX81" s="19">
        <f t="shared" ref="AX81:AX83" si="32">AJ81</f>
        <v>324</v>
      </c>
      <c r="AY81" s="19">
        <f>N81+N82+N83</f>
        <v>188.33333333333334</v>
      </c>
      <c r="AZ81" s="19"/>
      <c r="BA81" s="22">
        <f t="shared" ref="BA81:BA83" si="33">AY81-AX81</f>
        <v>-135.66666666666666</v>
      </c>
      <c r="BB81" s="18">
        <f>(-BA81/AX81)</f>
        <v>0.4187242798353909</v>
      </c>
      <c r="BJ81" s="3" t="str">
        <f t="shared" ref="BJ81:BJ83" si="34">B81</f>
        <v>WELL</v>
      </c>
      <c r="BK81" s="20">
        <v>45565</v>
      </c>
      <c r="BL81" s="114">
        <f>H81-(R81+AVERAGE(Q80,Q82:Q83))</f>
        <v>63.32</v>
      </c>
      <c r="BM81" s="114"/>
      <c r="BO81" s="114">
        <f>H81-(L81+AVERAGE(K80,K82:K83))</f>
        <v>39.666666666666657</v>
      </c>
      <c r="BP81" s="114"/>
    </row>
    <row r="82" spans="1:68" ht="14.4" x14ac:dyDescent="0.3">
      <c r="B82" s="6" t="s">
        <v>96</v>
      </c>
      <c r="C82" s="3" t="s">
        <v>6</v>
      </c>
      <c r="D82" s="23"/>
      <c r="E82" s="25">
        <v>35</v>
      </c>
      <c r="F82" s="15">
        <v>40</v>
      </c>
      <c r="G82" s="15">
        <v>33</v>
      </c>
      <c r="H82" s="26">
        <f t="shared" ref="H82:H83" si="35">SUM(E82:G82)</f>
        <v>108</v>
      </c>
      <c r="I82"/>
      <c r="J82" s="31"/>
      <c r="K82" s="31">
        <v>30</v>
      </c>
      <c r="L82" s="14">
        <v>35</v>
      </c>
      <c r="M82" s="32">
        <f>'WELL LLM API'!M50</f>
        <v>1</v>
      </c>
      <c r="N82" s="36">
        <f>SUM(K82:L82)</f>
        <v>65</v>
      </c>
      <c r="O82"/>
      <c r="P82" s="31"/>
      <c r="Q82" s="25">
        <f>296/250*60+9</f>
        <v>80.039999999999992</v>
      </c>
      <c r="R82" s="14">
        <v>7</v>
      </c>
      <c r="S82" s="42">
        <f t="shared" ref="S82:S83" si="36">SUM(Q82:R82)</f>
        <v>87.039999999999992</v>
      </c>
      <c r="U82" s="11">
        <v>45473</v>
      </c>
      <c r="V82" s="19">
        <f t="shared" ref="V82:V83" si="37">H82-N82</f>
        <v>43</v>
      </c>
      <c r="W82" s="19">
        <f t="shared" ref="W82:W83" si="38">H82-S82</f>
        <v>20.960000000000008</v>
      </c>
      <c r="X82" s="3"/>
      <c r="Y82" s="3"/>
      <c r="Z82" s="3"/>
      <c r="AA82" s="3"/>
      <c r="AB82" s="3"/>
      <c r="AC82" s="3"/>
      <c r="AD82" s="3"/>
      <c r="AI82" s="20">
        <v>45473</v>
      </c>
      <c r="AJ82" s="19">
        <f>H82+H83</f>
        <v>216</v>
      </c>
      <c r="AK82" s="19">
        <f>S82+S83</f>
        <v>108.03999999999999</v>
      </c>
      <c r="AL82" s="19"/>
      <c r="AM82" s="22">
        <f>AK82-AJ82</f>
        <v>-107.96000000000001</v>
      </c>
      <c r="AN82" s="18">
        <f>(-AM82/AJ82)</f>
        <v>0.49981481481481488</v>
      </c>
      <c r="AO82" s="3"/>
      <c r="AP82" s="3"/>
      <c r="AQ82" s="3"/>
      <c r="AR82" s="3"/>
      <c r="AS82" s="3"/>
      <c r="AW82" s="20">
        <v>45473</v>
      </c>
      <c r="AX82" s="19">
        <f t="shared" si="32"/>
        <v>216</v>
      </c>
      <c r="AY82" s="3">
        <f>N82+N83</f>
        <v>120</v>
      </c>
      <c r="AZ82" s="3"/>
      <c r="BA82" s="22">
        <f t="shared" si="33"/>
        <v>-96</v>
      </c>
      <c r="BB82" s="18">
        <f>(-BA82/AX82)</f>
        <v>0.44444444444444442</v>
      </c>
      <c r="BJ82" s="3" t="str">
        <f t="shared" si="34"/>
        <v>WELL</v>
      </c>
      <c r="BK82" s="20">
        <v>45473</v>
      </c>
      <c r="BL82" s="114">
        <f>H82-S82</f>
        <v>20.960000000000008</v>
      </c>
      <c r="BM82" s="114"/>
      <c r="BO82" s="114">
        <f>H82-N82</f>
        <v>43</v>
      </c>
      <c r="BP82" s="114"/>
    </row>
    <row r="83" spans="1:68" ht="14.4" x14ac:dyDescent="0.3">
      <c r="B83" s="6" t="s">
        <v>96</v>
      </c>
      <c r="C83" s="3" t="s">
        <v>7</v>
      </c>
      <c r="D83" s="23"/>
      <c r="E83" s="27">
        <v>35</v>
      </c>
      <c r="F83" s="38">
        <v>40</v>
      </c>
      <c r="G83" s="38">
        <v>33</v>
      </c>
      <c r="H83" s="28">
        <f t="shared" si="35"/>
        <v>108</v>
      </c>
      <c r="I83"/>
      <c r="J83" s="33"/>
      <c r="K83" s="33">
        <v>30</v>
      </c>
      <c r="L83" s="35">
        <v>25</v>
      </c>
      <c r="M83" s="34">
        <f>'WELL LLM API'!M66</f>
        <v>1</v>
      </c>
      <c r="N83" s="37">
        <f>SUM(K83:L83)</f>
        <v>55</v>
      </c>
      <c r="O83"/>
      <c r="P83" s="33"/>
      <c r="Q83" s="33">
        <v>14</v>
      </c>
      <c r="R83" s="35">
        <v>7</v>
      </c>
      <c r="S83" s="37">
        <f t="shared" si="36"/>
        <v>21</v>
      </c>
      <c r="U83" s="11">
        <v>45382</v>
      </c>
      <c r="V83" s="19">
        <f t="shared" si="37"/>
        <v>53</v>
      </c>
      <c r="W83" s="19">
        <f t="shared" si="38"/>
        <v>87</v>
      </c>
      <c r="X83" s="3"/>
      <c r="Y83" s="3"/>
      <c r="Z83" s="3"/>
      <c r="AA83" s="3"/>
      <c r="AB83" s="3"/>
      <c r="AC83" s="3"/>
      <c r="AD83" s="3"/>
      <c r="AI83" s="20">
        <v>45382</v>
      </c>
      <c r="AJ83" s="19">
        <f>H83</f>
        <v>108</v>
      </c>
      <c r="AK83" s="19">
        <f>S83</f>
        <v>21</v>
      </c>
      <c r="AL83" s="19"/>
      <c r="AM83" s="22">
        <f>AK83-AJ83</f>
        <v>-87</v>
      </c>
      <c r="AN83" s="18">
        <f>(-AM83/AJ83)</f>
        <v>0.80555555555555558</v>
      </c>
      <c r="AO83" s="3"/>
      <c r="AP83" s="3"/>
      <c r="AQ83" s="3"/>
      <c r="AR83" s="3"/>
      <c r="AS83" s="3"/>
      <c r="AW83" s="20">
        <v>45382</v>
      </c>
      <c r="AX83" s="19">
        <f t="shared" si="32"/>
        <v>108</v>
      </c>
      <c r="AY83" s="3">
        <f>N83</f>
        <v>55</v>
      </c>
      <c r="AZ83" s="3"/>
      <c r="BA83" s="22">
        <f t="shared" si="33"/>
        <v>-53</v>
      </c>
      <c r="BB83" s="18">
        <f>(-BA83/AX83)</f>
        <v>0.49074074074074076</v>
      </c>
      <c r="BJ83" s="3" t="str">
        <f t="shared" si="34"/>
        <v>WELL</v>
      </c>
      <c r="BK83" s="20">
        <v>45382</v>
      </c>
      <c r="BL83" s="114">
        <f>H83-S83</f>
        <v>87</v>
      </c>
      <c r="BM83" s="114"/>
      <c r="BO83" s="114">
        <f>H83-N83</f>
        <v>53</v>
      </c>
      <c r="BP83" s="114"/>
    </row>
    <row r="84" spans="1:68" ht="14.4" x14ac:dyDescent="0.3">
      <c r="D84" s="3"/>
      <c r="G84" s="10" t="s">
        <v>104</v>
      </c>
      <c r="H84" s="3">
        <f>SUM(H80:H83)</f>
        <v>432</v>
      </c>
      <c r="I84"/>
      <c r="L84" s="10" t="s">
        <v>104</v>
      </c>
      <c r="N84" s="19">
        <f>SUM(N80:N83)</f>
        <v>282.33333333333337</v>
      </c>
      <c r="O84" s="23"/>
      <c r="R84" s="10" t="s">
        <v>104</v>
      </c>
      <c r="S84" s="19">
        <f>SUM(S80:S83)</f>
        <v>174.72</v>
      </c>
      <c r="U84" s="11" t="s">
        <v>8</v>
      </c>
      <c r="V84" s="19">
        <f>SUM(V80:V83)</f>
        <v>149.66666666666666</v>
      </c>
      <c r="W84" s="19">
        <f>SUM(W80:W83)</f>
        <v>257.27999999999997</v>
      </c>
      <c r="BK84" s="10" t="s">
        <v>13</v>
      </c>
      <c r="BL84" s="115">
        <f>P81/AVERAGE(BL80:BM83)</f>
        <v>10.287313432835823</v>
      </c>
      <c r="BM84" s="115"/>
      <c r="BO84" s="115">
        <f>J81/AVERAGE(BO80:BP83)</f>
        <v>31.410601336302896</v>
      </c>
      <c r="BP84" s="115"/>
    </row>
    <row r="85" spans="1:68" x14ac:dyDescent="0.25">
      <c r="L85" s="10" t="s">
        <v>21</v>
      </c>
      <c r="N85" s="111">
        <f>(($H84-N84)/$H84)*1</f>
        <v>0.34645061728395055</v>
      </c>
      <c r="R85" s="10" t="s">
        <v>21</v>
      </c>
      <c r="S85" s="111">
        <f>(($H84-S84)/$H84)*1</f>
        <v>0.5955555555555555</v>
      </c>
    </row>
    <row r="86" spans="1:68" x14ac:dyDescent="0.25">
      <c r="L86" s="10" t="s">
        <v>107</v>
      </c>
      <c r="M86" s="110">
        <f>AVERAGE(M80:M83)</f>
        <v>1</v>
      </c>
    </row>
    <row r="87" spans="1:68" x14ac:dyDescent="0.25">
      <c r="K87" s="3">
        <f>SUM(K80:K83)</f>
        <v>121</v>
      </c>
      <c r="L87" s="3">
        <f>SUM(L80:L83)</f>
        <v>121</v>
      </c>
    </row>
    <row r="89" spans="1:68" x14ac:dyDescent="0.25">
      <c r="I89" s="10" t="s">
        <v>109</v>
      </c>
      <c r="K89" s="19">
        <f>AVERAGE(K82:K83,K80,K67,K64:K65,K49:K50,K47,K34:K35,K32,K21:K22,K19)</f>
        <v>61.2</v>
      </c>
      <c r="O89" s="10"/>
      <c r="Q89" s="19">
        <f>AVERAGE(Q82:Q83,Q80,Q67,Q64:Q65,Q49:Q50,Q47,Q34:Q35,Q32,Q21:Q22,Q19)</f>
        <v>35.706666666666671</v>
      </c>
    </row>
    <row r="90" spans="1:68" x14ac:dyDescent="0.25">
      <c r="I90" s="10" t="s">
        <v>110</v>
      </c>
      <c r="L90" s="19">
        <f>AVERAGE(L80:L83,L64:L67,L47:L50,L32:L35,L19:L22)</f>
        <v>30.7</v>
      </c>
      <c r="O90" s="10"/>
      <c r="R90" s="19">
        <f>AVERAGE(R80:R83,R64:R67,R47:R50,R32:R35,R19:R22)</f>
        <v>11.85</v>
      </c>
    </row>
    <row r="94" spans="1:68" x14ac:dyDescent="0.25">
      <c r="S94" s="73"/>
    </row>
  </sheetData>
  <mergeCells count="92">
    <mergeCell ref="B15:C15"/>
    <mergeCell ref="V16:W16"/>
    <mergeCell ref="AJ15:AK15"/>
    <mergeCell ref="AX15:BB15"/>
    <mergeCell ref="E16:H16"/>
    <mergeCell ref="J16:N16"/>
    <mergeCell ref="P16:S16"/>
    <mergeCell ref="AX16:BB16"/>
    <mergeCell ref="BL16:BM16"/>
    <mergeCell ref="E2:I2"/>
    <mergeCell ref="E29:H29"/>
    <mergeCell ref="J29:N29"/>
    <mergeCell ref="P29:S29"/>
    <mergeCell ref="AJ16:AK16"/>
    <mergeCell ref="BL19:BM19"/>
    <mergeCell ref="BL20:BM20"/>
    <mergeCell ref="BL21:BM21"/>
    <mergeCell ref="BL22:BM22"/>
    <mergeCell ref="BL23:BM23"/>
    <mergeCell ref="E17:H17"/>
    <mergeCell ref="J17:N17"/>
    <mergeCell ref="P17:S17"/>
    <mergeCell ref="AJ17:AK17"/>
    <mergeCell ref="BL17:BM17"/>
    <mergeCell ref="BL49:BM49"/>
    <mergeCell ref="BL50:BM50"/>
    <mergeCell ref="BL51:BM51"/>
    <mergeCell ref="BL64:BM64"/>
    <mergeCell ref="BL65:BM65"/>
    <mergeCell ref="BL48:BM48"/>
    <mergeCell ref="BL47:BM47"/>
    <mergeCell ref="BL32:BM32"/>
    <mergeCell ref="BL33:BM33"/>
    <mergeCell ref="BL34:BM34"/>
    <mergeCell ref="BL35:BM35"/>
    <mergeCell ref="BL36:BM36"/>
    <mergeCell ref="P61:S61"/>
    <mergeCell ref="E62:H62"/>
    <mergeCell ref="J62:N62"/>
    <mergeCell ref="P62:S62"/>
    <mergeCell ref="BL80:BM80"/>
    <mergeCell ref="E78:H78"/>
    <mergeCell ref="J78:N78"/>
    <mergeCell ref="P78:S78"/>
    <mergeCell ref="E77:H77"/>
    <mergeCell ref="J77:N77"/>
    <mergeCell ref="P77:S77"/>
    <mergeCell ref="E61:H61"/>
    <mergeCell ref="BL66:BM66"/>
    <mergeCell ref="BL67:BM67"/>
    <mergeCell ref="BL68:BM68"/>
    <mergeCell ref="J61:N61"/>
    <mergeCell ref="BL81:BM81"/>
    <mergeCell ref="BL82:BM82"/>
    <mergeCell ref="BL83:BM83"/>
    <mergeCell ref="BL84:BM84"/>
    <mergeCell ref="BO22:BP22"/>
    <mergeCell ref="BO23:BP23"/>
    <mergeCell ref="BO32:BP32"/>
    <mergeCell ref="BO33:BP33"/>
    <mergeCell ref="BO34:BP34"/>
    <mergeCell ref="BO50:BP50"/>
    <mergeCell ref="BO51:BP51"/>
    <mergeCell ref="BO64:BP64"/>
    <mergeCell ref="BO65:BP65"/>
    <mergeCell ref="BO66:BP66"/>
    <mergeCell ref="BO35:BP35"/>
    <mergeCell ref="BO36:BP36"/>
    <mergeCell ref="BO16:BP16"/>
    <mergeCell ref="BO17:BP17"/>
    <mergeCell ref="BO19:BP19"/>
    <mergeCell ref="BO20:BP20"/>
    <mergeCell ref="BO21:BP21"/>
    <mergeCell ref="BO47:BP47"/>
    <mergeCell ref="BO48:BP48"/>
    <mergeCell ref="BO49:BP49"/>
    <mergeCell ref="BO83:BP83"/>
    <mergeCell ref="BO84:BP84"/>
    <mergeCell ref="BO67:BP67"/>
    <mergeCell ref="BO68:BP68"/>
    <mergeCell ref="BO80:BP80"/>
    <mergeCell ref="BO81:BP81"/>
    <mergeCell ref="BO82:BP82"/>
    <mergeCell ref="E30:H30"/>
    <mergeCell ref="J30:N30"/>
    <mergeCell ref="P30:S30"/>
    <mergeCell ref="E45:H45"/>
    <mergeCell ref="J45:N45"/>
    <mergeCell ref="P45:S45"/>
    <mergeCell ref="P44:S44"/>
    <mergeCell ref="E44:H44"/>
    <mergeCell ref="J44:N44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7ED2-8752-4F4D-8E9F-5B5146DAE35A}">
  <sheetPr>
    <tabColor rgb="FF00B0F0"/>
  </sheetPr>
  <dimension ref="A1"/>
  <sheetViews>
    <sheetView workbookViewId="0">
      <selection activeCell="I32" sqref="I3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D17D-614E-4309-A742-631D42A67F93}">
  <dimension ref="A1:V263"/>
  <sheetViews>
    <sheetView showGridLines="0" workbookViewId="0">
      <selection activeCell="N16" sqref="N16"/>
    </sheetView>
  </sheetViews>
  <sheetFormatPr defaultRowHeight="13.8" x14ac:dyDescent="0.25"/>
  <cols>
    <col min="1" max="1" width="4.77734375" style="2" bestFit="1" customWidth="1"/>
    <col min="2" max="2" width="8" style="2" bestFit="1" customWidth="1"/>
    <col min="3" max="3" width="13.44140625" style="2" bestFit="1" customWidth="1"/>
    <col min="4" max="4" width="11.33203125" style="2" customWidth="1"/>
    <col min="5" max="5" width="11.21875" style="2" bestFit="1" customWidth="1"/>
    <col min="6" max="6" width="9.6640625" style="2" customWidth="1"/>
    <col min="7" max="7" width="8" style="2" bestFit="1" customWidth="1"/>
    <col min="8" max="15" width="8.88671875" style="2"/>
    <col min="16" max="16" width="5.5546875" style="2" bestFit="1" customWidth="1"/>
    <col min="17" max="17" width="6.77734375" style="2" bestFit="1" customWidth="1"/>
    <col min="18" max="18" width="13.44140625" style="2" bestFit="1" customWidth="1"/>
    <col min="19" max="19" width="6.88671875" style="2" bestFit="1" customWidth="1"/>
    <col min="20" max="20" width="4" style="2" bestFit="1" customWidth="1"/>
    <col min="21" max="21" width="8" style="2" bestFit="1" customWidth="1"/>
    <col min="22" max="22" width="12.33203125" style="2" bestFit="1" customWidth="1"/>
    <col min="23" max="16384" width="8.88671875" style="2"/>
  </cols>
  <sheetData>
    <row r="1" spans="1:22" x14ac:dyDescent="0.25">
      <c r="B1" s="3">
        <v>1000</v>
      </c>
    </row>
    <row r="2" spans="1:22" x14ac:dyDescent="0.25">
      <c r="A2" s="63" t="s">
        <v>5</v>
      </c>
      <c r="B2" s="4" t="s">
        <v>27</v>
      </c>
      <c r="C2" s="1" t="s">
        <v>29</v>
      </c>
      <c r="D2" s="1"/>
      <c r="P2" s="4" t="s">
        <v>1</v>
      </c>
      <c r="Q2" s="4" t="s">
        <v>3</v>
      </c>
      <c r="R2" s="4" t="s">
        <v>29</v>
      </c>
      <c r="S2" s="4" t="s">
        <v>30</v>
      </c>
      <c r="T2" s="4" t="s">
        <v>31</v>
      </c>
      <c r="U2" s="4" t="s">
        <v>32</v>
      </c>
      <c r="V2" s="4" t="s">
        <v>33</v>
      </c>
    </row>
    <row r="3" spans="1:22" x14ac:dyDescent="0.25">
      <c r="A3" s="14"/>
      <c r="B3" s="3">
        <v>2025</v>
      </c>
      <c r="C3" s="40">
        <v>1260</v>
      </c>
      <c r="D3" s="40"/>
      <c r="P3" s="3" t="s">
        <v>96</v>
      </c>
      <c r="Q3" s="3" t="s">
        <v>5</v>
      </c>
      <c r="R3" s="3" t="s">
        <v>68</v>
      </c>
      <c r="S3" s="40">
        <f>SUM(C3:C7)</f>
        <v>8400.4650000000001</v>
      </c>
      <c r="T3" s="3" t="s">
        <v>35</v>
      </c>
      <c r="U3" s="3" t="s">
        <v>36</v>
      </c>
      <c r="V3" s="3" t="s">
        <v>29</v>
      </c>
    </row>
    <row r="4" spans="1:22" x14ac:dyDescent="0.25">
      <c r="B4" s="3">
        <v>2026</v>
      </c>
      <c r="C4" s="40">
        <v>700</v>
      </c>
      <c r="D4" s="40"/>
      <c r="P4" s="3" t="s">
        <v>96</v>
      </c>
      <c r="Q4" s="3" t="s">
        <v>5</v>
      </c>
      <c r="R4" s="3" t="s">
        <v>39</v>
      </c>
      <c r="S4" s="40">
        <f>SUM(C8:C11)</f>
        <v>3150</v>
      </c>
      <c r="T4" s="3" t="s">
        <v>35</v>
      </c>
      <c r="U4" s="3" t="s">
        <v>36</v>
      </c>
      <c r="V4" s="3" t="s">
        <v>29</v>
      </c>
    </row>
    <row r="5" spans="1:22" x14ac:dyDescent="0.25">
      <c r="B5" s="3">
        <v>2027</v>
      </c>
      <c r="C5" s="40">
        <v>1881.865</v>
      </c>
      <c r="D5" s="40"/>
      <c r="P5" s="3" t="s">
        <v>96</v>
      </c>
      <c r="Q5" s="3" t="s">
        <v>5</v>
      </c>
      <c r="R5" s="3" t="s">
        <v>69</v>
      </c>
      <c r="S5" s="40">
        <f>SUM(C12:C13)</f>
        <v>1776</v>
      </c>
      <c r="T5" s="3" t="s">
        <v>35</v>
      </c>
      <c r="U5" s="3" t="s">
        <v>36</v>
      </c>
      <c r="V5" s="3" t="s">
        <v>29</v>
      </c>
    </row>
    <row r="6" spans="1:22" x14ac:dyDescent="0.25">
      <c r="B6" s="3">
        <v>2028</v>
      </c>
      <c r="C6" s="40">
        <v>2473.6</v>
      </c>
      <c r="D6" s="40"/>
      <c r="P6" s="3" t="s">
        <v>96</v>
      </c>
      <c r="Q6" s="3" t="s">
        <v>5</v>
      </c>
      <c r="R6" s="3" t="s">
        <v>41</v>
      </c>
      <c r="S6" s="40">
        <f>SUM(S3:S5)</f>
        <v>13326.465</v>
      </c>
      <c r="T6" s="3" t="s">
        <v>35</v>
      </c>
      <c r="U6" s="3" t="s">
        <v>36</v>
      </c>
      <c r="V6" s="3" t="s">
        <v>29</v>
      </c>
    </row>
    <row r="7" spans="1:22" x14ac:dyDescent="0.25">
      <c r="A7" s="39"/>
      <c r="B7" s="3">
        <v>2029</v>
      </c>
      <c r="C7" s="40">
        <v>2085</v>
      </c>
      <c r="D7" s="40"/>
    </row>
    <row r="8" spans="1:22" x14ac:dyDescent="0.25">
      <c r="A8" s="39"/>
      <c r="B8" s="3">
        <v>2030</v>
      </c>
      <c r="C8" s="40">
        <v>750</v>
      </c>
      <c r="D8" s="40"/>
    </row>
    <row r="9" spans="1:22" x14ac:dyDescent="0.25">
      <c r="B9" s="3">
        <v>2031</v>
      </c>
      <c r="C9" s="40">
        <v>1350</v>
      </c>
      <c r="D9" s="40"/>
    </row>
    <row r="10" spans="1:22" x14ac:dyDescent="0.25">
      <c r="B10" s="3">
        <v>2032</v>
      </c>
      <c r="C10" s="40">
        <v>1050</v>
      </c>
      <c r="D10" s="40"/>
    </row>
    <row r="11" spans="1:22" x14ac:dyDescent="0.25">
      <c r="B11" s="3">
        <v>2033</v>
      </c>
      <c r="C11" s="40" t="s">
        <v>67</v>
      </c>
      <c r="D11" s="40"/>
    </row>
    <row r="12" spans="1:22" x14ac:dyDescent="0.25">
      <c r="B12" s="3">
        <v>2034</v>
      </c>
      <c r="C12" s="40">
        <v>626</v>
      </c>
      <c r="D12" s="40"/>
    </row>
    <row r="13" spans="1:22" x14ac:dyDescent="0.25">
      <c r="B13" s="3" t="s">
        <v>26</v>
      </c>
      <c r="C13" s="40">
        <v>1150</v>
      </c>
      <c r="D13" s="40"/>
    </row>
    <row r="14" spans="1:22" x14ac:dyDescent="0.25">
      <c r="B14" s="6" t="s">
        <v>8</v>
      </c>
      <c r="C14" s="45">
        <f>SUM(C3:C13)</f>
        <v>13326.465</v>
      </c>
      <c r="D14" s="40"/>
    </row>
    <row r="15" spans="1:22" ht="14.4" x14ac:dyDescent="0.3">
      <c r="B15" s="3"/>
      <c r="C15" s="40"/>
      <c r="D15" s="40"/>
      <c r="I15"/>
    </row>
    <row r="16" spans="1:22" x14ac:dyDescent="0.25">
      <c r="B16" s="3">
        <v>1000</v>
      </c>
    </row>
    <row r="17" spans="1:22" x14ac:dyDescent="0.25">
      <c r="A17" s="63" t="s">
        <v>4</v>
      </c>
      <c r="B17" s="4" t="s">
        <v>27</v>
      </c>
      <c r="C17" s="1" t="s">
        <v>29</v>
      </c>
      <c r="D17" s="1"/>
      <c r="F17" s="40"/>
      <c r="P17" s="4" t="s">
        <v>1</v>
      </c>
      <c r="Q17" s="4" t="s">
        <v>3</v>
      </c>
      <c r="R17" s="4" t="s">
        <v>29</v>
      </c>
      <c r="S17" s="4" t="s">
        <v>30</v>
      </c>
      <c r="T17" s="4" t="s">
        <v>31</v>
      </c>
      <c r="U17" s="4" t="s">
        <v>32</v>
      </c>
      <c r="V17" s="4" t="s">
        <v>33</v>
      </c>
    </row>
    <row r="18" spans="1:22" x14ac:dyDescent="0.25">
      <c r="A18" s="14"/>
      <c r="B18" s="3">
        <v>2024</v>
      </c>
      <c r="C18" s="40" t="s">
        <v>67</v>
      </c>
      <c r="D18" s="40"/>
      <c r="P18" s="3" t="s">
        <v>96</v>
      </c>
      <c r="Q18" s="3" t="s">
        <v>5</v>
      </c>
      <c r="R18" s="3" t="s">
        <v>68</v>
      </c>
      <c r="S18" s="40">
        <f>SUM(C18:C23)</f>
        <v>8473.8349999999991</v>
      </c>
      <c r="T18" s="3" t="s">
        <v>35</v>
      </c>
      <c r="U18" s="3" t="s">
        <v>36</v>
      </c>
      <c r="V18" s="3" t="s">
        <v>29</v>
      </c>
    </row>
    <row r="19" spans="1:22" x14ac:dyDescent="0.25">
      <c r="A19" s="14"/>
      <c r="B19" s="3">
        <v>2025</v>
      </c>
      <c r="C19" s="40">
        <v>1260</v>
      </c>
      <c r="D19" s="40"/>
      <c r="P19" s="3" t="s">
        <v>96</v>
      </c>
      <c r="Q19" s="3" t="s">
        <v>5</v>
      </c>
      <c r="R19" s="3" t="s">
        <v>39</v>
      </c>
      <c r="S19" s="40">
        <f>SUM(C24:C27)</f>
        <v>3150</v>
      </c>
      <c r="T19" s="3" t="s">
        <v>35</v>
      </c>
      <c r="U19" s="3" t="s">
        <v>36</v>
      </c>
      <c r="V19" s="3" t="s">
        <v>29</v>
      </c>
    </row>
    <row r="20" spans="1:22" x14ac:dyDescent="0.25">
      <c r="B20" s="3">
        <v>2026</v>
      </c>
      <c r="C20" s="40">
        <v>700</v>
      </c>
      <c r="D20" s="40"/>
      <c r="P20" s="3" t="s">
        <v>96</v>
      </c>
      <c r="Q20" s="3" t="s">
        <v>5</v>
      </c>
      <c r="R20" s="3" t="s">
        <v>69</v>
      </c>
      <c r="S20" s="40">
        <f>SUM(C28)</f>
        <v>1819.9</v>
      </c>
      <c r="T20" s="3" t="s">
        <v>35</v>
      </c>
      <c r="U20" s="3" t="s">
        <v>36</v>
      </c>
      <c r="V20" s="3" t="s">
        <v>29</v>
      </c>
    </row>
    <row r="21" spans="1:22" x14ac:dyDescent="0.25">
      <c r="B21" s="3">
        <v>2027</v>
      </c>
      <c r="C21" s="40">
        <v>1906.9449999999999</v>
      </c>
      <c r="D21" s="40"/>
      <c r="P21" s="3" t="s">
        <v>96</v>
      </c>
      <c r="Q21" s="3" t="s">
        <v>5</v>
      </c>
      <c r="R21" s="3" t="s">
        <v>41</v>
      </c>
      <c r="S21" s="40">
        <f>SUM(S18:S20)</f>
        <v>13443.734999999999</v>
      </c>
      <c r="T21" s="3" t="s">
        <v>35</v>
      </c>
      <c r="U21" s="3" t="s">
        <v>36</v>
      </c>
      <c r="V21" s="3" t="s">
        <v>29</v>
      </c>
    </row>
    <row r="22" spans="1:22" x14ac:dyDescent="0.25">
      <c r="B22" s="3">
        <v>2028</v>
      </c>
      <c r="C22" s="40">
        <v>2521.89</v>
      </c>
      <c r="D22" s="40"/>
    </row>
    <row r="23" spans="1:22" x14ac:dyDescent="0.25">
      <c r="A23" s="39"/>
      <c r="B23" s="3">
        <v>2029</v>
      </c>
      <c r="C23" s="40">
        <v>2085</v>
      </c>
      <c r="D23" s="40"/>
    </row>
    <row r="24" spans="1:22" x14ac:dyDescent="0.25">
      <c r="A24" s="39"/>
      <c r="B24" s="3">
        <v>2030</v>
      </c>
      <c r="C24" s="40">
        <v>750</v>
      </c>
      <c r="D24" s="40"/>
    </row>
    <row r="25" spans="1:22" x14ac:dyDescent="0.25">
      <c r="B25" s="3">
        <v>2031</v>
      </c>
      <c r="C25" s="40">
        <v>1350</v>
      </c>
      <c r="D25" s="40"/>
    </row>
    <row r="26" spans="1:22" x14ac:dyDescent="0.25">
      <c r="B26" s="3">
        <v>2032</v>
      </c>
      <c r="C26" s="40">
        <v>1050</v>
      </c>
      <c r="D26" s="40"/>
    </row>
    <row r="27" spans="1:22" x14ac:dyDescent="0.25">
      <c r="B27" s="3">
        <v>2033</v>
      </c>
      <c r="C27" s="40" t="s">
        <v>67</v>
      </c>
      <c r="D27" s="40"/>
    </row>
    <row r="28" spans="1:22" x14ac:dyDescent="0.25">
      <c r="B28" s="3" t="s">
        <v>26</v>
      </c>
      <c r="C28" s="40">
        <v>1819.9</v>
      </c>
      <c r="D28" s="40"/>
    </row>
    <row r="29" spans="1:22" x14ac:dyDescent="0.25">
      <c r="B29" s="6" t="s">
        <v>8</v>
      </c>
      <c r="C29" s="45">
        <f>SUM(C18:C28)</f>
        <v>13443.734999999999</v>
      </c>
      <c r="D29" s="40"/>
    </row>
    <row r="30" spans="1:22" x14ac:dyDescent="0.25">
      <c r="B30" s="3"/>
      <c r="C30" s="40"/>
      <c r="D30" s="40"/>
    </row>
    <row r="31" spans="1:22" x14ac:dyDescent="0.25">
      <c r="B31" s="3">
        <v>1000</v>
      </c>
      <c r="C31" s="45"/>
      <c r="D31" s="45"/>
    </row>
    <row r="32" spans="1:22" x14ac:dyDescent="0.25">
      <c r="A32" s="63" t="s">
        <v>6</v>
      </c>
      <c r="B32" s="4" t="s">
        <v>27</v>
      </c>
      <c r="C32" s="1" t="s">
        <v>29</v>
      </c>
      <c r="D32" s="1"/>
      <c r="P32" s="4" t="s">
        <v>1</v>
      </c>
      <c r="Q32" s="4" t="s">
        <v>3</v>
      </c>
      <c r="R32" s="4" t="s">
        <v>29</v>
      </c>
      <c r="S32" s="4" t="s">
        <v>30</v>
      </c>
      <c r="T32" s="4" t="s">
        <v>31</v>
      </c>
      <c r="U32" s="4" t="s">
        <v>32</v>
      </c>
      <c r="V32" s="4" t="s">
        <v>33</v>
      </c>
    </row>
    <row r="33" spans="1:22" x14ac:dyDescent="0.25">
      <c r="B33" s="3">
        <v>2024</v>
      </c>
      <c r="C33" s="40" t="s">
        <v>67</v>
      </c>
      <c r="D33" s="40"/>
      <c r="P33" s="3" t="s">
        <v>96</v>
      </c>
      <c r="Q33" s="3" t="s">
        <v>5</v>
      </c>
      <c r="R33" s="3" t="s">
        <v>68</v>
      </c>
      <c r="S33" s="40">
        <f>SUM(C33:C38)</f>
        <v>7392.1289999999999</v>
      </c>
      <c r="T33" s="3" t="s">
        <v>35</v>
      </c>
      <c r="U33" s="3" t="s">
        <v>36</v>
      </c>
      <c r="V33" s="3" t="s">
        <v>29</v>
      </c>
    </row>
    <row r="34" spans="1:22" x14ac:dyDescent="0.25">
      <c r="B34" s="3">
        <v>2025</v>
      </c>
      <c r="C34" s="40">
        <v>1260</v>
      </c>
      <c r="D34" s="40"/>
      <c r="P34" s="3" t="s">
        <v>96</v>
      </c>
      <c r="Q34" s="3" t="s">
        <v>5</v>
      </c>
      <c r="R34" s="3" t="s">
        <v>39</v>
      </c>
      <c r="S34" s="40">
        <f>SUM(C39:C42)</f>
        <v>3150</v>
      </c>
      <c r="T34" s="3" t="s">
        <v>35</v>
      </c>
      <c r="U34" s="3" t="s">
        <v>36</v>
      </c>
      <c r="V34" s="3" t="s">
        <v>29</v>
      </c>
    </row>
    <row r="35" spans="1:22" x14ac:dyDescent="0.25">
      <c r="B35" s="3">
        <v>2026</v>
      </c>
      <c r="C35" s="40">
        <v>700</v>
      </c>
      <c r="D35" s="40"/>
      <c r="P35" s="3" t="s">
        <v>96</v>
      </c>
      <c r="Q35" s="3" t="s">
        <v>5</v>
      </c>
      <c r="R35" s="3" t="s">
        <v>69</v>
      </c>
      <c r="S35" s="40">
        <f>SUM(C43)</f>
        <v>1782</v>
      </c>
      <c r="T35" s="3" t="s">
        <v>35</v>
      </c>
      <c r="U35" s="3" t="s">
        <v>36</v>
      </c>
      <c r="V35" s="3" t="s">
        <v>29</v>
      </c>
    </row>
    <row r="36" spans="1:22" x14ac:dyDescent="0.25">
      <c r="B36" s="3">
        <v>2027</v>
      </c>
      <c r="C36" s="40">
        <v>1901.9290000000001</v>
      </c>
      <c r="D36" s="40"/>
      <c r="P36" s="3" t="s">
        <v>96</v>
      </c>
      <c r="Q36" s="3" t="s">
        <v>5</v>
      </c>
      <c r="R36" s="3" t="s">
        <v>41</v>
      </c>
      <c r="S36" s="40">
        <f>SUM(S33:S35)</f>
        <v>12324.129000000001</v>
      </c>
      <c r="T36" s="3" t="s">
        <v>35</v>
      </c>
      <c r="U36" s="3" t="s">
        <v>36</v>
      </c>
      <c r="V36" s="3" t="s">
        <v>29</v>
      </c>
    </row>
    <row r="37" spans="1:22" x14ac:dyDescent="0.25">
      <c r="B37" s="3">
        <v>2028</v>
      </c>
      <c r="C37" s="40">
        <v>2480.1999999999998</v>
      </c>
      <c r="D37" s="40"/>
    </row>
    <row r="38" spans="1:22" x14ac:dyDescent="0.25">
      <c r="B38" s="3">
        <v>2029</v>
      </c>
      <c r="C38" s="40">
        <v>1050</v>
      </c>
      <c r="D38" s="40"/>
    </row>
    <row r="39" spans="1:22" x14ac:dyDescent="0.25">
      <c r="B39" s="3">
        <v>2030</v>
      </c>
      <c r="C39" s="40">
        <v>750</v>
      </c>
      <c r="D39" s="40"/>
    </row>
    <row r="40" spans="1:22" x14ac:dyDescent="0.25">
      <c r="B40" s="3">
        <v>2031</v>
      </c>
      <c r="C40" s="40">
        <v>1350</v>
      </c>
      <c r="D40" s="40"/>
    </row>
    <row r="41" spans="1:22" x14ac:dyDescent="0.25">
      <c r="B41" s="3">
        <v>2032</v>
      </c>
      <c r="C41" s="40">
        <v>1050</v>
      </c>
      <c r="D41" s="40"/>
    </row>
    <row r="42" spans="1:22" x14ac:dyDescent="0.25">
      <c r="B42" s="3">
        <v>2033</v>
      </c>
      <c r="C42" s="40" t="s">
        <v>67</v>
      </c>
      <c r="D42" s="40"/>
    </row>
    <row r="43" spans="1:22" x14ac:dyDescent="0.25">
      <c r="B43" s="3" t="s">
        <v>26</v>
      </c>
      <c r="C43" s="40">
        <v>1782</v>
      </c>
      <c r="D43" s="40"/>
    </row>
    <row r="44" spans="1:22" x14ac:dyDescent="0.25">
      <c r="B44" s="6" t="s">
        <v>8</v>
      </c>
      <c r="C44" s="45">
        <f>SUM(C33:C43)</f>
        <v>12324.129000000001</v>
      </c>
      <c r="D44" s="40"/>
    </row>
    <row r="45" spans="1:22" x14ac:dyDescent="0.25">
      <c r="B45" s="3"/>
      <c r="C45" s="40"/>
      <c r="D45" s="40"/>
    </row>
    <row r="46" spans="1:22" x14ac:dyDescent="0.25">
      <c r="B46" s="3">
        <v>1000</v>
      </c>
      <c r="C46" s="45"/>
      <c r="D46" s="45"/>
      <c r="K46" s="3"/>
    </row>
    <row r="47" spans="1:22" x14ac:dyDescent="0.25">
      <c r="A47" s="63" t="s">
        <v>7</v>
      </c>
      <c r="B47" s="4" t="s">
        <v>27</v>
      </c>
      <c r="C47" s="1" t="s">
        <v>29</v>
      </c>
      <c r="D47" s="1"/>
      <c r="K47" s="3"/>
      <c r="P47" s="4" t="s">
        <v>1</v>
      </c>
      <c r="Q47" s="4" t="s">
        <v>3</v>
      </c>
      <c r="R47" s="4" t="s">
        <v>29</v>
      </c>
      <c r="S47" s="4" t="s">
        <v>30</v>
      </c>
      <c r="T47" s="4" t="s">
        <v>31</v>
      </c>
      <c r="U47" s="4" t="s">
        <v>32</v>
      </c>
      <c r="V47" s="4" t="s">
        <v>33</v>
      </c>
    </row>
    <row r="48" spans="1:22" x14ac:dyDescent="0.25">
      <c r="B48" s="3">
        <v>2024</v>
      </c>
      <c r="C48" s="40" t="s">
        <v>67</v>
      </c>
      <c r="D48" s="40"/>
      <c r="K48" s="3"/>
      <c r="P48" s="3" t="s">
        <v>96</v>
      </c>
      <c r="Q48" s="3" t="s">
        <v>5</v>
      </c>
      <c r="R48" s="3" t="s">
        <v>68</v>
      </c>
      <c r="S48" s="40">
        <f>SUM(C48:C53)</f>
        <v>7396.2389999999996</v>
      </c>
      <c r="T48" s="3" t="s">
        <v>35</v>
      </c>
      <c r="U48" s="3" t="s">
        <v>36</v>
      </c>
      <c r="V48" s="3" t="s">
        <v>29</v>
      </c>
    </row>
    <row r="49" spans="1:22" x14ac:dyDescent="0.25">
      <c r="B49" s="3">
        <v>2025</v>
      </c>
      <c r="C49" s="40">
        <v>1260</v>
      </c>
      <c r="D49" s="40"/>
      <c r="K49" s="3"/>
      <c r="P49" s="3" t="s">
        <v>96</v>
      </c>
      <c r="Q49" s="3" t="s">
        <v>5</v>
      </c>
      <c r="R49" s="3" t="s">
        <v>39</v>
      </c>
      <c r="S49" s="40">
        <f>SUM(C54:C57)</f>
        <v>3150</v>
      </c>
      <c r="T49" s="3" t="s">
        <v>35</v>
      </c>
      <c r="U49" s="3" t="s">
        <v>36</v>
      </c>
      <c r="V49" s="3" t="s">
        <v>29</v>
      </c>
    </row>
    <row r="50" spans="1:22" x14ac:dyDescent="0.25">
      <c r="B50" s="3">
        <v>2026</v>
      </c>
      <c r="C50" s="40">
        <v>700</v>
      </c>
      <c r="D50" s="40"/>
      <c r="K50" s="3"/>
      <c r="P50" s="3" t="s">
        <v>96</v>
      </c>
      <c r="Q50" s="3" t="s">
        <v>5</v>
      </c>
      <c r="R50" s="3" t="s">
        <v>69</v>
      </c>
      <c r="S50" s="40">
        <f>SUM(C58)</f>
        <v>1781.85</v>
      </c>
      <c r="T50" s="3" t="s">
        <v>35</v>
      </c>
      <c r="U50" s="3" t="s">
        <v>36</v>
      </c>
      <c r="V50" s="3" t="s">
        <v>29</v>
      </c>
    </row>
    <row r="51" spans="1:22" x14ac:dyDescent="0.25">
      <c r="B51" s="3">
        <v>2027</v>
      </c>
      <c r="C51" s="40">
        <v>1906.204</v>
      </c>
      <c r="D51" s="40"/>
      <c r="K51" s="3"/>
      <c r="P51" s="3" t="s">
        <v>96</v>
      </c>
      <c r="Q51" s="3" t="s">
        <v>5</v>
      </c>
      <c r="R51" s="3" t="s">
        <v>41</v>
      </c>
      <c r="S51" s="40">
        <f>SUM(S48:S50)</f>
        <v>12328.089</v>
      </c>
      <c r="T51" s="3" t="s">
        <v>35</v>
      </c>
      <c r="U51" s="3" t="s">
        <v>36</v>
      </c>
      <c r="V51" s="3" t="s">
        <v>29</v>
      </c>
    </row>
    <row r="52" spans="1:22" x14ac:dyDescent="0.25">
      <c r="B52" s="3">
        <v>2028</v>
      </c>
      <c r="C52" s="40">
        <v>2480.0349999999999</v>
      </c>
      <c r="D52" s="40"/>
      <c r="K52" s="3"/>
    </row>
    <row r="53" spans="1:22" x14ac:dyDescent="0.25">
      <c r="B53" s="3">
        <v>2029</v>
      </c>
      <c r="C53" s="40">
        <v>1050</v>
      </c>
      <c r="D53" s="40"/>
      <c r="K53" s="3"/>
    </row>
    <row r="54" spans="1:22" x14ac:dyDescent="0.25">
      <c r="B54" s="3">
        <v>2030</v>
      </c>
      <c r="C54" s="40">
        <v>750</v>
      </c>
      <c r="D54" s="40"/>
      <c r="K54" s="3"/>
    </row>
    <row r="55" spans="1:22" x14ac:dyDescent="0.25">
      <c r="B55" s="3">
        <v>2031</v>
      </c>
      <c r="C55" s="40">
        <v>1350</v>
      </c>
      <c r="D55" s="40"/>
      <c r="K55" s="3"/>
    </row>
    <row r="56" spans="1:22" x14ac:dyDescent="0.25">
      <c r="B56" s="3">
        <v>2032</v>
      </c>
      <c r="C56" s="40">
        <v>1050</v>
      </c>
      <c r="D56" s="40"/>
      <c r="K56" s="3"/>
    </row>
    <row r="57" spans="1:22" x14ac:dyDescent="0.25">
      <c r="B57" s="3">
        <v>2033</v>
      </c>
      <c r="C57" s="40" t="s">
        <v>67</v>
      </c>
      <c r="D57" s="40"/>
      <c r="K57" s="3"/>
    </row>
    <row r="58" spans="1:22" x14ac:dyDescent="0.25">
      <c r="B58" s="3" t="s">
        <v>26</v>
      </c>
      <c r="C58" s="40">
        <v>1781.85</v>
      </c>
      <c r="D58" s="40"/>
      <c r="K58" s="3"/>
    </row>
    <row r="59" spans="1:22" x14ac:dyDescent="0.25">
      <c r="A59" s="15"/>
      <c r="B59" s="6" t="s">
        <v>8</v>
      </c>
      <c r="C59" s="45">
        <f>SUM(C48:C58)</f>
        <v>12328.089</v>
      </c>
      <c r="D59" s="45"/>
      <c r="K59" s="3"/>
    </row>
    <row r="60" spans="1:22" x14ac:dyDescent="0.25">
      <c r="A60" s="15"/>
      <c r="B60" s="3"/>
      <c r="C60" s="40"/>
      <c r="D60" s="40"/>
    </row>
    <row r="61" spans="1:22" ht="14.4" x14ac:dyDescent="0.3">
      <c r="A61" s="15"/>
      <c r="B61" s="3"/>
      <c r="C61" s="40"/>
      <c r="D61" s="40"/>
      <c r="K61"/>
    </row>
    <row r="62" spans="1:22" ht="14.4" x14ac:dyDescent="0.3">
      <c r="A62" s="15"/>
      <c r="B62" s="3"/>
      <c r="C62" s="40"/>
      <c r="D62" s="40"/>
      <c r="K62"/>
    </row>
    <row r="63" spans="1:22" ht="14.4" x14ac:dyDescent="0.3">
      <c r="C63" s="40"/>
      <c r="D63" s="40"/>
      <c r="L63"/>
    </row>
    <row r="64" spans="1:22" x14ac:dyDescent="0.25">
      <c r="B64" s="4"/>
      <c r="C64" s="1"/>
      <c r="D64" s="1"/>
    </row>
    <row r="65" spans="2:4" x14ac:dyDescent="0.25">
      <c r="B65" s="3"/>
      <c r="C65" s="40"/>
      <c r="D65" s="40"/>
    </row>
    <row r="66" spans="2:4" x14ac:dyDescent="0.25">
      <c r="B66" s="3"/>
      <c r="C66" s="40"/>
      <c r="D66" s="40"/>
    </row>
    <row r="67" spans="2:4" x14ac:dyDescent="0.25">
      <c r="B67" s="3"/>
      <c r="C67" s="40"/>
      <c r="D67" s="40"/>
    </row>
    <row r="68" spans="2:4" x14ac:dyDescent="0.25">
      <c r="B68" s="3"/>
      <c r="C68" s="40"/>
      <c r="D68" s="40"/>
    </row>
    <row r="69" spans="2:4" x14ac:dyDescent="0.25">
      <c r="B69" s="3"/>
      <c r="C69" s="3"/>
      <c r="D69" s="3"/>
    </row>
    <row r="70" spans="2:4" x14ac:dyDescent="0.25">
      <c r="B70" s="3"/>
      <c r="C70" s="3"/>
      <c r="D70" s="3"/>
    </row>
    <row r="71" spans="2:4" x14ac:dyDescent="0.25">
      <c r="B71" s="3"/>
      <c r="C71" s="3"/>
      <c r="D71" s="3"/>
    </row>
    <row r="72" spans="2:4" x14ac:dyDescent="0.25">
      <c r="B72" s="3"/>
      <c r="C72" s="40"/>
      <c r="D72" s="40"/>
    </row>
    <row r="73" spans="2:4" x14ac:dyDescent="0.25">
      <c r="B73" s="3"/>
      <c r="C73" s="3"/>
      <c r="D73" s="3"/>
    </row>
    <row r="74" spans="2:4" x14ac:dyDescent="0.25">
      <c r="B74" s="3"/>
      <c r="C74" s="3"/>
      <c r="D74" s="3"/>
    </row>
    <row r="75" spans="2:4" x14ac:dyDescent="0.25">
      <c r="B75" s="3"/>
      <c r="C75" s="40"/>
      <c r="D75" s="40"/>
    </row>
    <row r="76" spans="2:4" x14ac:dyDescent="0.25">
      <c r="B76" s="3"/>
      <c r="C76" s="40"/>
      <c r="D76" s="40"/>
    </row>
    <row r="77" spans="2:4" x14ac:dyDescent="0.25">
      <c r="B77" s="3"/>
      <c r="C77" s="40"/>
      <c r="D77" s="40"/>
    </row>
    <row r="78" spans="2:4" x14ac:dyDescent="0.25">
      <c r="B78" s="3"/>
      <c r="C78" s="3"/>
      <c r="D78" s="3"/>
    </row>
    <row r="79" spans="2:4" x14ac:dyDescent="0.25">
      <c r="B79" s="3"/>
      <c r="C79" s="3"/>
      <c r="D79" s="3"/>
    </row>
    <row r="80" spans="2:4" x14ac:dyDescent="0.25">
      <c r="B80" s="3"/>
      <c r="C80" s="3"/>
      <c r="D80" s="3"/>
    </row>
    <row r="81" spans="2:4" x14ac:dyDescent="0.25">
      <c r="B81" s="3"/>
      <c r="C81" s="3"/>
      <c r="D81" s="3"/>
    </row>
    <row r="82" spans="2:4" x14ac:dyDescent="0.25">
      <c r="B82" s="3"/>
      <c r="C82" s="3"/>
      <c r="D82" s="3"/>
    </row>
    <row r="83" spans="2:4" x14ac:dyDescent="0.25">
      <c r="B83" s="3"/>
      <c r="C83" s="40"/>
      <c r="D83" s="40"/>
    </row>
    <row r="84" spans="2:4" x14ac:dyDescent="0.25">
      <c r="B84" s="3"/>
      <c r="C84" s="40"/>
      <c r="D84" s="40"/>
    </row>
    <row r="85" spans="2:4" x14ac:dyDescent="0.25">
      <c r="B85" s="3"/>
      <c r="C85" s="3"/>
      <c r="D85" s="3"/>
    </row>
    <row r="86" spans="2:4" x14ac:dyDescent="0.25">
      <c r="B86" s="3"/>
      <c r="C86" s="3"/>
      <c r="D86" s="3"/>
    </row>
    <row r="87" spans="2:4" x14ac:dyDescent="0.25">
      <c r="B87" s="3"/>
      <c r="C87" s="3"/>
      <c r="D87" s="3"/>
    </row>
    <row r="88" spans="2:4" x14ac:dyDescent="0.25">
      <c r="B88" s="3"/>
      <c r="C88" s="40"/>
      <c r="D88" s="40"/>
    </row>
    <row r="89" spans="2:4" x14ac:dyDescent="0.25">
      <c r="B89" s="3"/>
      <c r="C89" s="3"/>
      <c r="D89" s="3"/>
    </row>
    <row r="90" spans="2:4" x14ac:dyDescent="0.25">
      <c r="B90" s="3"/>
      <c r="C90" s="3"/>
      <c r="D90" s="3"/>
    </row>
    <row r="91" spans="2:4" x14ac:dyDescent="0.25">
      <c r="B91" s="3"/>
      <c r="C91" s="3"/>
      <c r="D91" s="3"/>
    </row>
    <row r="92" spans="2:4" x14ac:dyDescent="0.25">
      <c r="B92" s="3"/>
      <c r="C92" s="3"/>
      <c r="D92" s="3"/>
    </row>
    <row r="93" spans="2:4" x14ac:dyDescent="0.25">
      <c r="B93" s="3"/>
      <c r="C93" s="3"/>
      <c r="D93" s="3"/>
    </row>
    <row r="95" spans="2:4" x14ac:dyDescent="0.25">
      <c r="B95" s="1"/>
      <c r="C95" s="4"/>
      <c r="D95" s="4"/>
    </row>
    <row r="96" spans="2:4" x14ac:dyDescent="0.25">
      <c r="C96" s="40"/>
      <c r="D96" s="40"/>
    </row>
    <row r="97" spans="2:4" x14ac:dyDescent="0.25">
      <c r="C97" s="40"/>
      <c r="D97" s="40"/>
    </row>
    <row r="98" spans="2:4" x14ac:dyDescent="0.25">
      <c r="C98" s="40"/>
      <c r="D98" s="40"/>
    </row>
    <row r="99" spans="2:4" x14ac:dyDescent="0.25">
      <c r="C99" s="40"/>
      <c r="D99" s="40"/>
    </row>
    <row r="100" spans="2:4" x14ac:dyDescent="0.25">
      <c r="C100" s="40"/>
      <c r="D100" s="40"/>
    </row>
    <row r="101" spans="2:4" x14ac:dyDescent="0.25">
      <c r="C101" s="40"/>
      <c r="D101" s="40"/>
    </row>
    <row r="102" spans="2:4" x14ac:dyDescent="0.25">
      <c r="B102" s="7"/>
      <c r="C102" s="45"/>
      <c r="D102" s="45"/>
    </row>
    <row r="103" spans="2:4" x14ac:dyDescent="0.25">
      <c r="C103" s="40"/>
      <c r="D103" s="40"/>
    </row>
    <row r="104" spans="2:4" x14ac:dyDescent="0.25">
      <c r="C104" s="40"/>
      <c r="D104" s="40"/>
    </row>
    <row r="105" spans="2:4" x14ac:dyDescent="0.25">
      <c r="B105" s="7"/>
      <c r="C105" s="45"/>
      <c r="D105" s="45"/>
    </row>
    <row r="107" spans="2:4" x14ac:dyDescent="0.25">
      <c r="B107" s="9"/>
    </row>
    <row r="120" spans="1:4" x14ac:dyDescent="0.25">
      <c r="A120" s="8"/>
      <c r="B120" s="9"/>
    </row>
    <row r="121" spans="1:4" x14ac:dyDescent="0.25">
      <c r="A121" s="15"/>
      <c r="B121" s="3"/>
    </row>
    <row r="122" spans="1:4" x14ac:dyDescent="0.25">
      <c r="A122" s="15"/>
      <c r="B122" s="3"/>
    </row>
    <row r="123" spans="1:4" x14ac:dyDescent="0.25">
      <c r="A123" s="15"/>
      <c r="B123" s="3"/>
    </row>
    <row r="124" spans="1:4" x14ac:dyDescent="0.25">
      <c r="A124" s="15"/>
      <c r="B124" s="3"/>
    </row>
    <row r="125" spans="1:4" x14ac:dyDescent="0.25">
      <c r="A125" s="15"/>
      <c r="B125" s="3"/>
    </row>
    <row r="126" spans="1:4" x14ac:dyDescent="0.25">
      <c r="A126" s="15"/>
      <c r="B126" s="3"/>
    </row>
    <row r="127" spans="1:4" x14ac:dyDescent="0.25">
      <c r="A127" s="15"/>
      <c r="B127" s="7"/>
      <c r="C127" s="3"/>
      <c r="D127" s="3"/>
    </row>
    <row r="128" spans="1:4" x14ac:dyDescent="0.25">
      <c r="A128" s="15"/>
    </row>
    <row r="129" spans="1:4" x14ac:dyDescent="0.25">
      <c r="A129" s="15"/>
      <c r="B129" s="1"/>
      <c r="C129" s="4"/>
      <c r="D129" s="4"/>
    </row>
    <row r="130" spans="1:4" x14ac:dyDescent="0.25">
      <c r="A130" s="15"/>
      <c r="C130" s="40"/>
      <c r="D130" s="40"/>
    </row>
    <row r="131" spans="1:4" x14ac:dyDescent="0.25">
      <c r="A131" s="15"/>
      <c r="C131" s="40"/>
      <c r="D131" s="40"/>
    </row>
    <row r="132" spans="1:4" x14ac:dyDescent="0.25">
      <c r="A132" s="15"/>
      <c r="C132" s="40"/>
      <c r="D132" s="40"/>
    </row>
    <row r="133" spans="1:4" x14ac:dyDescent="0.25">
      <c r="A133" s="15"/>
      <c r="C133" s="40"/>
      <c r="D133" s="40"/>
    </row>
    <row r="134" spans="1:4" x14ac:dyDescent="0.25">
      <c r="A134" s="15"/>
      <c r="C134" s="40"/>
      <c r="D134" s="40"/>
    </row>
    <row r="135" spans="1:4" x14ac:dyDescent="0.25">
      <c r="A135" s="15"/>
      <c r="C135" s="40"/>
      <c r="D135" s="40"/>
    </row>
    <row r="136" spans="1:4" x14ac:dyDescent="0.25">
      <c r="A136" s="15"/>
      <c r="C136" s="40"/>
      <c r="D136" s="40"/>
    </row>
    <row r="137" spans="1:4" x14ac:dyDescent="0.25">
      <c r="A137" s="15"/>
      <c r="C137" s="40"/>
      <c r="D137" s="40"/>
    </row>
    <row r="138" spans="1:4" x14ac:dyDescent="0.25">
      <c r="A138" s="15"/>
      <c r="C138" s="40"/>
      <c r="D138" s="40"/>
    </row>
    <row r="139" spans="1:4" x14ac:dyDescent="0.25">
      <c r="A139" s="15"/>
    </row>
    <row r="140" spans="1:4" x14ac:dyDescent="0.25">
      <c r="A140" s="15"/>
    </row>
    <row r="141" spans="1:4" x14ac:dyDescent="0.25">
      <c r="A141" s="15"/>
      <c r="B141" s="3"/>
    </row>
    <row r="142" spans="1:4" x14ac:dyDescent="0.25">
      <c r="A142" s="15"/>
      <c r="B142" s="3"/>
    </row>
    <row r="143" spans="1:4" x14ac:dyDescent="0.25">
      <c r="A143" s="15"/>
      <c r="B143" s="3"/>
    </row>
    <row r="144" spans="1:4" x14ac:dyDescent="0.25">
      <c r="A144" s="15"/>
      <c r="B144" s="3"/>
    </row>
    <row r="145" spans="1:4" x14ac:dyDescent="0.25">
      <c r="A145" s="15"/>
      <c r="B145" s="3"/>
    </row>
    <row r="146" spans="1:4" x14ac:dyDescent="0.25">
      <c r="A146" s="15"/>
      <c r="B146" s="3"/>
    </row>
    <row r="147" spans="1:4" x14ac:dyDescent="0.25">
      <c r="A147" s="15"/>
      <c r="B147" s="3"/>
    </row>
    <row r="148" spans="1:4" x14ac:dyDescent="0.25">
      <c r="A148" s="15"/>
      <c r="B148" s="3"/>
    </row>
    <row r="149" spans="1:4" x14ac:dyDescent="0.25">
      <c r="A149" s="15"/>
      <c r="B149" s="3"/>
    </row>
    <row r="150" spans="1:4" x14ac:dyDescent="0.25">
      <c r="A150" s="15"/>
      <c r="B150" s="3"/>
    </row>
    <row r="151" spans="1:4" x14ac:dyDescent="0.25">
      <c r="A151" s="15"/>
      <c r="B151" s="3"/>
    </row>
    <row r="154" spans="1:4" x14ac:dyDescent="0.25">
      <c r="B154" s="9"/>
    </row>
    <row r="156" spans="1:4" x14ac:dyDescent="0.25">
      <c r="B156" s="1"/>
      <c r="C156" s="4"/>
      <c r="D156" s="4"/>
    </row>
    <row r="157" spans="1:4" x14ac:dyDescent="0.25">
      <c r="C157" s="40"/>
      <c r="D157" s="40"/>
    </row>
    <row r="158" spans="1:4" x14ac:dyDescent="0.25">
      <c r="C158" s="40"/>
      <c r="D158" s="40"/>
    </row>
    <row r="159" spans="1:4" x14ac:dyDescent="0.25">
      <c r="C159" s="40"/>
      <c r="D159" s="40"/>
    </row>
    <row r="160" spans="1:4" x14ac:dyDescent="0.25">
      <c r="C160" s="40"/>
      <c r="D160" s="40"/>
    </row>
    <row r="161" spans="2:4" x14ac:dyDescent="0.25">
      <c r="C161" s="40"/>
      <c r="D161" s="40"/>
    </row>
    <row r="162" spans="2:4" x14ac:dyDescent="0.25">
      <c r="C162" s="40"/>
      <c r="D162" s="40"/>
    </row>
    <row r="163" spans="2:4" x14ac:dyDescent="0.25">
      <c r="B163" s="7"/>
      <c r="C163" s="45"/>
      <c r="D163" s="45"/>
    </row>
    <row r="164" spans="2:4" x14ac:dyDescent="0.25">
      <c r="C164" s="40"/>
      <c r="D164" s="40"/>
    </row>
    <row r="165" spans="2:4" x14ac:dyDescent="0.25">
      <c r="C165" s="40"/>
      <c r="D165" s="40"/>
    </row>
    <row r="166" spans="2:4" x14ac:dyDescent="0.25">
      <c r="B166" s="7"/>
      <c r="C166" s="45"/>
      <c r="D166" s="45"/>
    </row>
    <row r="168" spans="2:4" x14ac:dyDescent="0.25">
      <c r="B168" s="9"/>
    </row>
    <row r="180" spans="1:4" x14ac:dyDescent="0.25">
      <c r="A180" s="8"/>
      <c r="B180" s="9"/>
    </row>
    <row r="181" spans="1:4" x14ac:dyDescent="0.25">
      <c r="A181" s="15"/>
      <c r="B181" s="3"/>
    </row>
    <row r="182" spans="1:4" x14ac:dyDescent="0.25">
      <c r="A182" s="15"/>
      <c r="B182" s="3"/>
    </row>
    <row r="183" spans="1:4" x14ac:dyDescent="0.25">
      <c r="A183" s="15"/>
      <c r="B183" s="3"/>
    </row>
    <row r="184" spans="1:4" x14ac:dyDescent="0.25">
      <c r="A184" s="15"/>
      <c r="B184" s="3"/>
    </row>
    <row r="185" spans="1:4" x14ac:dyDescent="0.25">
      <c r="A185" s="15"/>
      <c r="B185" s="3"/>
    </row>
    <row r="186" spans="1:4" x14ac:dyDescent="0.25">
      <c r="A186" s="15"/>
      <c r="B186" s="3"/>
    </row>
    <row r="187" spans="1:4" x14ac:dyDescent="0.25">
      <c r="A187" s="15"/>
      <c r="B187" s="3"/>
    </row>
    <row r="188" spans="1:4" x14ac:dyDescent="0.25">
      <c r="A188" s="15"/>
      <c r="B188" s="7"/>
      <c r="C188" s="3"/>
      <c r="D188" s="3"/>
    </row>
    <row r="189" spans="1:4" x14ac:dyDescent="0.25">
      <c r="A189" s="15"/>
    </row>
    <row r="190" spans="1:4" x14ac:dyDescent="0.25">
      <c r="A190" s="15"/>
      <c r="B190" s="1"/>
      <c r="C190" s="4"/>
      <c r="D190" s="4"/>
    </row>
    <row r="191" spans="1:4" x14ac:dyDescent="0.25">
      <c r="A191" s="15"/>
      <c r="C191" s="40"/>
      <c r="D191" s="40"/>
    </row>
    <row r="192" spans="1:4" x14ac:dyDescent="0.25">
      <c r="A192" s="15"/>
      <c r="C192" s="40"/>
      <c r="D192" s="40"/>
    </row>
    <row r="193" spans="1:4" x14ac:dyDescent="0.25">
      <c r="A193" s="15"/>
      <c r="C193" s="40"/>
      <c r="D193" s="40"/>
    </row>
    <row r="194" spans="1:4" x14ac:dyDescent="0.25">
      <c r="A194" s="15"/>
      <c r="C194" s="40"/>
      <c r="D194" s="40"/>
    </row>
    <row r="195" spans="1:4" x14ac:dyDescent="0.25">
      <c r="A195" s="15"/>
      <c r="C195" s="40"/>
      <c r="D195" s="40"/>
    </row>
    <row r="196" spans="1:4" x14ac:dyDescent="0.25">
      <c r="A196" s="15"/>
      <c r="C196" s="40"/>
      <c r="D196" s="40"/>
    </row>
    <row r="197" spans="1:4" x14ac:dyDescent="0.25">
      <c r="A197" s="15"/>
      <c r="C197" s="40"/>
      <c r="D197" s="40"/>
    </row>
    <row r="198" spans="1:4" x14ac:dyDescent="0.25">
      <c r="A198" s="15"/>
      <c r="C198" s="40"/>
      <c r="D198" s="40"/>
    </row>
    <row r="199" spans="1:4" x14ac:dyDescent="0.25">
      <c r="A199" s="15"/>
      <c r="C199" s="40"/>
      <c r="D199" s="40"/>
    </row>
    <row r="200" spans="1:4" x14ac:dyDescent="0.25">
      <c r="A200" s="15"/>
    </row>
    <row r="201" spans="1:4" x14ac:dyDescent="0.25">
      <c r="A201" s="15"/>
    </row>
    <row r="202" spans="1:4" x14ac:dyDescent="0.25">
      <c r="A202" s="15"/>
      <c r="B202" s="3"/>
    </row>
    <row r="203" spans="1:4" x14ac:dyDescent="0.25">
      <c r="A203" s="15"/>
      <c r="B203" s="3"/>
    </row>
    <row r="204" spans="1:4" x14ac:dyDescent="0.25">
      <c r="A204" s="15"/>
      <c r="B204" s="3"/>
    </row>
    <row r="205" spans="1:4" x14ac:dyDescent="0.25">
      <c r="A205" s="15"/>
      <c r="B205" s="3"/>
    </row>
    <row r="206" spans="1:4" x14ac:dyDescent="0.25">
      <c r="A206" s="15"/>
      <c r="B206" s="3"/>
    </row>
    <row r="207" spans="1:4" x14ac:dyDescent="0.25">
      <c r="A207" s="15"/>
      <c r="B207" s="3"/>
    </row>
    <row r="208" spans="1:4" x14ac:dyDescent="0.25">
      <c r="A208" s="15"/>
      <c r="B208" s="3"/>
    </row>
    <row r="209" spans="1:4" x14ac:dyDescent="0.25">
      <c r="A209" s="15"/>
      <c r="B209" s="3"/>
    </row>
    <row r="210" spans="1:4" x14ac:dyDescent="0.25">
      <c r="A210" s="15"/>
      <c r="B210" s="3"/>
    </row>
    <row r="211" spans="1:4" x14ac:dyDescent="0.25">
      <c r="A211" s="15"/>
      <c r="B211" s="3"/>
    </row>
    <row r="212" spans="1:4" x14ac:dyDescent="0.25">
      <c r="A212" s="15"/>
      <c r="B212" s="3"/>
    </row>
    <row r="213" spans="1:4" x14ac:dyDescent="0.25">
      <c r="A213" s="15"/>
      <c r="B213" s="3"/>
    </row>
    <row r="216" spans="1:4" x14ac:dyDescent="0.25">
      <c r="B216" s="9"/>
    </row>
    <row r="219" spans="1:4" x14ac:dyDescent="0.25">
      <c r="B219" s="1"/>
      <c r="C219" s="4"/>
      <c r="D219" s="4"/>
    </row>
    <row r="220" spans="1:4" x14ac:dyDescent="0.25">
      <c r="C220" s="40"/>
      <c r="D220" s="40"/>
    </row>
    <row r="221" spans="1:4" x14ac:dyDescent="0.25">
      <c r="C221" s="40"/>
      <c r="D221" s="40"/>
    </row>
    <row r="222" spans="1:4" x14ac:dyDescent="0.25">
      <c r="C222" s="40"/>
      <c r="D222" s="40"/>
    </row>
    <row r="223" spans="1:4" x14ac:dyDescent="0.25">
      <c r="C223" s="40"/>
      <c r="D223" s="40"/>
    </row>
    <row r="224" spans="1:4" x14ac:dyDescent="0.25">
      <c r="C224" s="40"/>
      <c r="D224" s="40"/>
    </row>
    <row r="225" spans="2:4" x14ac:dyDescent="0.25">
      <c r="C225" s="40"/>
      <c r="D225" s="40"/>
    </row>
    <row r="226" spans="2:4" x14ac:dyDescent="0.25">
      <c r="B226" s="7"/>
      <c r="C226" s="45"/>
      <c r="D226" s="45"/>
    </row>
    <row r="227" spans="2:4" x14ac:dyDescent="0.25">
      <c r="C227" s="40"/>
      <c r="D227" s="40"/>
    </row>
    <row r="228" spans="2:4" x14ac:dyDescent="0.25">
      <c r="C228" s="40"/>
      <c r="D228" s="40"/>
    </row>
    <row r="229" spans="2:4" x14ac:dyDescent="0.25">
      <c r="B229" s="7"/>
      <c r="C229" s="45"/>
      <c r="D229" s="45"/>
    </row>
    <row r="231" spans="2:4" x14ac:dyDescent="0.25">
      <c r="B231" s="9"/>
    </row>
    <row r="244" spans="1:4" x14ac:dyDescent="0.25">
      <c r="A244" s="8"/>
      <c r="B244" s="9"/>
    </row>
    <row r="245" spans="1:4" x14ac:dyDescent="0.25">
      <c r="A245" s="15"/>
      <c r="B245" s="3"/>
    </row>
    <row r="246" spans="1:4" x14ac:dyDescent="0.25">
      <c r="A246" s="15"/>
      <c r="B246" s="3"/>
    </row>
    <row r="247" spans="1:4" x14ac:dyDescent="0.25">
      <c r="A247" s="15"/>
      <c r="B247" s="3"/>
    </row>
    <row r="248" spans="1:4" x14ac:dyDescent="0.25">
      <c r="A248" s="15"/>
      <c r="B248" s="3"/>
    </row>
    <row r="249" spans="1:4" x14ac:dyDescent="0.25">
      <c r="A249" s="15"/>
      <c r="B249" s="3"/>
    </row>
    <row r="252" spans="1:4" x14ac:dyDescent="0.25">
      <c r="B252" s="7"/>
      <c r="C252" s="3"/>
      <c r="D252" s="3"/>
    </row>
    <row r="254" spans="1:4" x14ac:dyDescent="0.25">
      <c r="B254" s="1"/>
      <c r="C254" s="4"/>
      <c r="D254" s="4"/>
    </row>
    <row r="255" spans="1:4" x14ac:dyDescent="0.25">
      <c r="C255" s="40"/>
      <c r="D255" s="40"/>
    </row>
    <row r="256" spans="1:4" x14ac:dyDescent="0.25">
      <c r="C256" s="40"/>
      <c r="D256" s="40"/>
    </row>
    <row r="257" spans="3:4" x14ac:dyDescent="0.25">
      <c r="C257" s="40"/>
      <c r="D257" s="40"/>
    </row>
    <row r="258" spans="3:4" x14ac:dyDescent="0.25">
      <c r="C258" s="40"/>
      <c r="D258" s="40"/>
    </row>
    <row r="259" spans="3:4" x14ac:dyDescent="0.25">
      <c r="C259" s="40"/>
      <c r="D259" s="40"/>
    </row>
    <row r="260" spans="3:4" x14ac:dyDescent="0.25">
      <c r="C260" s="40"/>
      <c r="D260" s="40"/>
    </row>
    <row r="261" spans="3:4" x14ac:dyDescent="0.25">
      <c r="C261" s="40"/>
      <c r="D261" s="40"/>
    </row>
    <row r="262" spans="3:4" x14ac:dyDescent="0.25">
      <c r="C262" s="40"/>
      <c r="D262" s="40"/>
    </row>
    <row r="263" spans="3:4" x14ac:dyDescent="0.25">
      <c r="C263" s="40"/>
      <c r="D263" s="4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2AB7-4F09-4B1C-BE79-7F0899279615}">
  <dimension ref="A2:X282"/>
  <sheetViews>
    <sheetView showGridLines="0" workbookViewId="0">
      <selection activeCell="L35" sqref="L35"/>
    </sheetView>
  </sheetViews>
  <sheetFormatPr defaultRowHeight="13.8" x14ac:dyDescent="0.25"/>
  <cols>
    <col min="1" max="1" width="6.44140625" style="2" bestFit="1" customWidth="1"/>
    <col min="2" max="2" width="11.5546875" style="2" bestFit="1" customWidth="1"/>
    <col min="3" max="8" width="4.77734375" style="2" customWidth="1"/>
    <col min="9" max="9" width="8" style="2" bestFit="1" customWidth="1"/>
    <col min="10" max="10" width="11.33203125" style="2" bestFit="1" customWidth="1"/>
    <col min="11" max="11" width="11.33203125" style="2" customWidth="1"/>
    <col min="12" max="12" width="8" style="2" bestFit="1" customWidth="1"/>
    <col min="13" max="13" width="13.44140625" style="2" bestFit="1" customWidth="1"/>
    <col min="14" max="14" width="4.6640625" style="2" customWidth="1"/>
    <col min="15" max="16" width="8.88671875" style="2"/>
    <col min="17" max="17" width="5.6640625" style="2" customWidth="1"/>
    <col min="18" max="18" width="5.5546875" style="2" bestFit="1" customWidth="1"/>
    <col min="19" max="19" width="6.77734375" style="2" bestFit="1" customWidth="1"/>
    <col min="20" max="20" width="13.44140625" style="2" bestFit="1" customWidth="1"/>
    <col min="21" max="21" width="6.88671875" style="2" bestFit="1" customWidth="1"/>
    <col min="22" max="22" width="4" style="2" bestFit="1" customWidth="1"/>
    <col min="23" max="23" width="8" style="2" bestFit="1" customWidth="1"/>
    <col min="24" max="24" width="12.33203125" style="2" bestFit="1" customWidth="1"/>
    <col min="25" max="16384" width="8.88671875" style="2"/>
  </cols>
  <sheetData>
    <row r="2" spans="1:24" ht="14.4" x14ac:dyDescent="0.3">
      <c r="A2" s="65" t="s">
        <v>43</v>
      </c>
      <c r="B2" s="8" t="s">
        <v>44</v>
      </c>
      <c r="C2" s="40"/>
    </row>
    <row r="3" spans="1:24" x14ac:dyDescent="0.25">
      <c r="A3" s="8"/>
      <c r="B3" s="8"/>
      <c r="C3" s="40"/>
      <c r="I3" s="6" t="s">
        <v>52</v>
      </c>
      <c r="J3" s="7"/>
      <c r="K3" s="7"/>
      <c r="L3" s="6" t="s">
        <v>0</v>
      </c>
    </row>
    <row r="5" spans="1:24" ht="14.4" x14ac:dyDescent="0.3">
      <c r="A5" s="63" t="s">
        <v>5</v>
      </c>
      <c r="B5"/>
      <c r="C5"/>
      <c r="D5"/>
      <c r="E5"/>
      <c r="F5"/>
      <c r="G5"/>
      <c r="H5"/>
      <c r="I5" s="4" t="s">
        <v>27</v>
      </c>
      <c r="J5" s="1" t="s">
        <v>29</v>
      </c>
      <c r="K5" s="1"/>
      <c r="L5" s="4" t="s">
        <v>27</v>
      </c>
      <c r="M5" s="1" t="s">
        <v>29</v>
      </c>
      <c r="O5" s="2" t="b">
        <f>I5=L5</f>
        <v>1</v>
      </c>
      <c r="P5" s="2" t="b">
        <f>J5=M5</f>
        <v>1</v>
      </c>
      <c r="R5" s="4" t="s">
        <v>1</v>
      </c>
      <c r="S5" s="4" t="s">
        <v>3</v>
      </c>
      <c r="T5" s="4" t="s">
        <v>29</v>
      </c>
      <c r="U5" s="4" t="s">
        <v>30</v>
      </c>
      <c r="V5" s="4" t="s">
        <v>31</v>
      </c>
      <c r="W5" s="4" t="s">
        <v>32</v>
      </c>
      <c r="X5" s="4" t="s">
        <v>33</v>
      </c>
    </row>
    <row r="6" spans="1:24" ht="14.4" x14ac:dyDescent="0.3">
      <c r="A6" s="14"/>
      <c r="B6"/>
      <c r="C6"/>
      <c r="D6"/>
      <c r="E6"/>
      <c r="F6"/>
      <c r="G6"/>
      <c r="H6"/>
      <c r="I6" s="3">
        <v>2025</v>
      </c>
      <c r="J6" s="40">
        <v>1260</v>
      </c>
      <c r="K6" s="40"/>
      <c r="L6" s="3">
        <v>2025</v>
      </c>
      <c r="M6" s="40">
        <v>1260</v>
      </c>
      <c r="O6" s="2" t="b">
        <f t="shared" ref="O6:O16" si="0">I6=L6</f>
        <v>1</v>
      </c>
      <c r="P6" s="2" t="b">
        <f t="shared" ref="P6:P16" si="1">J6=M6</f>
        <v>1</v>
      </c>
      <c r="R6" s="3" t="s">
        <v>96</v>
      </c>
      <c r="S6" s="3" t="s">
        <v>5</v>
      </c>
      <c r="T6" s="3" t="s">
        <v>68</v>
      </c>
      <c r="U6" s="40">
        <f>SUM(J6:J10)</f>
        <v>8401</v>
      </c>
      <c r="V6" s="3" t="s">
        <v>35</v>
      </c>
      <c r="W6" s="3" t="s">
        <v>36</v>
      </c>
      <c r="X6" s="3" t="s">
        <v>29</v>
      </c>
    </row>
    <row r="7" spans="1:24" ht="14.4" x14ac:dyDescent="0.3">
      <c r="A7" s="14"/>
      <c r="B7"/>
      <c r="C7"/>
      <c r="D7"/>
      <c r="E7"/>
      <c r="F7"/>
      <c r="G7"/>
      <c r="H7"/>
      <c r="I7" s="3">
        <v>2026</v>
      </c>
      <c r="J7" s="40">
        <v>700</v>
      </c>
      <c r="K7" s="40"/>
      <c r="L7" s="3">
        <v>2026</v>
      </c>
      <c r="M7" s="40">
        <v>700</v>
      </c>
      <c r="O7" s="2" t="b">
        <f t="shared" si="0"/>
        <v>1</v>
      </c>
      <c r="P7" s="2" t="b">
        <f t="shared" si="1"/>
        <v>1</v>
      </c>
      <c r="R7" s="3" t="s">
        <v>96</v>
      </c>
      <c r="S7" s="3" t="s">
        <v>5</v>
      </c>
      <c r="T7" s="3" t="s">
        <v>39</v>
      </c>
      <c r="U7" s="40">
        <f>SUM(J11:J13)</f>
        <v>3150</v>
      </c>
      <c r="V7" s="3" t="s">
        <v>35</v>
      </c>
      <c r="W7" s="3" t="s">
        <v>36</v>
      </c>
      <c r="X7" s="3" t="s">
        <v>29</v>
      </c>
    </row>
    <row r="8" spans="1:24" ht="14.4" x14ac:dyDescent="0.3">
      <c r="B8"/>
      <c r="C8"/>
      <c r="D8"/>
      <c r="E8"/>
      <c r="F8"/>
      <c r="G8"/>
      <c r="H8"/>
      <c r="I8" s="3">
        <v>2027</v>
      </c>
      <c r="J8" s="40">
        <v>1882</v>
      </c>
      <c r="K8" s="40"/>
      <c r="L8" s="3">
        <v>2027</v>
      </c>
      <c r="M8" s="40">
        <v>1882</v>
      </c>
      <c r="O8" s="2" t="b">
        <f t="shared" si="0"/>
        <v>1</v>
      </c>
      <c r="P8" s="2" t="b">
        <f t="shared" si="1"/>
        <v>1</v>
      </c>
      <c r="R8" s="3" t="s">
        <v>96</v>
      </c>
      <c r="S8" s="3" t="s">
        <v>5</v>
      </c>
      <c r="T8" s="3" t="s">
        <v>69</v>
      </c>
      <c r="U8" s="40">
        <f>SUM(J14:J15)</f>
        <v>1776</v>
      </c>
      <c r="V8" s="3" t="s">
        <v>35</v>
      </c>
      <c r="W8" s="3" t="s">
        <v>36</v>
      </c>
      <c r="X8" s="3" t="s">
        <v>29</v>
      </c>
    </row>
    <row r="9" spans="1:24" ht="14.4" x14ac:dyDescent="0.3">
      <c r="B9"/>
      <c r="C9"/>
      <c r="D9"/>
      <c r="E9"/>
      <c r="F9"/>
      <c r="G9"/>
      <c r="H9"/>
      <c r="I9" s="3">
        <v>2028</v>
      </c>
      <c r="J9" s="40">
        <v>2474</v>
      </c>
      <c r="K9" s="40"/>
      <c r="L9" s="3">
        <v>2028</v>
      </c>
      <c r="M9" s="40">
        <v>2474</v>
      </c>
      <c r="O9" s="2" t="b">
        <f t="shared" si="0"/>
        <v>1</v>
      </c>
      <c r="P9" s="2" t="b">
        <f t="shared" si="1"/>
        <v>1</v>
      </c>
      <c r="R9" s="3" t="s">
        <v>96</v>
      </c>
      <c r="S9" s="3" t="s">
        <v>5</v>
      </c>
      <c r="T9" s="3" t="s">
        <v>41</v>
      </c>
      <c r="U9" s="40">
        <f>SUM(U6:U8)</f>
        <v>13327</v>
      </c>
      <c r="V9" s="3" t="s">
        <v>35</v>
      </c>
      <c r="W9" s="3" t="s">
        <v>36</v>
      </c>
      <c r="X9" s="3" t="s">
        <v>29</v>
      </c>
    </row>
    <row r="10" spans="1:24" ht="14.4" x14ac:dyDescent="0.3">
      <c r="B10"/>
      <c r="C10"/>
      <c r="D10"/>
      <c r="E10"/>
      <c r="F10"/>
      <c r="G10"/>
      <c r="H10"/>
      <c r="I10" s="3">
        <v>2029</v>
      </c>
      <c r="J10" s="40">
        <v>2085</v>
      </c>
      <c r="K10" s="40"/>
      <c r="L10" s="3">
        <v>2029</v>
      </c>
      <c r="M10" s="40">
        <v>2085</v>
      </c>
      <c r="O10" s="2" t="b">
        <f t="shared" si="0"/>
        <v>1</v>
      </c>
      <c r="P10" s="2" t="b">
        <f t="shared" si="1"/>
        <v>1</v>
      </c>
    </row>
    <row r="11" spans="1:24" ht="14.4" x14ac:dyDescent="0.3">
      <c r="A11" s="39"/>
      <c r="B11"/>
      <c r="C11"/>
      <c r="D11"/>
      <c r="E11"/>
      <c r="F11"/>
      <c r="G11"/>
      <c r="H11"/>
      <c r="I11" s="3">
        <v>2030</v>
      </c>
      <c r="J11" s="40">
        <v>750</v>
      </c>
      <c r="K11" s="40"/>
      <c r="L11" s="3">
        <v>2030</v>
      </c>
      <c r="M11" s="40">
        <v>750</v>
      </c>
      <c r="O11" s="2" t="b">
        <f t="shared" si="0"/>
        <v>1</v>
      </c>
      <c r="P11" s="2" t="b">
        <f t="shared" si="1"/>
        <v>1</v>
      </c>
    </row>
    <row r="12" spans="1:24" ht="14.4" x14ac:dyDescent="0.3">
      <c r="A12" s="39"/>
      <c r="B12"/>
      <c r="C12"/>
      <c r="D12"/>
      <c r="E12"/>
      <c r="F12"/>
      <c r="G12"/>
      <c r="H12"/>
      <c r="I12" s="3">
        <v>2031</v>
      </c>
      <c r="J12" s="40">
        <v>1350</v>
      </c>
      <c r="K12" s="40"/>
      <c r="L12" s="3">
        <v>2031</v>
      </c>
      <c r="M12" s="40">
        <v>1350</v>
      </c>
      <c r="O12" s="2" t="b">
        <f t="shared" si="0"/>
        <v>1</v>
      </c>
      <c r="P12" s="2" t="b">
        <f t="shared" si="1"/>
        <v>1</v>
      </c>
    </row>
    <row r="13" spans="1:24" ht="14.4" x14ac:dyDescent="0.3">
      <c r="B13"/>
      <c r="C13"/>
      <c r="D13"/>
      <c r="E13"/>
      <c r="F13"/>
      <c r="G13"/>
      <c r="H13"/>
      <c r="I13" s="3">
        <v>2032</v>
      </c>
      <c r="J13" s="40">
        <v>1050</v>
      </c>
      <c r="K13" s="40"/>
      <c r="L13" s="3">
        <v>2032</v>
      </c>
      <c r="M13" s="40">
        <v>1050</v>
      </c>
      <c r="O13" s="2" t="b">
        <f t="shared" si="0"/>
        <v>1</v>
      </c>
      <c r="P13" s="2" t="b">
        <f t="shared" si="1"/>
        <v>1</v>
      </c>
    </row>
    <row r="14" spans="1:24" ht="14.4" x14ac:dyDescent="0.3">
      <c r="B14"/>
      <c r="C14"/>
      <c r="D14"/>
      <c r="E14"/>
      <c r="F14"/>
      <c r="G14"/>
      <c r="H14"/>
      <c r="I14" s="3">
        <v>2034</v>
      </c>
      <c r="J14" s="40">
        <v>626</v>
      </c>
      <c r="K14" s="40"/>
      <c r="L14" s="3">
        <v>2034</v>
      </c>
      <c r="M14" s="40">
        <v>626</v>
      </c>
      <c r="O14" s="2" t="b">
        <f t="shared" si="0"/>
        <v>1</v>
      </c>
      <c r="P14" s="2" t="b">
        <f t="shared" si="1"/>
        <v>1</v>
      </c>
    </row>
    <row r="15" spans="1:24" ht="14.4" x14ac:dyDescent="0.3">
      <c r="B15"/>
      <c r="C15"/>
      <c r="D15"/>
      <c r="E15"/>
      <c r="F15"/>
      <c r="G15"/>
      <c r="H15"/>
      <c r="I15" s="3" t="s">
        <v>26</v>
      </c>
      <c r="J15" s="40">
        <v>1150</v>
      </c>
      <c r="K15" s="40"/>
      <c r="L15" s="3" t="s">
        <v>26</v>
      </c>
      <c r="M15" s="40">
        <v>1150</v>
      </c>
      <c r="O15" s="2" t="b">
        <f t="shared" si="0"/>
        <v>1</v>
      </c>
      <c r="P15" s="2" t="b">
        <f t="shared" si="1"/>
        <v>1</v>
      </c>
    </row>
    <row r="16" spans="1:24" ht="14.4" x14ac:dyDescent="0.3">
      <c r="B16"/>
      <c r="C16"/>
      <c r="D16"/>
      <c r="E16"/>
      <c r="F16"/>
      <c r="G16"/>
      <c r="H16"/>
      <c r="I16" s="6" t="s">
        <v>8</v>
      </c>
      <c r="J16" s="45">
        <f>SUM(J6:J15)</f>
        <v>13327</v>
      </c>
      <c r="K16" s="40"/>
      <c r="L16" s="6" t="s">
        <v>8</v>
      </c>
      <c r="M16" s="45">
        <f>SUM(M6:M15)</f>
        <v>13327</v>
      </c>
      <c r="O16" s="2" t="b">
        <f t="shared" si="0"/>
        <v>1</v>
      </c>
      <c r="P16" s="2" t="b">
        <f t="shared" si="1"/>
        <v>1</v>
      </c>
    </row>
    <row r="17" spans="1:24" ht="14.4" x14ac:dyDescent="0.3">
      <c r="B17"/>
      <c r="C17"/>
      <c r="D17"/>
      <c r="E17"/>
      <c r="F17"/>
      <c r="G17"/>
      <c r="H17"/>
      <c r="I17" s="3"/>
      <c r="J17" s="40"/>
      <c r="K17" s="40"/>
      <c r="N17"/>
    </row>
    <row r="18" spans="1:24" ht="14.4" x14ac:dyDescent="0.3">
      <c r="B18"/>
      <c r="C18"/>
      <c r="D18"/>
      <c r="E18"/>
      <c r="F18"/>
      <c r="G18"/>
      <c r="H18"/>
      <c r="K18" s="40"/>
      <c r="L18" s="78" t="s">
        <v>2</v>
      </c>
      <c r="M18" s="13">
        <v>1</v>
      </c>
      <c r="N18"/>
    </row>
    <row r="19" spans="1:24" ht="14.4" x14ac:dyDescent="0.3">
      <c r="B19"/>
      <c r="C19"/>
      <c r="D19"/>
      <c r="E19"/>
      <c r="F19"/>
      <c r="G19"/>
      <c r="H19"/>
      <c r="I19" s="3"/>
      <c r="J19" s="40"/>
      <c r="K19" s="40"/>
      <c r="N19"/>
    </row>
    <row r="20" spans="1:24" ht="14.4" x14ac:dyDescent="0.3">
      <c r="B20"/>
      <c r="C20"/>
      <c r="D20"/>
      <c r="E20"/>
      <c r="F20"/>
      <c r="G20"/>
      <c r="H20"/>
      <c r="I20" s="6" t="s">
        <v>52</v>
      </c>
      <c r="J20" s="7"/>
      <c r="K20" s="7"/>
      <c r="L20" s="6" t="s">
        <v>0</v>
      </c>
      <c r="N20"/>
    </row>
    <row r="21" spans="1:24" ht="14.4" x14ac:dyDescent="0.3">
      <c r="B21"/>
      <c r="C21"/>
      <c r="D21"/>
      <c r="E21"/>
      <c r="F21"/>
      <c r="G21"/>
      <c r="H21"/>
      <c r="I21" s="3"/>
      <c r="L21" s="3"/>
    </row>
    <row r="22" spans="1:24" ht="14.4" x14ac:dyDescent="0.3">
      <c r="A22" s="63" t="s">
        <v>4</v>
      </c>
      <c r="B22"/>
      <c r="C22"/>
      <c r="D22"/>
      <c r="E22"/>
      <c r="F22"/>
      <c r="G22"/>
      <c r="H22"/>
      <c r="I22" s="4" t="s">
        <v>27</v>
      </c>
      <c r="J22" s="1" t="s">
        <v>29</v>
      </c>
      <c r="K22" s="1"/>
      <c r="L22" s="4" t="s">
        <v>27</v>
      </c>
      <c r="M22" s="1" t="s">
        <v>29</v>
      </c>
      <c r="O22" s="2" t="b">
        <f>I22=L22</f>
        <v>1</v>
      </c>
      <c r="P22" s="2" t="b">
        <f>J22=M22</f>
        <v>1</v>
      </c>
      <c r="R22" s="4" t="s">
        <v>1</v>
      </c>
      <c r="S22" s="4" t="s">
        <v>3</v>
      </c>
      <c r="T22" s="4" t="s">
        <v>29</v>
      </c>
      <c r="U22" s="4" t="s">
        <v>30</v>
      </c>
      <c r="V22" s="4" t="s">
        <v>31</v>
      </c>
      <c r="W22" s="4" t="s">
        <v>32</v>
      </c>
      <c r="X22" s="4" t="s">
        <v>33</v>
      </c>
    </row>
    <row r="23" spans="1:24" ht="14.4" x14ac:dyDescent="0.3">
      <c r="A23" s="14"/>
      <c r="B23"/>
      <c r="C23"/>
      <c r="D23"/>
      <c r="E23"/>
      <c r="F23"/>
      <c r="G23"/>
      <c r="H23"/>
      <c r="I23" s="3">
        <v>2025</v>
      </c>
      <c r="J23" s="40">
        <v>1260</v>
      </c>
      <c r="K23" s="40"/>
      <c r="L23" s="3">
        <v>2025</v>
      </c>
      <c r="M23" s="40">
        <v>1260</v>
      </c>
      <c r="O23" s="2" t="b">
        <f t="shared" ref="O23:O32" si="2">I23=L23</f>
        <v>1</v>
      </c>
      <c r="P23" s="2" t="b">
        <f t="shared" ref="P23:P32" si="3">J23=M23</f>
        <v>1</v>
      </c>
      <c r="R23" s="3" t="s">
        <v>96</v>
      </c>
      <c r="S23" s="3" t="s">
        <v>4</v>
      </c>
      <c r="T23" s="3" t="s">
        <v>68</v>
      </c>
      <c r="U23" s="40">
        <f>SUM(J23:J27)</f>
        <v>8474</v>
      </c>
      <c r="V23" s="3" t="s">
        <v>35</v>
      </c>
      <c r="W23" s="3" t="s">
        <v>36</v>
      </c>
      <c r="X23" s="3" t="s">
        <v>29</v>
      </c>
    </row>
    <row r="24" spans="1:24" ht="14.4" x14ac:dyDescent="0.3">
      <c r="B24"/>
      <c r="C24"/>
      <c r="D24"/>
      <c r="E24"/>
      <c r="F24"/>
      <c r="G24"/>
      <c r="H24"/>
      <c r="I24" s="3">
        <v>2026</v>
      </c>
      <c r="J24" s="40">
        <v>700</v>
      </c>
      <c r="K24" s="40"/>
      <c r="L24" s="3">
        <v>2026</v>
      </c>
      <c r="M24" s="40">
        <v>700</v>
      </c>
      <c r="O24" s="2" t="b">
        <f t="shared" si="2"/>
        <v>1</v>
      </c>
      <c r="P24" s="2" t="b">
        <f t="shared" si="3"/>
        <v>1</v>
      </c>
      <c r="R24" s="3" t="s">
        <v>96</v>
      </c>
      <c r="S24" s="3" t="s">
        <v>4</v>
      </c>
      <c r="T24" s="3" t="s">
        <v>39</v>
      </c>
      <c r="U24" s="40">
        <f>SUM(J28:J30)</f>
        <v>3150</v>
      </c>
      <c r="V24" s="3" t="s">
        <v>35</v>
      </c>
      <c r="W24" s="3" t="s">
        <v>36</v>
      </c>
      <c r="X24" s="3" t="s">
        <v>29</v>
      </c>
    </row>
    <row r="25" spans="1:24" ht="14.4" x14ac:dyDescent="0.3">
      <c r="B25"/>
      <c r="C25"/>
      <c r="D25"/>
      <c r="E25"/>
      <c r="F25"/>
      <c r="G25"/>
      <c r="H25"/>
      <c r="I25" s="3">
        <v>2027</v>
      </c>
      <c r="J25" s="40">
        <v>1907</v>
      </c>
      <c r="K25" s="40"/>
      <c r="L25" s="3">
        <v>2027</v>
      </c>
      <c r="M25" s="40">
        <v>1907</v>
      </c>
      <c r="O25" s="2" t="b">
        <f t="shared" si="2"/>
        <v>1</v>
      </c>
      <c r="P25" s="2" t="b">
        <f t="shared" si="3"/>
        <v>1</v>
      </c>
      <c r="R25" s="3" t="s">
        <v>96</v>
      </c>
      <c r="S25" s="3" t="s">
        <v>4</v>
      </c>
      <c r="T25" s="3" t="s">
        <v>69</v>
      </c>
      <c r="U25" s="40">
        <f>J31</f>
        <v>1820</v>
      </c>
      <c r="V25" s="3" t="s">
        <v>35</v>
      </c>
      <c r="W25" s="3" t="s">
        <v>36</v>
      </c>
      <c r="X25" s="3" t="s">
        <v>29</v>
      </c>
    </row>
    <row r="26" spans="1:24" ht="14.4" x14ac:dyDescent="0.3">
      <c r="B26"/>
      <c r="C26"/>
      <c r="D26"/>
      <c r="E26"/>
      <c r="F26"/>
      <c r="G26"/>
      <c r="H26"/>
      <c r="I26" s="3">
        <v>2028</v>
      </c>
      <c r="J26" s="40">
        <v>2522</v>
      </c>
      <c r="K26" s="40"/>
      <c r="L26" s="3">
        <v>2028</v>
      </c>
      <c r="M26" s="40">
        <v>2522</v>
      </c>
      <c r="O26" s="2" t="b">
        <f t="shared" si="2"/>
        <v>1</v>
      </c>
      <c r="P26" s="2" t="b">
        <f t="shared" si="3"/>
        <v>1</v>
      </c>
      <c r="R26" s="3" t="s">
        <v>96</v>
      </c>
      <c r="S26" s="3" t="s">
        <v>4</v>
      </c>
      <c r="T26" s="3" t="s">
        <v>41</v>
      </c>
      <c r="U26" s="40">
        <f>SUM(U23:U25)</f>
        <v>13444</v>
      </c>
      <c r="V26" s="3" t="s">
        <v>35</v>
      </c>
      <c r="W26" s="3" t="s">
        <v>36</v>
      </c>
      <c r="X26" s="3" t="s">
        <v>29</v>
      </c>
    </row>
    <row r="27" spans="1:24" ht="14.4" x14ac:dyDescent="0.3">
      <c r="A27" s="39"/>
      <c r="B27"/>
      <c r="C27"/>
      <c r="D27"/>
      <c r="E27"/>
      <c r="F27"/>
      <c r="G27"/>
      <c r="H27"/>
      <c r="I27" s="3">
        <v>2029</v>
      </c>
      <c r="J27" s="40">
        <v>2085</v>
      </c>
      <c r="K27" s="40"/>
      <c r="L27" s="3">
        <v>2029</v>
      </c>
      <c r="M27" s="40">
        <v>2085</v>
      </c>
      <c r="O27" s="2" t="b">
        <f t="shared" si="2"/>
        <v>1</v>
      </c>
      <c r="P27" s="2" t="b">
        <f t="shared" si="3"/>
        <v>1</v>
      </c>
    </row>
    <row r="28" spans="1:24" ht="14.4" x14ac:dyDescent="0.3">
      <c r="A28" s="39"/>
      <c r="B28"/>
      <c r="C28"/>
      <c r="D28"/>
      <c r="E28"/>
      <c r="F28"/>
      <c r="G28"/>
      <c r="H28"/>
      <c r="I28" s="3">
        <v>2030</v>
      </c>
      <c r="J28" s="40">
        <v>750</v>
      </c>
      <c r="K28" s="40"/>
      <c r="L28" s="3">
        <v>2030</v>
      </c>
      <c r="M28" s="40">
        <v>750</v>
      </c>
      <c r="O28" s="2" t="b">
        <f t="shared" si="2"/>
        <v>1</v>
      </c>
      <c r="P28" s="2" t="b">
        <f t="shared" si="3"/>
        <v>1</v>
      </c>
    </row>
    <row r="29" spans="1:24" ht="14.4" x14ac:dyDescent="0.3">
      <c r="B29"/>
      <c r="C29"/>
      <c r="D29"/>
      <c r="E29"/>
      <c r="F29"/>
      <c r="G29"/>
      <c r="H29"/>
      <c r="I29" s="3">
        <v>2031</v>
      </c>
      <c r="J29" s="40">
        <v>1350</v>
      </c>
      <c r="K29" s="40"/>
      <c r="L29" s="3">
        <v>2031</v>
      </c>
      <c r="M29" s="40">
        <v>1350</v>
      </c>
      <c r="O29" s="2" t="b">
        <f t="shared" si="2"/>
        <v>1</v>
      </c>
      <c r="P29" s="2" t="b">
        <f t="shared" si="3"/>
        <v>1</v>
      </c>
    </row>
    <row r="30" spans="1:24" ht="14.4" x14ac:dyDescent="0.3">
      <c r="B30"/>
      <c r="C30"/>
      <c r="D30"/>
      <c r="E30"/>
      <c r="F30"/>
      <c r="G30"/>
      <c r="H30"/>
      <c r="I30" s="3">
        <v>2032</v>
      </c>
      <c r="J30" s="40">
        <v>1050</v>
      </c>
      <c r="K30" s="40"/>
      <c r="L30" s="3">
        <v>2032</v>
      </c>
      <c r="M30" s="40">
        <v>1050</v>
      </c>
      <c r="O30" s="2" t="b">
        <f t="shared" si="2"/>
        <v>1</v>
      </c>
      <c r="P30" s="2" t="b">
        <f t="shared" si="3"/>
        <v>1</v>
      </c>
    </row>
    <row r="31" spans="1:24" ht="14.4" x14ac:dyDescent="0.3">
      <c r="B31"/>
      <c r="C31"/>
      <c r="D31"/>
      <c r="E31"/>
      <c r="F31"/>
      <c r="G31"/>
      <c r="H31"/>
      <c r="I31" s="3" t="s">
        <v>26</v>
      </c>
      <c r="J31" s="40">
        <v>1820</v>
      </c>
      <c r="K31" s="40"/>
      <c r="L31" s="3" t="s">
        <v>26</v>
      </c>
      <c r="M31" s="40">
        <v>1820</v>
      </c>
      <c r="O31" s="2" t="b">
        <f t="shared" si="2"/>
        <v>1</v>
      </c>
      <c r="P31" s="2" t="b">
        <f t="shared" si="3"/>
        <v>1</v>
      </c>
    </row>
    <row r="32" spans="1:24" ht="14.4" x14ac:dyDescent="0.3">
      <c r="B32"/>
      <c r="C32"/>
      <c r="D32"/>
      <c r="E32"/>
      <c r="F32"/>
      <c r="G32"/>
      <c r="H32"/>
      <c r="I32" s="6" t="s">
        <v>8</v>
      </c>
      <c r="J32" s="45">
        <f>SUM(J23:J31)</f>
        <v>13444</v>
      </c>
      <c r="K32" s="40"/>
      <c r="L32" s="6" t="s">
        <v>8</v>
      </c>
      <c r="M32" s="45">
        <f>SUM(M23:M31)</f>
        <v>13444</v>
      </c>
      <c r="O32" s="2" t="b">
        <f t="shared" si="2"/>
        <v>1</v>
      </c>
      <c r="P32" s="2" t="b">
        <f t="shared" si="3"/>
        <v>1</v>
      </c>
    </row>
    <row r="33" spans="1:24" ht="14.4" x14ac:dyDescent="0.3">
      <c r="B33"/>
      <c r="C33"/>
      <c r="D33"/>
      <c r="E33"/>
      <c r="F33"/>
      <c r="G33"/>
      <c r="H33"/>
      <c r="I33" s="6"/>
      <c r="J33" s="45"/>
      <c r="K33" s="40"/>
      <c r="L33" s="6"/>
      <c r="M33" s="45"/>
    </row>
    <row r="34" spans="1:24" ht="14.4" x14ac:dyDescent="0.3">
      <c r="B34"/>
      <c r="C34"/>
      <c r="D34"/>
      <c r="E34"/>
      <c r="F34"/>
      <c r="G34"/>
      <c r="H34"/>
      <c r="K34" s="40"/>
      <c r="L34" s="78" t="s">
        <v>2</v>
      </c>
      <c r="M34" s="13">
        <v>1</v>
      </c>
    </row>
    <row r="35" spans="1:24" ht="14.4" x14ac:dyDescent="0.3">
      <c r="B35"/>
      <c r="C35"/>
      <c r="D35"/>
      <c r="E35"/>
      <c r="F35"/>
      <c r="G35"/>
      <c r="H35"/>
      <c r="I35" s="3"/>
      <c r="J35" s="40"/>
      <c r="K35" s="40"/>
    </row>
    <row r="36" spans="1:24" ht="14.4" x14ac:dyDescent="0.3">
      <c r="B36"/>
      <c r="C36"/>
      <c r="D36"/>
      <c r="E36"/>
      <c r="F36"/>
      <c r="G36"/>
      <c r="H36"/>
      <c r="I36" s="6" t="s">
        <v>52</v>
      </c>
      <c r="J36" s="7"/>
      <c r="K36" s="7"/>
      <c r="L36" s="6" t="s">
        <v>0</v>
      </c>
    </row>
    <row r="37" spans="1:24" ht="14.4" x14ac:dyDescent="0.3">
      <c r="B37"/>
      <c r="C37"/>
      <c r="D37"/>
      <c r="E37"/>
      <c r="F37"/>
      <c r="G37"/>
      <c r="H37"/>
      <c r="I37" s="3"/>
      <c r="J37" s="45"/>
      <c r="K37" s="45"/>
      <c r="L37" s="3"/>
      <c r="M37" s="45"/>
    </row>
    <row r="38" spans="1:24" ht="14.4" x14ac:dyDescent="0.3">
      <c r="A38" s="63" t="s">
        <v>6</v>
      </c>
      <c r="B38"/>
      <c r="C38"/>
      <c r="D38"/>
      <c r="E38"/>
      <c r="F38"/>
      <c r="G38"/>
      <c r="H38"/>
      <c r="I38" s="4" t="s">
        <v>27</v>
      </c>
      <c r="J38" s="1" t="s">
        <v>29</v>
      </c>
      <c r="K38" s="1"/>
      <c r="L38" s="4" t="s">
        <v>27</v>
      </c>
      <c r="M38" s="1" t="s">
        <v>29</v>
      </c>
      <c r="O38" s="2" t="b">
        <f>I38=L38</f>
        <v>1</v>
      </c>
      <c r="P38" s="2" t="b">
        <f>J38=M38</f>
        <v>1</v>
      </c>
      <c r="R38" s="4" t="s">
        <v>1</v>
      </c>
      <c r="S38" s="4" t="s">
        <v>3</v>
      </c>
      <c r="T38" s="4" t="s">
        <v>29</v>
      </c>
      <c r="U38" s="4" t="s">
        <v>30</v>
      </c>
      <c r="V38" s="4" t="s">
        <v>31</v>
      </c>
      <c r="W38" s="4" t="s">
        <v>32</v>
      </c>
      <c r="X38" s="4" t="s">
        <v>33</v>
      </c>
    </row>
    <row r="39" spans="1:24" ht="14.4" x14ac:dyDescent="0.3">
      <c r="B39"/>
      <c r="C39"/>
      <c r="D39"/>
      <c r="E39"/>
      <c r="F39"/>
      <c r="G39"/>
      <c r="H39"/>
      <c r="I39" s="3">
        <v>2025</v>
      </c>
      <c r="J39" s="40">
        <v>1260</v>
      </c>
      <c r="K39" s="40"/>
      <c r="L39" s="3">
        <v>2025</v>
      </c>
      <c r="M39" s="40">
        <v>1260</v>
      </c>
      <c r="O39" s="2" t="b">
        <f t="shared" ref="O39:O48" si="4">I39=L39</f>
        <v>1</v>
      </c>
      <c r="P39" s="2" t="b">
        <f t="shared" ref="P39:P48" si="5">J39=M39</f>
        <v>1</v>
      </c>
      <c r="R39" s="3" t="s">
        <v>96</v>
      </c>
      <c r="S39" s="3" t="s">
        <v>6</v>
      </c>
      <c r="T39" s="3" t="s">
        <v>68</v>
      </c>
      <c r="U39" s="40">
        <f>SUM(J39:J43)</f>
        <v>7392</v>
      </c>
      <c r="V39" s="3" t="s">
        <v>35</v>
      </c>
      <c r="W39" s="3" t="s">
        <v>36</v>
      </c>
      <c r="X39" s="3" t="s">
        <v>29</v>
      </c>
    </row>
    <row r="40" spans="1:24" ht="14.4" x14ac:dyDescent="0.3">
      <c r="B40"/>
      <c r="C40"/>
      <c r="D40"/>
      <c r="E40"/>
      <c r="F40"/>
      <c r="G40"/>
      <c r="H40"/>
      <c r="I40" s="3">
        <v>2026</v>
      </c>
      <c r="J40" s="40">
        <v>700</v>
      </c>
      <c r="K40" s="40"/>
      <c r="L40" s="3">
        <v>2026</v>
      </c>
      <c r="M40" s="40">
        <v>700</v>
      </c>
      <c r="O40" s="2" t="b">
        <f t="shared" si="4"/>
        <v>1</v>
      </c>
      <c r="P40" s="2" t="b">
        <f t="shared" si="5"/>
        <v>1</v>
      </c>
      <c r="R40" s="3" t="s">
        <v>96</v>
      </c>
      <c r="S40" s="3" t="s">
        <v>6</v>
      </c>
      <c r="T40" s="3" t="s">
        <v>39</v>
      </c>
      <c r="U40" s="40">
        <f>SUM(J44:J46)</f>
        <v>3150</v>
      </c>
      <c r="V40" s="3" t="s">
        <v>35</v>
      </c>
      <c r="W40" s="3" t="s">
        <v>36</v>
      </c>
      <c r="X40" s="3" t="s">
        <v>29</v>
      </c>
    </row>
    <row r="41" spans="1:24" ht="14.4" x14ac:dyDescent="0.3">
      <c r="B41"/>
      <c r="C41"/>
      <c r="D41"/>
      <c r="E41"/>
      <c r="F41"/>
      <c r="G41"/>
      <c r="H41"/>
      <c r="I41" s="3">
        <v>2027</v>
      </c>
      <c r="J41" s="40">
        <v>1902</v>
      </c>
      <c r="K41" s="40"/>
      <c r="L41" s="3">
        <v>2027</v>
      </c>
      <c r="M41" s="40">
        <v>1902</v>
      </c>
      <c r="O41" s="2" t="b">
        <f t="shared" si="4"/>
        <v>1</v>
      </c>
      <c r="P41" s="2" t="b">
        <f t="shared" si="5"/>
        <v>1</v>
      </c>
      <c r="R41" s="3" t="s">
        <v>96</v>
      </c>
      <c r="S41" s="3" t="s">
        <v>6</v>
      </c>
      <c r="T41" s="3" t="s">
        <v>69</v>
      </c>
      <c r="U41" s="40">
        <f>J47</f>
        <v>1782</v>
      </c>
      <c r="V41" s="3" t="s">
        <v>35</v>
      </c>
      <c r="W41" s="3" t="s">
        <v>36</v>
      </c>
      <c r="X41" s="3" t="s">
        <v>29</v>
      </c>
    </row>
    <row r="42" spans="1:24" ht="14.4" x14ac:dyDescent="0.3">
      <c r="B42"/>
      <c r="C42"/>
      <c r="D42"/>
      <c r="E42"/>
      <c r="F42"/>
      <c r="G42"/>
      <c r="H42"/>
      <c r="I42" s="3">
        <v>2028</v>
      </c>
      <c r="J42" s="40">
        <v>2480</v>
      </c>
      <c r="K42" s="40"/>
      <c r="L42" s="3">
        <v>2028</v>
      </c>
      <c r="M42" s="40">
        <v>2480</v>
      </c>
      <c r="O42" s="2" t="b">
        <f t="shared" si="4"/>
        <v>1</v>
      </c>
      <c r="P42" s="2" t="b">
        <f t="shared" si="5"/>
        <v>1</v>
      </c>
      <c r="R42" s="3" t="s">
        <v>96</v>
      </c>
      <c r="S42" s="3" t="s">
        <v>6</v>
      </c>
      <c r="T42" s="3" t="s">
        <v>41</v>
      </c>
      <c r="U42" s="40">
        <f>SUM(U39:U41)</f>
        <v>12324</v>
      </c>
      <c r="V42" s="3" t="s">
        <v>35</v>
      </c>
      <c r="W42" s="3" t="s">
        <v>36</v>
      </c>
      <c r="X42" s="3" t="s">
        <v>29</v>
      </c>
    </row>
    <row r="43" spans="1:24" ht="14.4" x14ac:dyDescent="0.3">
      <c r="B43"/>
      <c r="C43"/>
      <c r="D43"/>
      <c r="E43"/>
      <c r="F43"/>
      <c r="G43"/>
      <c r="H43"/>
      <c r="I43" s="3">
        <v>2029</v>
      </c>
      <c r="J43" s="40">
        <v>1050</v>
      </c>
      <c r="K43" s="40"/>
      <c r="L43" s="3">
        <v>2029</v>
      </c>
      <c r="M43" s="40">
        <v>1050</v>
      </c>
      <c r="O43" s="2" t="b">
        <f t="shared" si="4"/>
        <v>1</v>
      </c>
      <c r="P43" s="2" t="b">
        <f t="shared" si="5"/>
        <v>1</v>
      </c>
    </row>
    <row r="44" spans="1:24" ht="14.4" x14ac:dyDescent="0.3">
      <c r="B44"/>
      <c r="C44"/>
      <c r="D44"/>
      <c r="E44"/>
      <c r="F44"/>
      <c r="G44"/>
      <c r="H44"/>
      <c r="I44" s="3">
        <v>2030</v>
      </c>
      <c r="J44" s="40">
        <v>750</v>
      </c>
      <c r="K44" s="40"/>
      <c r="L44" s="3">
        <v>2030</v>
      </c>
      <c r="M44" s="40">
        <v>750</v>
      </c>
      <c r="O44" s="2" t="b">
        <f t="shared" si="4"/>
        <v>1</v>
      </c>
      <c r="P44" s="2" t="b">
        <f t="shared" si="5"/>
        <v>1</v>
      </c>
    </row>
    <row r="45" spans="1:24" ht="14.4" x14ac:dyDescent="0.3">
      <c r="B45"/>
      <c r="C45"/>
      <c r="D45"/>
      <c r="E45"/>
      <c r="F45"/>
      <c r="G45"/>
      <c r="H45"/>
      <c r="I45" s="3">
        <v>2031</v>
      </c>
      <c r="J45" s="40">
        <v>1350</v>
      </c>
      <c r="K45" s="40"/>
      <c r="L45" s="3">
        <v>2031</v>
      </c>
      <c r="M45" s="40">
        <v>1350</v>
      </c>
      <c r="O45" s="2" t="b">
        <f t="shared" si="4"/>
        <v>1</v>
      </c>
      <c r="P45" s="2" t="b">
        <f t="shared" si="5"/>
        <v>1</v>
      </c>
    </row>
    <row r="46" spans="1:24" ht="14.4" x14ac:dyDescent="0.3">
      <c r="B46"/>
      <c r="C46"/>
      <c r="D46"/>
      <c r="E46"/>
      <c r="F46"/>
      <c r="G46"/>
      <c r="H46"/>
      <c r="I46" s="3">
        <v>2032</v>
      </c>
      <c r="J46" s="40">
        <v>1050</v>
      </c>
      <c r="K46" s="40"/>
      <c r="L46" s="3">
        <v>2032</v>
      </c>
      <c r="M46" s="40">
        <v>1050</v>
      </c>
      <c r="O46" s="2" t="b">
        <f t="shared" si="4"/>
        <v>1</v>
      </c>
      <c r="P46" s="2" t="b">
        <f t="shared" si="5"/>
        <v>1</v>
      </c>
    </row>
    <row r="47" spans="1:24" ht="14.4" x14ac:dyDescent="0.3">
      <c r="B47"/>
      <c r="C47"/>
      <c r="D47"/>
      <c r="E47"/>
      <c r="F47"/>
      <c r="G47"/>
      <c r="H47"/>
      <c r="I47" s="3" t="s">
        <v>26</v>
      </c>
      <c r="J47" s="40">
        <v>1782</v>
      </c>
      <c r="K47" s="40"/>
      <c r="L47" s="3" t="s">
        <v>26</v>
      </c>
      <c r="M47" s="40">
        <v>1782</v>
      </c>
      <c r="O47" s="2" t="b">
        <f t="shared" si="4"/>
        <v>1</v>
      </c>
      <c r="P47" s="2" t="b">
        <f t="shared" si="5"/>
        <v>1</v>
      </c>
    </row>
    <row r="48" spans="1:24" ht="14.4" x14ac:dyDescent="0.3">
      <c r="B48"/>
      <c r="C48"/>
      <c r="D48"/>
      <c r="E48"/>
      <c r="F48"/>
      <c r="G48"/>
      <c r="H48"/>
      <c r="I48" s="6" t="s">
        <v>8</v>
      </c>
      <c r="J48" s="45">
        <f>SUM(J39:J47)</f>
        <v>12324</v>
      </c>
      <c r="K48" s="40"/>
      <c r="L48" s="6" t="s">
        <v>8</v>
      </c>
      <c r="M48" s="45">
        <f>SUM(M39:M47)</f>
        <v>12324</v>
      </c>
      <c r="O48" s="2" t="b">
        <f t="shared" si="4"/>
        <v>1</v>
      </c>
      <c r="P48" s="2" t="b">
        <f t="shared" si="5"/>
        <v>1</v>
      </c>
    </row>
    <row r="49" spans="1:24" ht="14.4" x14ac:dyDescent="0.3">
      <c r="B49"/>
      <c r="C49"/>
      <c r="D49"/>
      <c r="E49"/>
      <c r="F49"/>
      <c r="G49"/>
      <c r="H49"/>
      <c r="I49" s="3"/>
      <c r="J49" s="40"/>
      <c r="K49" s="40"/>
      <c r="N49"/>
    </row>
    <row r="50" spans="1:24" ht="14.4" x14ac:dyDescent="0.3">
      <c r="B50"/>
      <c r="C50"/>
      <c r="D50"/>
      <c r="E50"/>
      <c r="F50"/>
      <c r="G50"/>
      <c r="H50"/>
      <c r="K50" s="40"/>
      <c r="L50" s="78" t="s">
        <v>2</v>
      </c>
      <c r="M50" s="13">
        <v>1</v>
      </c>
      <c r="N50"/>
    </row>
    <row r="51" spans="1:24" ht="14.4" x14ac:dyDescent="0.3">
      <c r="B51"/>
      <c r="C51"/>
      <c r="D51"/>
      <c r="E51"/>
      <c r="F51"/>
      <c r="G51"/>
      <c r="H51"/>
      <c r="I51" s="3"/>
      <c r="J51" s="40"/>
      <c r="K51" s="40"/>
      <c r="N51"/>
    </row>
    <row r="52" spans="1:24" ht="14.4" x14ac:dyDescent="0.3">
      <c r="B52"/>
      <c r="C52"/>
      <c r="D52"/>
      <c r="E52"/>
      <c r="F52"/>
      <c r="G52"/>
      <c r="H52"/>
      <c r="I52" s="6" t="s">
        <v>52</v>
      </c>
      <c r="J52" s="7"/>
      <c r="K52" s="7"/>
      <c r="L52" s="6" t="s">
        <v>0</v>
      </c>
      <c r="N52"/>
    </row>
    <row r="53" spans="1:24" ht="14.4" x14ac:dyDescent="0.3">
      <c r="B53"/>
      <c r="C53"/>
      <c r="D53"/>
      <c r="E53"/>
      <c r="F53"/>
      <c r="G53"/>
      <c r="H53"/>
      <c r="I53" s="3"/>
      <c r="J53" s="45"/>
      <c r="K53" s="45"/>
      <c r="L53" s="3"/>
      <c r="M53" s="45"/>
      <c r="P53" s="3"/>
    </row>
    <row r="54" spans="1:24" ht="14.4" x14ac:dyDescent="0.3">
      <c r="A54" s="63" t="s">
        <v>7</v>
      </c>
      <c r="B54"/>
      <c r="C54"/>
      <c r="D54"/>
      <c r="E54"/>
      <c r="F54"/>
      <c r="G54"/>
      <c r="H54"/>
      <c r="I54" s="4" t="s">
        <v>27</v>
      </c>
      <c r="J54" s="1" t="s">
        <v>29</v>
      </c>
      <c r="K54" s="1"/>
      <c r="L54" s="4" t="s">
        <v>27</v>
      </c>
      <c r="M54" s="1" t="s">
        <v>29</v>
      </c>
      <c r="O54" s="2" t="b">
        <f t="shared" ref="O54:O64" si="6">I54=L54</f>
        <v>1</v>
      </c>
      <c r="P54" s="2" t="b">
        <f t="shared" ref="P54:P64" si="7">J54=M54</f>
        <v>1</v>
      </c>
      <c r="R54" s="4" t="s">
        <v>1</v>
      </c>
      <c r="S54" s="4" t="s">
        <v>3</v>
      </c>
      <c r="T54" s="4" t="s">
        <v>29</v>
      </c>
      <c r="U54" s="4" t="s">
        <v>30</v>
      </c>
      <c r="V54" s="4" t="s">
        <v>31</v>
      </c>
      <c r="W54" s="4" t="s">
        <v>32</v>
      </c>
      <c r="X54" s="4" t="s">
        <v>33</v>
      </c>
    </row>
    <row r="55" spans="1:24" x14ac:dyDescent="0.25">
      <c r="I55" s="3">
        <v>2025</v>
      </c>
      <c r="J55" s="40">
        <v>1260</v>
      </c>
      <c r="K55" s="40"/>
      <c r="L55" s="3">
        <v>2025</v>
      </c>
      <c r="M55" s="40">
        <v>1260</v>
      </c>
      <c r="O55" s="2" t="b">
        <f t="shared" si="6"/>
        <v>1</v>
      </c>
      <c r="P55" s="2" t="b">
        <f t="shared" si="7"/>
        <v>1</v>
      </c>
      <c r="R55" s="3" t="s">
        <v>96</v>
      </c>
      <c r="S55" s="3" t="s">
        <v>7</v>
      </c>
      <c r="T55" s="3" t="s">
        <v>68</v>
      </c>
      <c r="U55" s="40">
        <f>SUM(J55:J59)</f>
        <v>7396</v>
      </c>
      <c r="V55" s="3" t="s">
        <v>35</v>
      </c>
      <c r="W55" s="3" t="s">
        <v>36</v>
      </c>
      <c r="X55" s="3" t="s">
        <v>29</v>
      </c>
    </row>
    <row r="56" spans="1:24" x14ac:dyDescent="0.25">
      <c r="I56" s="3">
        <v>2026</v>
      </c>
      <c r="J56" s="40">
        <v>700</v>
      </c>
      <c r="K56" s="40"/>
      <c r="L56" s="3">
        <v>2026</v>
      </c>
      <c r="M56" s="40">
        <v>700</v>
      </c>
      <c r="O56" s="2" t="b">
        <f t="shared" si="6"/>
        <v>1</v>
      </c>
      <c r="P56" s="2" t="b">
        <f t="shared" si="7"/>
        <v>1</v>
      </c>
      <c r="R56" s="3" t="s">
        <v>96</v>
      </c>
      <c r="S56" s="3" t="s">
        <v>7</v>
      </c>
      <c r="T56" s="3" t="s">
        <v>39</v>
      </c>
      <c r="U56" s="40">
        <f>SUM(J60:J62)</f>
        <v>3150</v>
      </c>
      <c r="V56" s="3" t="s">
        <v>35</v>
      </c>
      <c r="W56" s="3" t="s">
        <v>36</v>
      </c>
      <c r="X56" s="3" t="s">
        <v>29</v>
      </c>
    </row>
    <row r="57" spans="1:24" x14ac:dyDescent="0.25">
      <c r="I57" s="3">
        <v>2027</v>
      </c>
      <c r="J57" s="40">
        <v>1906</v>
      </c>
      <c r="K57" s="40"/>
      <c r="L57" s="3">
        <v>2027</v>
      </c>
      <c r="M57" s="40">
        <v>1906</v>
      </c>
      <c r="O57" s="2" t="b">
        <f t="shared" si="6"/>
        <v>1</v>
      </c>
      <c r="P57" s="2" t="b">
        <f t="shared" si="7"/>
        <v>1</v>
      </c>
      <c r="R57" s="3" t="s">
        <v>96</v>
      </c>
      <c r="S57" s="3" t="s">
        <v>7</v>
      </c>
      <c r="T57" s="3" t="s">
        <v>69</v>
      </c>
      <c r="U57" s="40">
        <f>J63</f>
        <v>1782</v>
      </c>
      <c r="V57" s="3" t="s">
        <v>35</v>
      </c>
      <c r="W57" s="3" t="s">
        <v>36</v>
      </c>
      <c r="X57" s="3" t="s">
        <v>29</v>
      </c>
    </row>
    <row r="58" spans="1:24" x14ac:dyDescent="0.25">
      <c r="I58" s="3">
        <v>2028</v>
      </c>
      <c r="J58" s="40">
        <v>2480</v>
      </c>
      <c r="K58" s="40"/>
      <c r="L58" s="3">
        <v>2028</v>
      </c>
      <c r="M58" s="40">
        <v>2480</v>
      </c>
      <c r="O58" s="2" t="b">
        <f t="shared" si="6"/>
        <v>1</v>
      </c>
      <c r="P58" s="2" t="b">
        <f t="shared" si="7"/>
        <v>1</v>
      </c>
      <c r="R58" s="3" t="s">
        <v>96</v>
      </c>
      <c r="S58" s="3" t="s">
        <v>7</v>
      </c>
      <c r="T58" s="3" t="s">
        <v>41</v>
      </c>
      <c r="U58" s="40">
        <f>SUM(U55:U57)</f>
        <v>12328</v>
      </c>
      <c r="V58" s="3" t="s">
        <v>35</v>
      </c>
      <c r="W58" s="3" t="s">
        <v>36</v>
      </c>
      <c r="X58" s="3" t="s">
        <v>29</v>
      </c>
    </row>
    <row r="59" spans="1:24" x14ac:dyDescent="0.25">
      <c r="I59" s="3">
        <v>2029</v>
      </c>
      <c r="J59" s="40">
        <v>1050</v>
      </c>
      <c r="K59" s="40"/>
      <c r="L59" s="3">
        <v>2029</v>
      </c>
      <c r="M59" s="40">
        <v>1050</v>
      </c>
      <c r="O59" s="2" t="b">
        <f t="shared" si="6"/>
        <v>1</v>
      </c>
      <c r="P59" s="2" t="b">
        <f t="shared" si="7"/>
        <v>1</v>
      </c>
    </row>
    <row r="60" spans="1:24" x14ac:dyDescent="0.25">
      <c r="I60" s="3">
        <v>2030</v>
      </c>
      <c r="J60" s="40">
        <v>750</v>
      </c>
      <c r="K60" s="40"/>
      <c r="L60" s="3">
        <v>2030</v>
      </c>
      <c r="M60" s="40">
        <v>750</v>
      </c>
      <c r="O60" s="2" t="b">
        <f t="shared" si="6"/>
        <v>1</v>
      </c>
      <c r="P60" s="2" t="b">
        <f t="shared" si="7"/>
        <v>1</v>
      </c>
    </row>
    <row r="61" spans="1:24" x14ac:dyDescent="0.25">
      <c r="I61" s="3">
        <v>2031</v>
      </c>
      <c r="J61" s="40">
        <v>1350</v>
      </c>
      <c r="K61" s="40"/>
      <c r="L61" s="3">
        <v>2031</v>
      </c>
      <c r="M61" s="40">
        <v>1350</v>
      </c>
      <c r="O61" s="2" t="b">
        <f t="shared" si="6"/>
        <v>1</v>
      </c>
      <c r="P61" s="2" t="b">
        <f t="shared" si="7"/>
        <v>1</v>
      </c>
    </row>
    <row r="62" spans="1:24" x14ac:dyDescent="0.25">
      <c r="I62" s="3">
        <v>2032</v>
      </c>
      <c r="J62" s="40">
        <v>1050</v>
      </c>
      <c r="K62" s="40"/>
      <c r="L62" s="3">
        <v>2032</v>
      </c>
      <c r="M62" s="40">
        <v>1050</v>
      </c>
      <c r="O62" s="2" t="b">
        <f t="shared" si="6"/>
        <v>1</v>
      </c>
      <c r="P62" s="2" t="b">
        <f t="shared" si="7"/>
        <v>1</v>
      </c>
    </row>
    <row r="63" spans="1:24" x14ac:dyDescent="0.25">
      <c r="I63" s="3" t="s">
        <v>26</v>
      </c>
      <c r="J63" s="40">
        <v>1782</v>
      </c>
      <c r="K63" s="40"/>
      <c r="L63" s="3" t="s">
        <v>26</v>
      </c>
      <c r="M63" s="40">
        <v>1782</v>
      </c>
      <c r="O63" s="2" t="b">
        <f t="shared" si="6"/>
        <v>1</v>
      </c>
      <c r="P63" s="2" t="b">
        <f t="shared" si="7"/>
        <v>1</v>
      </c>
    </row>
    <row r="64" spans="1:24" x14ac:dyDescent="0.25">
      <c r="I64" s="6" t="s">
        <v>8</v>
      </c>
      <c r="J64" s="45">
        <f>SUM(J55:J63)</f>
        <v>12328</v>
      </c>
      <c r="K64" s="40"/>
      <c r="L64" s="6" t="s">
        <v>8</v>
      </c>
      <c r="M64" s="45">
        <f>SUM(M55:M63)</f>
        <v>12328</v>
      </c>
      <c r="O64" s="2" t="b">
        <f t="shared" si="6"/>
        <v>1</v>
      </c>
      <c r="P64" s="2" t="b">
        <f t="shared" si="7"/>
        <v>1</v>
      </c>
    </row>
    <row r="65" spans="1:17" x14ac:dyDescent="0.25">
      <c r="A65" s="15"/>
      <c r="B65" s="15"/>
      <c r="C65" s="15"/>
      <c r="D65" s="15"/>
      <c r="E65" s="15"/>
      <c r="F65" s="15"/>
      <c r="G65" s="15"/>
      <c r="H65" s="15"/>
      <c r="I65" s="3"/>
      <c r="J65" s="40"/>
      <c r="K65" s="40"/>
    </row>
    <row r="66" spans="1:17" ht="14.4" x14ac:dyDescent="0.3">
      <c r="A66" s="15"/>
      <c r="B66" s="15"/>
      <c r="C66" s="15"/>
      <c r="D66" s="15"/>
      <c r="E66" s="15"/>
      <c r="F66" s="15"/>
      <c r="G66" s="15"/>
      <c r="H66" s="15"/>
      <c r="K66" s="40"/>
      <c r="L66" s="78" t="s">
        <v>2</v>
      </c>
      <c r="M66" s="13">
        <v>1</v>
      </c>
      <c r="P66"/>
    </row>
    <row r="67" spans="1:17" ht="14.4" x14ac:dyDescent="0.3">
      <c r="A67" s="15"/>
      <c r="B67" s="15"/>
      <c r="C67" s="15"/>
      <c r="D67" s="15"/>
      <c r="E67" s="15"/>
      <c r="F67" s="15"/>
      <c r="G67" s="15"/>
      <c r="H67" s="15"/>
      <c r="I67" s="3"/>
      <c r="J67" s="40"/>
      <c r="K67" s="40"/>
      <c r="P67"/>
    </row>
    <row r="68" spans="1:17" ht="14.4" x14ac:dyDescent="0.3">
      <c r="I68" s="4"/>
      <c r="J68" s="1"/>
      <c r="K68" s="40"/>
      <c r="P68"/>
    </row>
    <row r="69" spans="1:17" ht="14.4" x14ac:dyDescent="0.3">
      <c r="I69" s="3"/>
      <c r="J69" s="40"/>
      <c r="K69" s="40"/>
      <c r="P69"/>
    </row>
    <row r="70" spans="1:17" ht="14.4" x14ac:dyDescent="0.3">
      <c r="I70" s="3"/>
      <c r="J70" s="40"/>
      <c r="K70" s="40"/>
      <c r="P70"/>
      <c r="Q70"/>
    </row>
    <row r="71" spans="1:17" ht="14.4" x14ac:dyDescent="0.3">
      <c r="I71" s="3"/>
      <c r="J71" s="40"/>
      <c r="K71" s="40"/>
      <c r="P71"/>
      <c r="Q71"/>
    </row>
    <row r="72" spans="1:17" ht="14.4" x14ac:dyDescent="0.3">
      <c r="I72" s="3"/>
      <c r="J72" s="40"/>
      <c r="K72" s="40"/>
      <c r="P72"/>
      <c r="Q72"/>
    </row>
    <row r="73" spans="1:17" ht="14.4" x14ac:dyDescent="0.3">
      <c r="I73" s="3"/>
      <c r="J73" s="40"/>
      <c r="K73" s="40"/>
      <c r="P73"/>
      <c r="Q73"/>
    </row>
    <row r="74" spans="1:17" ht="14.4" x14ac:dyDescent="0.3">
      <c r="I74" s="3"/>
      <c r="J74" s="40"/>
      <c r="K74" s="40"/>
      <c r="P74"/>
      <c r="Q74"/>
    </row>
    <row r="75" spans="1:17" ht="14.4" x14ac:dyDescent="0.3">
      <c r="I75" s="3"/>
      <c r="J75" s="40"/>
      <c r="K75" s="40"/>
      <c r="P75"/>
      <c r="Q75"/>
    </row>
    <row r="76" spans="1:17" ht="14.4" x14ac:dyDescent="0.3">
      <c r="I76" s="3"/>
      <c r="J76" s="40"/>
      <c r="K76" s="40"/>
      <c r="P76"/>
      <c r="Q76"/>
    </row>
    <row r="77" spans="1:17" ht="14.4" x14ac:dyDescent="0.3">
      <c r="I77" s="3"/>
      <c r="J77" s="40"/>
      <c r="K77" s="40"/>
      <c r="P77"/>
      <c r="Q77"/>
    </row>
    <row r="78" spans="1:17" ht="14.4" x14ac:dyDescent="0.3">
      <c r="I78" s="3"/>
      <c r="J78" s="40"/>
      <c r="K78" s="40"/>
      <c r="P78"/>
      <c r="Q78"/>
    </row>
    <row r="79" spans="1:17" ht="14.4" x14ac:dyDescent="0.3">
      <c r="I79" s="3"/>
      <c r="J79" s="40"/>
      <c r="K79" s="40"/>
      <c r="Q79"/>
    </row>
    <row r="80" spans="1:17" ht="14.4" x14ac:dyDescent="0.3">
      <c r="I80" s="3"/>
      <c r="J80" s="40"/>
      <c r="K80" s="40"/>
      <c r="Q80"/>
    </row>
    <row r="81" spans="9:17" ht="14.4" x14ac:dyDescent="0.3">
      <c r="I81" s="6"/>
      <c r="J81" s="45"/>
      <c r="K81" s="40"/>
      <c r="Q81"/>
    </row>
    <row r="82" spans="9:17" ht="14.4" x14ac:dyDescent="0.3">
      <c r="J82" s="40"/>
      <c r="K82" s="40"/>
      <c r="Q82"/>
    </row>
    <row r="83" spans="9:17" x14ac:dyDescent="0.25">
      <c r="I83" s="4"/>
      <c r="J83" s="1"/>
      <c r="K83" s="1"/>
    </row>
    <row r="84" spans="9:17" x14ac:dyDescent="0.25">
      <c r="I84" s="3"/>
      <c r="J84" s="40"/>
      <c r="K84" s="40"/>
    </row>
    <row r="85" spans="9:17" x14ac:dyDescent="0.25">
      <c r="I85" s="3"/>
      <c r="J85" s="40"/>
      <c r="K85" s="40"/>
    </row>
    <row r="86" spans="9:17" x14ac:dyDescent="0.25">
      <c r="I86" s="3"/>
      <c r="J86" s="40"/>
      <c r="K86" s="40"/>
    </row>
    <row r="87" spans="9:17" x14ac:dyDescent="0.25">
      <c r="I87" s="3"/>
      <c r="J87" s="40"/>
      <c r="K87" s="40"/>
    </row>
    <row r="88" spans="9:17" x14ac:dyDescent="0.25">
      <c r="I88" s="3"/>
      <c r="J88" s="3"/>
      <c r="K88" s="3"/>
    </row>
    <row r="89" spans="9:17" x14ac:dyDescent="0.25">
      <c r="I89" s="3"/>
      <c r="J89" s="3"/>
      <c r="K89" s="3"/>
    </row>
    <row r="90" spans="9:17" x14ac:dyDescent="0.25">
      <c r="I90" s="3"/>
      <c r="J90" s="3"/>
      <c r="K90" s="3"/>
    </row>
    <row r="91" spans="9:17" x14ac:dyDescent="0.25">
      <c r="I91" s="3"/>
      <c r="J91" s="40"/>
      <c r="K91" s="40"/>
    </row>
    <row r="92" spans="9:17" x14ac:dyDescent="0.25">
      <c r="I92" s="3"/>
      <c r="J92" s="3"/>
      <c r="K92" s="3"/>
    </row>
    <row r="93" spans="9:17" x14ac:dyDescent="0.25">
      <c r="I93" s="3"/>
      <c r="J93" s="3"/>
      <c r="K93" s="3"/>
    </row>
    <row r="94" spans="9:17" x14ac:dyDescent="0.25">
      <c r="I94" s="3"/>
      <c r="J94" s="40"/>
      <c r="K94" s="40"/>
    </row>
    <row r="95" spans="9:17" x14ac:dyDescent="0.25">
      <c r="I95" s="3"/>
      <c r="J95" s="40"/>
      <c r="K95" s="40"/>
    </row>
    <row r="96" spans="9:17" x14ac:dyDescent="0.25">
      <c r="I96" s="3"/>
      <c r="J96" s="40"/>
      <c r="K96" s="40"/>
    </row>
    <row r="97" spans="9:11" x14ac:dyDescent="0.25">
      <c r="I97" s="3"/>
      <c r="J97" s="3"/>
      <c r="K97" s="3"/>
    </row>
    <row r="98" spans="9:11" x14ac:dyDescent="0.25">
      <c r="I98" s="3"/>
      <c r="J98" s="3"/>
      <c r="K98" s="3"/>
    </row>
    <row r="99" spans="9:11" x14ac:dyDescent="0.25">
      <c r="I99" s="3"/>
      <c r="J99" s="3"/>
      <c r="K99" s="3"/>
    </row>
    <row r="100" spans="9:11" x14ac:dyDescent="0.25">
      <c r="I100" s="3"/>
      <c r="J100" s="3"/>
      <c r="K100" s="3"/>
    </row>
    <row r="101" spans="9:11" x14ac:dyDescent="0.25">
      <c r="I101" s="3"/>
      <c r="J101" s="3"/>
      <c r="K101" s="3"/>
    </row>
    <row r="102" spans="9:11" x14ac:dyDescent="0.25">
      <c r="I102" s="3"/>
      <c r="J102" s="40"/>
      <c r="K102" s="40"/>
    </row>
    <row r="103" spans="9:11" x14ac:dyDescent="0.25">
      <c r="I103" s="3"/>
      <c r="J103" s="40"/>
      <c r="K103" s="40"/>
    </row>
    <row r="104" spans="9:11" x14ac:dyDescent="0.25">
      <c r="I104" s="3"/>
      <c r="J104" s="3"/>
      <c r="K104" s="3"/>
    </row>
    <row r="105" spans="9:11" x14ac:dyDescent="0.25">
      <c r="I105" s="3"/>
      <c r="J105" s="3"/>
      <c r="K105" s="3"/>
    </row>
    <row r="106" spans="9:11" x14ac:dyDescent="0.25">
      <c r="I106" s="3"/>
      <c r="J106" s="3"/>
      <c r="K106" s="3"/>
    </row>
    <row r="107" spans="9:11" x14ac:dyDescent="0.25">
      <c r="I107" s="3"/>
      <c r="J107" s="40"/>
      <c r="K107" s="40"/>
    </row>
    <row r="108" spans="9:11" x14ac:dyDescent="0.25">
      <c r="I108" s="3"/>
      <c r="J108" s="3"/>
      <c r="K108" s="3"/>
    </row>
    <row r="109" spans="9:11" x14ac:dyDescent="0.25">
      <c r="I109" s="3"/>
      <c r="J109" s="3"/>
      <c r="K109" s="3"/>
    </row>
    <row r="110" spans="9:11" x14ac:dyDescent="0.25">
      <c r="I110" s="3"/>
      <c r="J110" s="3"/>
      <c r="K110" s="3"/>
    </row>
    <row r="111" spans="9:11" x14ac:dyDescent="0.25">
      <c r="I111" s="3"/>
      <c r="J111" s="3"/>
      <c r="K111" s="3"/>
    </row>
    <row r="112" spans="9:11" x14ac:dyDescent="0.25">
      <c r="I112" s="3"/>
      <c r="J112" s="3"/>
      <c r="K112" s="3"/>
    </row>
    <row r="114" spans="9:11" x14ac:dyDescent="0.25">
      <c r="I114" s="1"/>
      <c r="J114" s="4"/>
      <c r="K114" s="4"/>
    </row>
    <row r="115" spans="9:11" x14ac:dyDescent="0.25">
      <c r="J115" s="40"/>
      <c r="K115" s="40"/>
    </row>
    <row r="116" spans="9:11" x14ac:dyDescent="0.25">
      <c r="J116" s="40"/>
      <c r="K116" s="40"/>
    </row>
    <row r="117" spans="9:11" x14ac:dyDescent="0.25">
      <c r="J117" s="40"/>
      <c r="K117" s="40"/>
    </row>
    <row r="118" spans="9:11" x14ac:dyDescent="0.25">
      <c r="J118" s="40"/>
      <c r="K118" s="40"/>
    </row>
    <row r="119" spans="9:11" x14ac:dyDescent="0.25">
      <c r="J119" s="40"/>
      <c r="K119" s="40"/>
    </row>
    <row r="120" spans="9:11" x14ac:dyDescent="0.25">
      <c r="J120" s="40"/>
      <c r="K120" s="40"/>
    </row>
    <row r="121" spans="9:11" x14ac:dyDescent="0.25">
      <c r="I121" s="7"/>
      <c r="J121" s="45"/>
      <c r="K121" s="45"/>
    </row>
    <row r="122" spans="9:11" x14ac:dyDescent="0.25">
      <c r="J122" s="40"/>
      <c r="K122" s="40"/>
    </row>
    <row r="123" spans="9:11" x14ac:dyDescent="0.25">
      <c r="J123" s="40"/>
      <c r="K123" s="40"/>
    </row>
    <row r="124" spans="9:11" x14ac:dyDescent="0.25">
      <c r="I124" s="7"/>
      <c r="J124" s="45"/>
      <c r="K124" s="45"/>
    </row>
    <row r="126" spans="9:11" x14ac:dyDescent="0.25">
      <c r="I126" s="9"/>
    </row>
    <row r="139" spans="1:9" x14ac:dyDescent="0.25">
      <c r="A139" s="8"/>
      <c r="B139" s="8"/>
      <c r="C139" s="8"/>
      <c r="D139" s="8"/>
      <c r="E139" s="8"/>
      <c r="F139" s="8"/>
      <c r="G139" s="8"/>
      <c r="H139" s="8"/>
      <c r="I139" s="9"/>
    </row>
    <row r="140" spans="1:9" x14ac:dyDescent="0.25">
      <c r="A140" s="15"/>
      <c r="B140" s="15"/>
      <c r="C140" s="15"/>
      <c r="D140" s="15"/>
      <c r="E140" s="15"/>
      <c r="F140" s="15"/>
      <c r="G140" s="15"/>
      <c r="H140" s="15"/>
      <c r="I140" s="3"/>
    </row>
    <row r="141" spans="1:9" x14ac:dyDescent="0.25">
      <c r="A141" s="15"/>
      <c r="B141" s="15"/>
      <c r="C141" s="15"/>
      <c r="D141" s="15"/>
      <c r="E141" s="15"/>
      <c r="F141" s="15"/>
      <c r="G141" s="15"/>
      <c r="H141" s="15"/>
      <c r="I141" s="3"/>
    </row>
    <row r="142" spans="1:9" x14ac:dyDescent="0.25">
      <c r="A142" s="15"/>
      <c r="B142" s="15"/>
      <c r="C142" s="15"/>
      <c r="D142" s="15"/>
      <c r="E142" s="15"/>
      <c r="F142" s="15"/>
      <c r="G142" s="15"/>
      <c r="H142" s="15"/>
      <c r="I142" s="3"/>
    </row>
    <row r="143" spans="1:9" x14ac:dyDescent="0.25">
      <c r="A143" s="15"/>
      <c r="B143" s="15"/>
      <c r="C143" s="15"/>
      <c r="D143" s="15"/>
      <c r="E143" s="15"/>
      <c r="F143" s="15"/>
      <c r="G143" s="15"/>
      <c r="H143" s="15"/>
      <c r="I143" s="3"/>
    </row>
    <row r="144" spans="1:9" x14ac:dyDescent="0.25">
      <c r="A144" s="15"/>
      <c r="B144" s="15"/>
      <c r="C144" s="15"/>
      <c r="D144" s="15"/>
      <c r="E144" s="15"/>
      <c r="F144" s="15"/>
      <c r="G144" s="15"/>
      <c r="H144" s="15"/>
      <c r="I144" s="3"/>
    </row>
    <row r="145" spans="1:11" x14ac:dyDescent="0.25">
      <c r="A145" s="15"/>
      <c r="B145" s="15"/>
      <c r="C145" s="15"/>
      <c r="D145" s="15"/>
      <c r="E145" s="15"/>
      <c r="F145" s="15"/>
      <c r="G145" s="15"/>
      <c r="H145" s="15"/>
      <c r="I145" s="3"/>
    </row>
    <row r="146" spans="1:11" x14ac:dyDescent="0.25">
      <c r="A146" s="15"/>
      <c r="B146" s="15"/>
      <c r="C146" s="15"/>
      <c r="D146" s="15"/>
      <c r="E146" s="15"/>
      <c r="F146" s="15"/>
      <c r="G146" s="15"/>
      <c r="H146" s="15"/>
      <c r="I146" s="7"/>
      <c r="J146" s="3"/>
      <c r="K146" s="3"/>
    </row>
    <row r="147" spans="1:11" x14ac:dyDescent="0.25">
      <c r="A147" s="15"/>
      <c r="B147" s="15"/>
      <c r="C147" s="15"/>
      <c r="D147" s="15"/>
      <c r="E147" s="15"/>
      <c r="F147" s="15"/>
      <c r="G147" s="15"/>
      <c r="H147" s="15"/>
    </row>
    <row r="148" spans="1:11" x14ac:dyDescent="0.25">
      <c r="A148" s="15"/>
      <c r="B148" s="15"/>
      <c r="C148" s="15"/>
      <c r="D148" s="15"/>
      <c r="E148" s="15"/>
      <c r="F148" s="15"/>
      <c r="G148" s="15"/>
      <c r="H148" s="15"/>
      <c r="I148" s="1"/>
      <c r="J148" s="4"/>
      <c r="K148" s="4"/>
    </row>
    <row r="149" spans="1:11" x14ac:dyDescent="0.25">
      <c r="A149" s="15"/>
      <c r="B149" s="15"/>
      <c r="C149" s="15"/>
      <c r="D149" s="15"/>
      <c r="E149" s="15"/>
      <c r="F149" s="15"/>
      <c r="G149" s="15"/>
      <c r="H149" s="15"/>
      <c r="J149" s="40"/>
      <c r="K149" s="40"/>
    </row>
    <row r="150" spans="1:11" x14ac:dyDescent="0.25">
      <c r="A150" s="15"/>
      <c r="B150" s="15"/>
      <c r="C150" s="15"/>
      <c r="D150" s="15"/>
      <c r="E150" s="15"/>
      <c r="F150" s="15"/>
      <c r="G150" s="15"/>
      <c r="H150" s="15"/>
      <c r="J150" s="40"/>
      <c r="K150" s="40"/>
    </row>
    <row r="151" spans="1:11" x14ac:dyDescent="0.25">
      <c r="A151" s="15"/>
      <c r="B151" s="15"/>
      <c r="C151" s="15"/>
      <c r="D151" s="15"/>
      <c r="E151" s="15"/>
      <c r="F151" s="15"/>
      <c r="G151" s="15"/>
      <c r="H151" s="15"/>
      <c r="J151" s="40"/>
      <c r="K151" s="40"/>
    </row>
    <row r="152" spans="1:11" x14ac:dyDescent="0.25">
      <c r="A152" s="15"/>
      <c r="B152" s="15"/>
      <c r="C152" s="15"/>
      <c r="D152" s="15"/>
      <c r="E152" s="15"/>
      <c r="F152" s="15"/>
      <c r="G152" s="15"/>
      <c r="H152" s="15"/>
      <c r="J152" s="40"/>
      <c r="K152" s="40"/>
    </row>
    <row r="153" spans="1:11" x14ac:dyDescent="0.25">
      <c r="A153" s="15"/>
      <c r="B153" s="15"/>
      <c r="C153" s="15"/>
      <c r="D153" s="15"/>
      <c r="E153" s="15"/>
      <c r="F153" s="15"/>
      <c r="G153" s="15"/>
      <c r="H153" s="15"/>
      <c r="J153" s="40"/>
      <c r="K153" s="40"/>
    </row>
    <row r="154" spans="1:11" x14ac:dyDescent="0.25">
      <c r="A154" s="15"/>
      <c r="B154" s="15"/>
      <c r="C154" s="15"/>
      <c r="D154" s="15"/>
      <c r="E154" s="15"/>
      <c r="F154" s="15"/>
      <c r="G154" s="15"/>
      <c r="H154" s="15"/>
      <c r="J154" s="40"/>
      <c r="K154" s="40"/>
    </row>
    <row r="155" spans="1:11" x14ac:dyDescent="0.25">
      <c r="A155" s="15"/>
      <c r="B155" s="15"/>
      <c r="C155" s="15"/>
      <c r="D155" s="15"/>
      <c r="E155" s="15"/>
      <c r="F155" s="15"/>
      <c r="G155" s="15"/>
      <c r="H155" s="15"/>
      <c r="J155" s="40"/>
      <c r="K155" s="40"/>
    </row>
    <row r="156" spans="1:11" x14ac:dyDescent="0.25">
      <c r="A156" s="15"/>
      <c r="B156" s="15"/>
      <c r="C156" s="15"/>
      <c r="D156" s="15"/>
      <c r="E156" s="15"/>
      <c r="F156" s="15"/>
      <c r="G156" s="15"/>
      <c r="H156" s="15"/>
      <c r="J156" s="40"/>
      <c r="K156" s="40"/>
    </row>
    <row r="157" spans="1:11" x14ac:dyDescent="0.25">
      <c r="A157" s="15"/>
      <c r="B157" s="15"/>
      <c r="C157" s="15"/>
      <c r="D157" s="15"/>
      <c r="E157" s="15"/>
      <c r="F157" s="15"/>
      <c r="G157" s="15"/>
      <c r="H157" s="15"/>
      <c r="J157" s="40"/>
      <c r="K157" s="40"/>
    </row>
    <row r="158" spans="1:11" x14ac:dyDescent="0.25">
      <c r="A158" s="15"/>
      <c r="B158" s="15"/>
      <c r="C158" s="15"/>
      <c r="D158" s="15"/>
      <c r="E158" s="15"/>
      <c r="F158" s="15"/>
      <c r="G158" s="15"/>
      <c r="H158" s="15"/>
    </row>
    <row r="159" spans="1:11" x14ac:dyDescent="0.25">
      <c r="A159" s="15"/>
      <c r="B159" s="15"/>
      <c r="C159" s="15"/>
      <c r="D159" s="15"/>
      <c r="E159" s="15"/>
      <c r="F159" s="15"/>
      <c r="G159" s="15"/>
      <c r="H159" s="15"/>
    </row>
    <row r="160" spans="1:11" x14ac:dyDescent="0.25">
      <c r="A160" s="15"/>
      <c r="B160" s="15"/>
      <c r="C160" s="15"/>
      <c r="D160" s="15"/>
      <c r="E160" s="15"/>
      <c r="F160" s="15"/>
      <c r="G160" s="15"/>
      <c r="H160" s="15"/>
      <c r="I160" s="3"/>
    </row>
    <row r="161" spans="1:11" x14ac:dyDescent="0.25">
      <c r="A161" s="15"/>
      <c r="B161" s="15"/>
      <c r="C161" s="15"/>
      <c r="D161" s="15"/>
      <c r="E161" s="15"/>
      <c r="F161" s="15"/>
      <c r="G161" s="15"/>
      <c r="H161" s="15"/>
      <c r="I161" s="3"/>
    </row>
    <row r="162" spans="1:11" x14ac:dyDescent="0.25">
      <c r="A162" s="15"/>
      <c r="B162" s="15"/>
      <c r="C162" s="15"/>
      <c r="D162" s="15"/>
      <c r="E162" s="15"/>
      <c r="F162" s="15"/>
      <c r="G162" s="15"/>
      <c r="H162" s="15"/>
      <c r="I162" s="3"/>
    </row>
    <row r="163" spans="1:11" x14ac:dyDescent="0.25">
      <c r="A163" s="15"/>
      <c r="B163" s="15"/>
      <c r="C163" s="15"/>
      <c r="D163" s="15"/>
      <c r="E163" s="15"/>
      <c r="F163" s="15"/>
      <c r="G163" s="15"/>
      <c r="H163" s="15"/>
      <c r="I163" s="3"/>
    </row>
    <row r="164" spans="1:11" x14ac:dyDescent="0.25">
      <c r="A164" s="15"/>
      <c r="B164" s="15"/>
      <c r="C164" s="15"/>
      <c r="D164" s="15"/>
      <c r="E164" s="15"/>
      <c r="F164" s="15"/>
      <c r="G164" s="15"/>
      <c r="H164" s="15"/>
      <c r="I164" s="3"/>
    </row>
    <row r="165" spans="1:11" x14ac:dyDescent="0.25">
      <c r="A165" s="15"/>
      <c r="B165" s="15"/>
      <c r="C165" s="15"/>
      <c r="D165" s="15"/>
      <c r="E165" s="15"/>
      <c r="F165" s="15"/>
      <c r="G165" s="15"/>
      <c r="H165" s="15"/>
      <c r="I165" s="3"/>
    </row>
    <row r="166" spans="1:11" x14ac:dyDescent="0.25">
      <c r="A166" s="15"/>
      <c r="B166" s="15"/>
      <c r="C166" s="15"/>
      <c r="D166" s="15"/>
      <c r="E166" s="15"/>
      <c r="F166" s="15"/>
      <c r="G166" s="15"/>
      <c r="H166" s="15"/>
      <c r="I166" s="3"/>
    </row>
    <row r="167" spans="1:11" x14ac:dyDescent="0.25">
      <c r="A167" s="15"/>
      <c r="B167" s="15"/>
      <c r="C167" s="15"/>
      <c r="D167" s="15"/>
      <c r="E167" s="15"/>
      <c r="F167" s="15"/>
      <c r="G167" s="15"/>
      <c r="H167" s="15"/>
      <c r="I167" s="3"/>
    </row>
    <row r="168" spans="1:11" x14ac:dyDescent="0.25">
      <c r="A168" s="15"/>
      <c r="B168" s="15"/>
      <c r="C168" s="15"/>
      <c r="D168" s="15"/>
      <c r="E168" s="15"/>
      <c r="F168" s="15"/>
      <c r="G168" s="15"/>
      <c r="H168" s="15"/>
      <c r="I168" s="3"/>
    </row>
    <row r="169" spans="1:11" x14ac:dyDescent="0.25">
      <c r="A169" s="15"/>
      <c r="B169" s="15"/>
      <c r="C169" s="15"/>
      <c r="D169" s="15"/>
      <c r="E169" s="15"/>
      <c r="F169" s="15"/>
      <c r="G169" s="15"/>
      <c r="H169" s="15"/>
      <c r="I169" s="3"/>
    </row>
    <row r="170" spans="1:11" x14ac:dyDescent="0.25">
      <c r="A170" s="15"/>
      <c r="B170" s="15"/>
      <c r="C170" s="15"/>
      <c r="D170" s="15"/>
      <c r="E170" s="15"/>
      <c r="F170" s="15"/>
      <c r="G170" s="15"/>
      <c r="H170" s="15"/>
      <c r="I170" s="3"/>
    </row>
    <row r="173" spans="1:11" x14ac:dyDescent="0.25">
      <c r="I173" s="9"/>
    </row>
    <row r="175" spans="1:11" x14ac:dyDescent="0.25">
      <c r="I175" s="1"/>
      <c r="J175" s="4"/>
      <c r="K175" s="4"/>
    </row>
    <row r="176" spans="1:11" x14ac:dyDescent="0.25">
      <c r="J176" s="40"/>
      <c r="K176" s="40"/>
    </row>
    <row r="177" spans="9:11" x14ac:dyDescent="0.25">
      <c r="J177" s="40"/>
      <c r="K177" s="40"/>
    </row>
    <row r="178" spans="9:11" x14ac:dyDescent="0.25">
      <c r="J178" s="40"/>
      <c r="K178" s="40"/>
    </row>
    <row r="179" spans="9:11" x14ac:dyDescent="0.25">
      <c r="J179" s="40"/>
      <c r="K179" s="40"/>
    </row>
    <row r="180" spans="9:11" x14ac:dyDescent="0.25">
      <c r="J180" s="40"/>
      <c r="K180" s="40"/>
    </row>
    <row r="181" spans="9:11" x14ac:dyDescent="0.25">
      <c r="J181" s="40"/>
      <c r="K181" s="40"/>
    </row>
    <row r="182" spans="9:11" x14ac:dyDescent="0.25">
      <c r="I182" s="7"/>
      <c r="J182" s="45"/>
      <c r="K182" s="45"/>
    </row>
    <row r="183" spans="9:11" x14ac:dyDescent="0.25">
      <c r="J183" s="40"/>
      <c r="K183" s="40"/>
    </row>
    <row r="184" spans="9:11" x14ac:dyDescent="0.25">
      <c r="J184" s="40"/>
      <c r="K184" s="40"/>
    </row>
    <row r="185" spans="9:11" x14ac:dyDescent="0.25">
      <c r="I185" s="7"/>
      <c r="J185" s="45"/>
      <c r="K185" s="45"/>
    </row>
    <row r="187" spans="9:11" x14ac:dyDescent="0.25">
      <c r="I187" s="9"/>
    </row>
    <row r="199" spans="1:11" x14ac:dyDescent="0.25">
      <c r="A199" s="8"/>
      <c r="B199" s="8"/>
      <c r="C199" s="8"/>
      <c r="D199" s="8"/>
      <c r="E199" s="8"/>
      <c r="F199" s="8"/>
      <c r="G199" s="8"/>
      <c r="H199" s="8"/>
      <c r="I199" s="9"/>
    </row>
    <row r="200" spans="1:11" x14ac:dyDescent="0.25">
      <c r="A200" s="15"/>
      <c r="B200" s="15"/>
      <c r="C200" s="15"/>
      <c r="D200" s="15"/>
      <c r="E200" s="15"/>
      <c r="F200" s="15"/>
      <c r="G200" s="15"/>
      <c r="H200" s="15"/>
      <c r="I200" s="3"/>
    </row>
    <row r="201" spans="1:11" x14ac:dyDescent="0.25">
      <c r="A201" s="15"/>
      <c r="B201" s="15"/>
      <c r="C201" s="15"/>
      <c r="D201" s="15"/>
      <c r="E201" s="15"/>
      <c r="F201" s="15"/>
      <c r="G201" s="15"/>
      <c r="H201" s="15"/>
      <c r="I201" s="3"/>
    </row>
    <row r="202" spans="1:11" x14ac:dyDescent="0.25">
      <c r="A202" s="15"/>
      <c r="B202" s="15"/>
      <c r="C202" s="15"/>
      <c r="D202" s="15"/>
      <c r="E202" s="15"/>
      <c r="F202" s="15"/>
      <c r="G202" s="15"/>
      <c r="H202" s="15"/>
      <c r="I202" s="3"/>
    </row>
    <row r="203" spans="1:11" x14ac:dyDescent="0.25">
      <c r="A203" s="15"/>
      <c r="B203" s="15"/>
      <c r="C203" s="15"/>
      <c r="D203" s="15"/>
      <c r="E203" s="15"/>
      <c r="F203" s="15"/>
      <c r="G203" s="15"/>
      <c r="H203" s="15"/>
      <c r="I203" s="3"/>
    </row>
    <row r="204" spans="1:11" x14ac:dyDescent="0.25">
      <c r="A204" s="15"/>
      <c r="B204" s="15"/>
      <c r="C204" s="15"/>
      <c r="D204" s="15"/>
      <c r="E204" s="15"/>
      <c r="F204" s="15"/>
      <c r="G204" s="15"/>
      <c r="H204" s="15"/>
      <c r="I204" s="3"/>
    </row>
    <row r="205" spans="1:11" x14ac:dyDescent="0.25">
      <c r="A205" s="15"/>
      <c r="B205" s="15"/>
      <c r="C205" s="15"/>
      <c r="D205" s="15"/>
      <c r="E205" s="15"/>
      <c r="F205" s="15"/>
      <c r="G205" s="15"/>
      <c r="H205" s="15"/>
      <c r="I205" s="3"/>
    </row>
    <row r="206" spans="1:11" x14ac:dyDescent="0.25">
      <c r="A206" s="15"/>
      <c r="B206" s="15"/>
      <c r="C206" s="15"/>
      <c r="D206" s="15"/>
      <c r="E206" s="15"/>
      <c r="F206" s="15"/>
      <c r="G206" s="15"/>
      <c r="H206" s="15"/>
      <c r="I206" s="3"/>
    </row>
    <row r="207" spans="1:11" x14ac:dyDescent="0.25">
      <c r="A207" s="15"/>
      <c r="B207" s="15"/>
      <c r="C207" s="15"/>
      <c r="D207" s="15"/>
      <c r="E207" s="15"/>
      <c r="F207" s="15"/>
      <c r="G207" s="15"/>
      <c r="H207" s="15"/>
      <c r="I207" s="7"/>
      <c r="J207" s="3"/>
      <c r="K207" s="3"/>
    </row>
    <row r="208" spans="1:11" x14ac:dyDescent="0.25">
      <c r="A208" s="15"/>
      <c r="B208" s="15"/>
      <c r="C208" s="15"/>
      <c r="D208" s="15"/>
      <c r="E208" s="15"/>
      <c r="F208" s="15"/>
      <c r="G208" s="15"/>
      <c r="H208" s="15"/>
    </row>
    <row r="209" spans="1:11" x14ac:dyDescent="0.25">
      <c r="A209" s="15"/>
      <c r="B209" s="15"/>
      <c r="C209" s="15"/>
      <c r="D209" s="15"/>
      <c r="E209" s="15"/>
      <c r="F209" s="15"/>
      <c r="G209" s="15"/>
      <c r="H209" s="15"/>
      <c r="I209" s="1"/>
      <c r="J209" s="4"/>
      <c r="K209" s="4"/>
    </row>
    <row r="210" spans="1:11" x14ac:dyDescent="0.25">
      <c r="A210" s="15"/>
      <c r="B210" s="15"/>
      <c r="C210" s="15"/>
      <c r="D210" s="15"/>
      <c r="E210" s="15"/>
      <c r="F210" s="15"/>
      <c r="G210" s="15"/>
      <c r="H210" s="15"/>
      <c r="J210" s="40"/>
      <c r="K210" s="40"/>
    </row>
    <row r="211" spans="1:11" x14ac:dyDescent="0.25">
      <c r="A211" s="15"/>
      <c r="B211" s="15"/>
      <c r="C211" s="15"/>
      <c r="D211" s="15"/>
      <c r="E211" s="15"/>
      <c r="F211" s="15"/>
      <c r="G211" s="15"/>
      <c r="H211" s="15"/>
      <c r="J211" s="40"/>
      <c r="K211" s="40"/>
    </row>
    <row r="212" spans="1:11" x14ac:dyDescent="0.25">
      <c r="A212" s="15"/>
      <c r="B212" s="15"/>
      <c r="C212" s="15"/>
      <c r="D212" s="15"/>
      <c r="E212" s="15"/>
      <c r="F212" s="15"/>
      <c r="G212" s="15"/>
      <c r="H212" s="15"/>
      <c r="J212" s="40"/>
      <c r="K212" s="40"/>
    </row>
    <row r="213" spans="1:11" x14ac:dyDescent="0.25">
      <c r="A213" s="15"/>
      <c r="B213" s="15"/>
      <c r="C213" s="15"/>
      <c r="D213" s="15"/>
      <c r="E213" s="15"/>
      <c r="F213" s="15"/>
      <c r="G213" s="15"/>
      <c r="H213" s="15"/>
      <c r="J213" s="40"/>
      <c r="K213" s="40"/>
    </row>
    <row r="214" spans="1:11" x14ac:dyDescent="0.25">
      <c r="A214" s="15"/>
      <c r="B214" s="15"/>
      <c r="C214" s="15"/>
      <c r="D214" s="15"/>
      <c r="E214" s="15"/>
      <c r="F214" s="15"/>
      <c r="G214" s="15"/>
      <c r="H214" s="15"/>
      <c r="J214" s="40"/>
      <c r="K214" s="40"/>
    </row>
    <row r="215" spans="1:11" x14ac:dyDescent="0.25">
      <c r="A215" s="15"/>
      <c r="B215" s="15"/>
      <c r="C215" s="15"/>
      <c r="D215" s="15"/>
      <c r="E215" s="15"/>
      <c r="F215" s="15"/>
      <c r="G215" s="15"/>
      <c r="H215" s="15"/>
      <c r="J215" s="40"/>
      <c r="K215" s="40"/>
    </row>
    <row r="216" spans="1:11" x14ac:dyDescent="0.25">
      <c r="A216" s="15"/>
      <c r="B216" s="15"/>
      <c r="C216" s="15"/>
      <c r="D216" s="15"/>
      <c r="E216" s="15"/>
      <c r="F216" s="15"/>
      <c r="G216" s="15"/>
      <c r="H216" s="15"/>
      <c r="J216" s="40"/>
      <c r="K216" s="40"/>
    </row>
    <row r="217" spans="1:11" x14ac:dyDescent="0.25">
      <c r="A217" s="15"/>
      <c r="B217" s="15"/>
      <c r="C217" s="15"/>
      <c r="D217" s="15"/>
      <c r="E217" s="15"/>
      <c r="F217" s="15"/>
      <c r="G217" s="15"/>
      <c r="H217" s="15"/>
      <c r="J217" s="40"/>
      <c r="K217" s="40"/>
    </row>
    <row r="218" spans="1:11" x14ac:dyDescent="0.25">
      <c r="A218" s="15"/>
      <c r="B218" s="15"/>
      <c r="C218" s="15"/>
      <c r="D218" s="15"/>
      <c r="E218" s="15"/>
      <c r="F218" s="15"/>
      <c r="G218" s="15"/>
      <c r="H218" s="15"/>
      <c r="J218" s="40"/>
      <c r="K218" s="40"/>
    </row>
    <row r="219" spans="1:11" x14ac:dyDescent="0.25">
      <c r="A219" s="15"/>
      <c r="B219" s="15"/>
      <c r="C219" s="15"/>
      <c r="D219" s="15"/>
      <c r="E219" s="15"/>
      <c r="F219" s="15"/>
      <c r="G219" s="15"/>
      <c r="H219" s="15"/>
    </row>
    <row r="220" spans="1:11" x14ac:dyDescent="0.25">
      <c r="A220" s="15"/>
      <c r="B220" s="15"/>
      <c r="C220" s="15"/>
      <c r="D220" s="15"/>
      <c r="E220" s="15"/>
      <c r="F220" s="15"/>
      <c r="G220" s="15"/>
      <c r="H220" s="15"/>
    </row>
    <row r="221" spans="1:11" x14ac:dyDescent="0.25">
      <c r="A221" s="15"/>
      <c r="B221" s="15"/>
      <c r="C221" s="15"/>
      <c r="D221" s="15"/>
      <c r="E221" s="15"/>
      <c r="F221" s="15"/>
      <c r="G221" s="15"/>
      <c r="H221" s="15"/>
      <c r="I221" s="3"/>
    </row>
    <row r="222" spans="1:11" x14ac:dyDescent="0.25">
      <c r="A222" s="15"/>
      <c r="B222" s="15"/>
      <c r="C222" s="15"/>
      <c r="D222" s="15"/>
      <c r="E222" s="15"/>
      <c r="F222" s="15"/>
      <c r="G222" s="15"/>
      <c r="H222" s="15"/>
      <c r="I222" s="3"/>
    </row>
    <row r="223" spans="1:11" x14ac:dyDescent="0.25">
      <c r="A223" s="15"/>
      <c r="B223" s="15"/>
      <c r="C223" s="15"/>
      <c r="D223" s="15"/>
      <c r="E223" s="15"/>
      <c r="F223" s="15"/>
      <c r="G223" s="15"/>
      <c r="H223" s="15"/>
      <c r="I223" s="3"/>
    </row>
    <row r="224" spans="1:11" x14ac:dyDescent="0.25">
      <c r="A224" s="15"/>
      <c r="B224" s="15"/>
      <c r="C224" s="15"/>
      <c r="D224" s="15"/>
      <c r="E224" s="15"/>
      <c r="F224" s="15"/>
      <c r="G224" s="15"/>
      <c r="H224" s="15"/>
      <c r="I224" s="3"/>
    </row>
    <row r="225" spans="1:11" x14ac:dyDescent="0.25">
      <c r="A225" s="15"/>
      <c r="B225" s="15"/>
      <c r="C225" s="15"/>
      <c r="D225" s="15"/>
      <c r="E225" s="15"/>
      <c r="F225" s="15"/>
      <c r="G225" s="15"/>
      <c r="H225" s="15"/>
      <c r="I225" s="3"/>
    </row>
    <row r="226" spans="1:11" x14ac:dyDescent="0.25">
      <c r="A226" s="15"/>
      <c r="B226" s="15"/>
      <c r="C226" s="15"/>
      <c r="D226" s="15"/>
      <c r="E226" s="15"/>
      <c r="F226" s="15"/>
      <c r="G226" s="15"/>
      <c r="H226" s="15"/>
      <c r="I226" s="3"/>
    </row>
    <row r="227" spans="1:11" x14ac:dyDescent="0.25">
      <c r="A227" s="15"/>
      <c r="B227" s="15"/>
      <c r="C227" s="15"/>
      <c r="D227" s="15"/>
      <c r="E227" s="15"/>
      <c r="F227" s="15"/>
      <c r="G227" s="15"/>
      <c r="H227" s="15"/>
      <c r="I227" s="3"/>
    </row>
    <row r="228" spans="1:11" x14ac:dyDescent="0.25">
      <c r="A228" s="15"/>
      <c r="B228" s="15"/>
      <c r="C228" s="15"/>
      <c r="D228" s="15"/>
      <c r="E228" s="15"/>
      <c r="F228" s="15"/>
      <c r="G228" s="15"/>
      <c r="H228" s="15"/>
      <c r="I228" s="3"/>
    </row>
    <row r="229" spans="1:11" x14ac:dyDescent="0.25">
      <c r="A229" s="15"/>
      <c r="B229" s="15"/>
      <c r="C229" s="15"/>
      <c r="D229" s="15"/>
      <c r="E229" s="15"/>
      <c r="F229" s="15"/>
      <c r="G229" s="15"/>
      <c r="H229" s="15"/>
      <c r="I229" s="3"/>
    </row>
    <row r="230" spans="1:11" x14ac:dyDescent="0.25">
      <c r="A230" s="15"/>
      <c r="B230" s="15"/>
      <c r="C230" s="15"/>
      <c r="D230" s="15"/>
      <c r="E230" s="15"/>
      <c r="F230" s="15"/>
      <c r="G230" s="15"/>
      <c r="H230" s="15"/>
      <c r="I230" s="3"/>
    </row>
    <row r="231" spans="1:11" x14ac:dyDescent="0.25">
      <c r="A231" s="15"/>
      <c r="B231" s="15"/>
      <c r="C231" s="15"/>
      <c r="D231" s="15"/>
      <c r="E231" s="15"/>
      <c r="F231" s="15"/>
      <c r="G231" s="15"/>
      <c r="H231" s="15"/>
      <c r="I231" s="3"/>
    </row>
    <row r="232" spans="1:11" x14ac:dyDescent="0.25">
      <c r="A232" s="15"/>
      <c r="B232" s="15"/>
      <c r="C232" s="15"/>
      <c r="D232" s="15"/>
      <c r="E232" s="15"/>
      <c r="F232" s="15"/>
      <c r="G232" s="15"/>
      <c r="H232" s="15"/>
      <c r="I232" s="3"/>
    </row>
    <row r="235" spans="1:11" x14ac:dyDescent="0.25">
      <c r="I235" s="9"/>
    </row>
    <row r="238" spans="1:11" x14ac:dyDescent="0.25">
      <c r="I238" s="1"/>
      <c r="J238" s="4"/>
      <c r="K238" s="4"/>
    </row>
    <row r="239" spans="1:11" x14ac:dyDescent="0.25">
      <c r="J239" s="40"/>
      <c r="K239" s="40"/>
    </row>
    <row r="240" spans="1:11" x14ac:dyDescent="0.25">
      <c r="J240" s="40"/>
      <c r="K240" s="40"/>
    </row>
    <row r="241" spans="9:11" x14ac:dyDescent="0.25">
      <c r="J241" s="40"/>
      <c r="K241" s="40"/>
    </row>
    <row r="242" spans="9:11" x14ac:dyDescent="0.25">
      <c r="J242" s="40"/>
      <c r="K242" s="40"/>
    </row>
    <row r="243" spans="9:11" x14ac:dyDescent="0.25">
      <c r="J243" s="40"/>
      <c r="K243" s="40"/>
    </row>
    <row r="244" spans="9:11" x14ac:dyDescent="0.25">
      <c r="J244" s="40"/>
      <c r="K244" s="40"/>
    </row>
    <row r="245" spans="9:11" x14ac:dyDescent="0.25">
      <c r="I245" s="7"/>
      <c r="J245" s="45"/>
      <c r="K245" s="45"/>
    </row>
    <row r="246" spans="9:11" x14ac:dyDescent="0.25">
      <c r="J246" s="40"/>
      <c r="K246" s="40"/>
    </row>
    <row r="247" spans="9:11" x14ac:dyDescent="0.25">
      <c r="J247" s="40"/>
      <c r="K247" s="40"/>
    </row>
    <row r="248" spans="9:11" x14ac:dyDescent="0.25">
      <c r="I248" s="7"/>
      <c r="J248" s="45"/>
      <c r="K248" s="45"/>
    </row>
    <row r="250" spans="9:11" x14ac:dyDescent="0.25">
      <c r="I250" s="9"/>
    </row>
    <row r="263" spans="1:11" x14ac:dyDescent="0.25">
      <c r="A263" s="8"/>
      <c r="B263" s="8"/>
      <c r="C263" s="8"/>
      <c r="D263" s="8"/>
      <c r="E263" s="8"/>
      <c r="F263" s="8"/>
      <c r="G263" s="8"/>
      <c r="H263" s="8"/>
      <c r="I263" s="9"/>
    </row>
    <row r="264" spans="1:11" x14ac:dyDescent="0.25">
      <c r="A264" s="15"/>
      <c r="B264" s="15"/>
      <c r="C264" s="15"/>
      <c r="D264" s="15"/>
      <c r="E264" s="15"/>
      <c r="F264" s="15"/>
      <c r="G264" s="15"/>
      <c r="H264" s="15"/>
      <c r="I264" s="3"/>
    </row>
    <row r="265" spans="1:11" x14ac:dyDescent="0.25">
      <c r="A265" s="15"/>
      <c r="B265" s="15"/>
      <c r="C265" s="15"/>
      <c r="D265" s="15"/>
      <c r="E265" s="15"/>
      <c r="F265" s="15"/>
      <c r="G265" s="15"/>
      <c r="H265" s="15"/>
      <c r="I265" s="3"/>
    </row>
    <row r="266" spans="1:11" x14ac:dyDescent="0.25">
      <c r="A266" s="15"/>
      <c r="B266" s="15"/>
      <c r="C266" s="15"/>
      <c r="D266" s="15"/>
      <c r="E266" s="15"/>
      <c r="F266" s="15"/>
      <c r="G266" s="15"/>
      <c r="H266" s="15"/>
      <c r="I266" s="3"/>
    </row>
    <row r="267" spans="1:11" x14ac:dyDescent="0.25">
      <c r="A267" s="15"/>
      <c r="B267" s="15"/>
      <c r="C267" s="15"/>
      <c r="D267" s="15"/>
      <c r="E267" s="15"/>
      <c r="F267" s="15"/>
      <c r="G267" s="15"/>
      <c r="H267" s="15"/>
      <c r="I267" s="3"/>
    </row>
    <row r="268" spans="1:11" x14ac:dyDescent="0.25">
      <c r="A268" s="15"/>
      <c r="B268" s="15"/>
      <c r="C268" s="15"/>
      <c r="D268" s="15"/>
      <c r="E268" s="15"/>
      <c r="F268" s="15"/>
      <c r="G268" s="15"/>
      <c r="H268" s="15"/>
      <c r="I268" s="3"/>
    </row>
    <row r="271" spans="1:11" x14ac:dyDescent="0.25">
      <c r="I271" s="7"/>
      <c r="J271" s="3"/>
      <c r="K271" s="3"/>
    </row>
    <row r="273" spans="9:11" x14ac:dyDescent="0.25">
      <c r="I273" s="1"/>
      <c r="J273" s="4"/>
      <c r="K273" s="4"/>
    </row>
    <row r="274" spans="9:11" x14ac:dyDescent="0.25">
      <c r="J274" s="40"/>
      <c r="K274" s="40"/>
    </row>
    <row r="275" spans="9:11" x14ac:dyDescent="0.25">
      <c r="J275" s="40"/>
      <c r="K275" s="40"/>
    </row>
    <row r="276" spans="9:11" x14ac:dyDescent="0.25">
      <c r="J276" s="40"/>
      <c r="K276" s="40"/>
    </row>
    <row r="277" spans="9:11" x14ac:dyDescent="0.25">
      <c r="J277" s="40"/>
      <c r="K277" s="40"/>
    </row>
    <row r="278" spans="9:11" x14ac:dyDescent="0.25">
      <c r="J278" s="40"/>
      <c r="K278" s="40"/>
    </row>
    <row r="279" spans="9:11" x14ac:dyDescent="0.25">
      <c r="J279" s="40"/>
      <c r="K279" s="40"/>
    </row>
    <row r="280" spans="9:11" x14ac:dyDescent="0.25">
      <c r="J280" s="40"/>
      <c r="K280" s="40"/>
    </row>
    <row r="281" spans="9:11" x14ac:dyDescent="0.25">
      <c r="J281" s="40"/>
      <c r="K281" s="40"/>
    </row>
    <row r="282" spans="9:11" x14ac:dyDescent="0.25">
      <c r="J282" s="40"/>
      <c r="K282" s="40"/>
    </row>
  </sheetData>
  <pageMargins left="0.7" right="0.7" top="0.75" bottom="0.75" header="0.3" footer="0.3"/>
  <ignoredErrors>
    <ignoredError sqref="U55:U56 U39:U40 U23:U24 U6:U8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AFDB-7CFB-404A-96D2-3E57E8C07F90}">
  <dimension ref="A1:AA283"/>
  <sheetViews>
    <sheetView showGridLines="0" workbookViewId="0">
      <selection activeCell="T2" sqref="T2"/>
    </sheetView>
  </sheetViews>
  <sheetFormatPr defaultRowHeight="13.8" x14ac:dyDescent="0.25"/>
  <cols>
    <col min="1" max="1" width="4.77734375" style="2" bestFit="1" customWidth="1"/>
    <col min="2" max="2" width="8" style="2" bestFit="1" customWidth="1"/>
    <col min="3" max="3" width="11.33203125" style="2" bestFit="1" customWidth="1"/>
    <col min="4" max="4" width="11.33203125" style="2" customWidth="1"/>
    <col min="5" max="5" width="11.21875" style="2" bestFit="1" customWidth="1"/>
    <col min="6" max="9" width="11.21875" style="2" customWidth="1"/>
    <col min="10" max="10" width="9.6640625" style="2" customWidth="1"/>
    <col min="11" max="11" width="8" style="2" bestFit="1" customWidth="1"/>
    <col min="12" max="17" width="8.88671875" style="2"/>
    <col min="18" max="18" width="8" style="2" bestFit="1" customWidth="1"/>
    <col min="19" max="19" width="13.44140625" style="2" bestFit="1" customWidth="1"/>
    <col min="20" max="20" width="8.88671875" style="2"/>
    <col min="21" max="21" width="5.5546875" style="2" bestFit="1" customWidth="1"/>
    <col min="22" max="22" width="6.77734375" style="2" bestFit="1" customWidth="1"/>
    <col min="23" max="23" width="13.44140625" style="2" bestFit="1" customWidth="1"/>
    <col min="24" max="24" width="6.88671875" style="2" bestFit="1" customWidth="1"/>
    <col min="25" max="25" width="4" style="2" bestFit="1" customWidth="1"/>
    <col min="26" max="26" width="8" style="2" bestFit="1" customWidth="1"/>
    <col min="27" max="27" width="12.33203125" style="2" bestFit="1" customWidth="1"/>
    <col min="28" max="16384" width="8.88671875" style="2"/>
  </cols>
  <sheetData>
    <row r="1" spans="1:27" x14ac:dyDescent="0.25">
      <c r="B1" s="3"/>
    </row>
    <row r="2" spans="1:27" x14ac:dyDescent="0.25">
      <c r="A2" s="63" t="s">
        <v>5</v>
      </c>
      <c r="B2" s="4"/>
      <c r="C2" s="1"/>
      <c r="D2" s="1"/>
    </row>
    <row r="3" spans="1:27" x14ac:dyDescent="0.25">
      <c r="A3" s="14"/>
      <c r="B3" s="3"/>
      <c r="C3" s="40"/>
      <c r="D3" s="40"/>
    </row>
    <row r="4" spans="1:27" x14ac:dyDescent="0.25">
      <c r="A4" s="14"/>
      <c r="B4" s="3"/>
      <c r="C4" s="40"/>
      <c r="D4" s="40"/>
    </row>
    <row r="5" spans="1:27" x14ac:dyDescent="0.25">
      <c r="B5" s="3"/>
      <c r="C5" s="40"/>
      <c r="D5" s="40"/>
      <c r="R5" s="4" t="s">
        <v>27</v>
      </c>
      <c r="S5" s="1" t="s">
        <v>29</v>
      </c>
      <c r="U5" s="4" t="s">
        <v>1</v>
      </c>
      <c r="V5" s="4" t="s">
        <v>3</v>
      </c>
      <c r="W5" s="4" t="s">
        <v>29</v>
      </c>
      <c r="X5" s="4" t="s">
        <v>30</v>
      </c>
      <c r="Y5" s="4" t="s">
        <v>31</v>
      </c>
      <c r="Z5" s="4" t="s">
        <v>32</v>
      </c>
      <c r="AA5" s="4" t="s">
        <v>33</v>
      </c>
    </row>
    <row r="6" spans="1:27" x14ac:dyDescent="0.25">
      <c r="B6" s="3"/>
      <c r="C6" s="40"/>
      <c r="D6" s="40"/>
      <c r="R6" s="3">
        <v>2025</v>
      </c>
      <c r="S6" s="40">
        <v>1260</v>
      </c>
      <c r="U6" s="3" t="s">
        <v>96</v>
      </c>
      <c r="V6" s="3" t="s">
        <v>5</v>
      </c>
      <c r="W6" s="3" t="s">
        <v>68</v>
      </c>
      <c r="X6" s="40">
        <f>SUM(S6:S10)</f>
        <v>8401</v>
      </c>
      <c r="Y6" s="3" t="s">
        <v>35</v>
      </c>
      <c r="Z6" s="3" t="s">
        <v>36</v>
      </c>
      <c r="AA6" s="3" t="s">
        <v>29</v>
      </c>
    </row>
    <row r="7" spans="1:27" x14ac:dyDescent="0.25">
      <c r="B7" s="3"/>
      <c r="C7" s="40"/>
      <c r="D7" s="40"/>
      <c r="R7" s="3">
        <v>2026</v>
      </c>
      <c r="S7" s="40">
        <v>700</v>
      </c>
      <c r="U7" s="3" t="s">
        <v>96</v>
      </c>
      <c r="V7" s="3" t="s">
        <v>5</v>
      </c>
      <c r="W7" s="3" t="s">
        <v>69</v>
      </c>
      <c r="X7" s="40">
        <f>S11</f>
        <v>4926</v>
      </c>
      <c r="Y7" s="3" t="s">
        <v>35</v>
      </c>
      <c r="Z7" s="3" t="s">
        <v>36</v>
      </c>
      <c r="AA7" s="3" t="s">
        <v>29</v>
      </c>
    </row>
    <row r="8" spans="1:27" x14ac:dyDescent="0.25">
      <c r="A8" s="39"/>
      <c r="B8" s="3"/>
      <c r="C8" s="40"/>
      <c r="D8" s="40"/>
      <c r="R8" s="3">
        <v>2027</v>
      </c>
      <c r="S8" s="40">
        <v>1882</v>
      </c>
      <c r="U8" s="3" t="s">
        <v>96</v>
      </c>
      <c r="V8" s="3" t="s">
        <v>5</v>
      </c>
      <c r="W8" s="3" t="s">
        <v>41</v>
      </c>
      <c r="X8" s="40">
        <f>SUM(X6:X7)</f>
        <v>13327</v>
      </c>
      <c r="Y8" s="3" t="s">
        <v>35</v>
      </c>
      <c r="Z8" s="3" t="s">
        <v>36</v>
      </c>
      <c r="AA8" s="3" t="s">
        <v>29</v>
      </c>
    </row>
    <row r="9" spans="1:27" x14ac:dyDescent="0.25">
      <c r="A9" s="39"/>
      <c r="B9" s="3"/>
      <c r="C9" s="40"/>
      <c r="D9" s="40"/>
      <c r="R9" s="3">
        <v>2028</v>
      </c>
      <c r="S9" s="40">
        <v>2474</v>
      </c>
    </row>
    <row r="10" spans="1:27" x14ac:dyDescent="0.25">
      <c r="B10" s="3"/>
      <c r="C10" s="40"/>
      <c r="D10" s="40"/>
      <c r="R10" s="3">
        <v>2029</v>
      </c>
      <c r="S10" s="40">
        <v>2085</v>
      </c>
    </row>
    <row r="11" spans="1:27" x14ac:dyDescent="0.25">
      <c r="B11" s="3"/>
      <c r="C11" s="40"/>
      <c r="D11" s="40"/>
      <c r="R11" s="3" t="s">
        <v>26</v>
      </c>
      <c r="S11" s="40">
        <v>4926</v>
      </c>
    </row>
    <row r="12" spans="1:27" x14ac:dyDescent="0.25">
      <c r="B12" s="3"/>
      <c r="C12" s="40"/>
      <c r="D12" s="40"/>
      <c r="R12" s="6" t="s">
        <v>8</v>
      </c>
      <c r="S12" s="45">
        <f>SUM(S6:S11)</f>
        <v>13327</v>
      </c>
    </row>
    <row r="13" spans="1:27" x14ac:dyDescent="0.25">
      <c r="B13" s="3"/>
      <c r="C13" s="40"/>
      <c r="D13" s="40"/>
    </row>
    <row r="14" spans="1:27" x14ac:dyDescent="0.25">
      <c r="B14" s="3"/>
      <c r="C14" s="40"/>
      <c r="D14" s="40"/>
    </row>
    <row r="15" spans="1:27" x14ac:dyDescent="0.25">
      <c r="B15" s="6"/>
      <c r="C15" s="45"/>
      <c r="D15" s="45"/>
    </row>
    <row r="16" spans="1:27" ht="14.4" x14ac:dyDescent="0.3">
      <c r="B16" s="3"/>
      <c r="C16" s="40"/>
      <c r="D16" s="40"/>
      <c r="M16"/>
    </row>
    <row r="17" spans="1:27" ht="14.4" x14ac:dyDescent="0.3">
      <c r="B17" s="3"/>
      <c r="C17" s="40"/>
      <c r="D17" s="40"/>
      <c r="M17"/>
    </row>
    <row r="18" spans="1:27" x14ac:dyDescent="0.25">
      <c r="B18" s="3"/>
    </row>
    <row r="19" spans="1:27" ht="14.4" x14ac:dyDescent="0.3">
      <c r="A19" s="63" t="s">
        <v>4</v>
      </c>
      <c r="B19" s="109" t="s">
        <v>97</v>
      </c>
      <c r="C19" s="1"/>
      <c r="D19" s="1"/>
      <c r="J19" s="40"/>
    </row>
    <row r="20" spans="1:27" x14ac:dyDescent="0.25">
      <c r="A20" s="14"/>
      <c r="B20" s="3"/>
      <c r="C20" s="40"/>
      <c r="D20" s="40"/>
    </row>
    <row r="21" spans="1:27" x14ac:dyDescent="0.25">
      <c r="A21" s="14"/>
      <c r="B21" s="3"/>
      <c r="C21" s="40"/>
      <c r="D21" s="40"/>
      <c r="R21" s="4" t="s">
        <v>27</v>
      </c>
      <c r="S21" s="1" t="s">
        <v>29</v>
      </c>
      <c r="U21" s="4" t="s">
        <v>1</v>
      </c>
      <c r="V21" s="4" t="s">
        <v>3</v>
      </c>
      <c r="W21" s="4" t="s">
        <v>29</v>
      </c>
      <c r="X21" s="4" t="s">
        <v>30</v>
      </c>
      <c r="Y21" s="4" t="s">
        <v>31</v>
      </c>
      <c r="Z21" s="4" t="s">
        <v>32</v>
      </c>
      <c r="AA21" s="4" t="s">
        <v>33</v>
      </c>
    </row>
    <row r="22" spans="1:27" x14ac:dyDescent="0.25">
      <c r="B22" s="3"/>
      <c r="C22" s="40"/>
      <c r="D22" s="40"/>
      <c r="R22" s="3">
        <v>2024</v>
      </c>
      <c r="S22" s="40" t="s">
        <v>67</v>
      </c>
      <c r="U22" s="3" t="s">
        <v>96</v>
      </c>
      <c r="V22" s="3" t="s">
        <v>4</v>
      </c>
      <c r="W22" s="3" t="s">
        <v>68</v>
      </c>
      <c r="X22" s="40">
        <f>SUM(S22:S26)</f>
        <v>6388.8349999999991</v>
      </c>
      <c r="Y22" s="3" t="s">
        <v>35</v>
      </c>
      <c r="Z22" s="3" t="s">
        <v>36</v>
      </c>
      <c r="AA22" s="3" t="s">
        <v>29</v>
      </c>
    </row>
    <row r="23" spans="1:27" x14ac:dyDescent="0.25">
      <c r="B23" s="3"/>
      <c r="C23" s="40"/>
      <c r="D23" s="40"/>
      <c r="R23" s="3">
        <v>2025</v>
      </c>
      <c r="S23" s="40">
        <v>1260</v>
      </c>
      <c r="U23" s="3" t="s">
        <v>96</v>
      </c>
      <c r="V23" s="3" t="s">
        <v>4</v>
      </c>
      <c r="W23" s="3" t="s">
        <v>69</v>
      </c>
      <c r="X23" s="40">
        <f>S27</f>
        <v>7054.9</v>
      </c>
      <c r="Y23" s="3" t="s">
        <v>35</v>
      </c>
      <c r="Z23" s="3" t="s">
        <v>36</v>
      </c>
      <c r="AA23" s="3" t="s">
        <v>29</v>
      </c>
    </row>
    <row r="24" spans="1:27" x14ac:dyDescent="0.25">
      <c r="B24" s="3"/>
      <c r="C24" s="40"/>
      <c r="D24" s="40"/>
      <c r="R24" s="3">
        <v>2026</v>
      </c>
      <c r="S24" s="40">
        <v>700</v>
      </c>
      <c r="U24" s="3" t="s">
        <v>96</v>
      </c>
      <c r="V24" s="3" t="s">
        <v>4</v>
      </c>
      <c r="W24" s="3" t="s">
        <v>41</v>
      </c>
      <c r="X24" s="40">
        <f>SUM(X22:X23)</f>
        <v>13443.734999999999</v>
      </c>
      <c r="Y24" s="3" t="s">
        <v>35</v>
      </c>
      <c r="Z24" s="3" t="s">
        <v>36</v>
      </c>
      <c r="AA24" s="3" t="s">
        <v>29</v>
      </c>
    </row>
    <row r="25" spans="1:27" x14ac:dyDescent="0.25">
      <c r="A25" s="39"/>
      <c r="B25" s="3"/>
      <c r="C25" s="40"/>
      <c r="D25" s="40"/>
      <c r="R25" s="3">
        <v>2027</v>
      </c>
      <c r="S25" s="40">
        <v>1906.9449999999999</v>
      </c>
    </row>
    <row r="26" spans="1:27" x14ac:dyDescent="0.25">
      <c r="A26" s="39"/>
      <c r="B26" s="3"/>
      <c r="C26" s="40"/>
      <c r="D26" s="40"/>
      <c r="R26" s="3">
        <v>2028</v>
      </c>
      <c r="S26" s="40">
        <v>2521.89</v>
      </c>
    </row>
    <row r="27" spans="1:27" x14ac:dyDescent="0.25">
      <c r="B27" s="3"/>
      <c r="C27" s="40"/>
      <c r="D27" s="40"/>
      <c r="R27" s="3" t="s">
        <v>26</v>
      </c>
      <c r="S27" s="40">
        <v>7054.9</v>
      </c>
    </row>
    <row r="28" spans="1:27" x14ac:dyDescent="0.25">
      <c r="B28" s="3"/>
      <c r="C28" s="40"/>
      <c r="D28" s="40"/>
      <c r="R28" s="6" t="s">
        <v>8</v>
      </c>
      <c r="S28" s="45">
        <f>SUM(S22:S27)</f>
        <v>13443.734999999999</v>
      </c>
    </row>
    <row r="29" spans="1:27" x14ac:dyDescent="0.25">
      <c r="B29" s="3"/>
      <c r="C29" s="40"/>
      <c r="D29" s="40"/>
      <c r="R29" s="3"/>
      <c r="S29" s="40"/>
    </row>
    <row r="30" spans="1:27" x14ac:dyDescent="0.25">
      <c r="B30" s="3"/>
      <c r="C30" s="40"/>
      <c r="D30" s="40"/>
      <c r="R30" s="3"/>
      <c r="S30" s="40"/>
    </row>
    <row r="31" spans="1:27" x14ac:dyDescent="0.25">
      <c r="B31" s="3"/>
      <c r="C31" s="40"/>
      <c r="D31" s="40"/>
      <c r="R31" s="3"/>
      <c r="S31" s="40"/>
    </row>
    <row r="32" spans="1:27" x14ac:dyDescent="0.25">
      <c r="B32" s="3"/>
      <c r="C32" s="40"/>
      <c r="D32" s="40"/>
      <c r="R32" s="3"/>
      <c r="S32" s="40"/>
    </row>
    <row r="33" spans="1:27" x14ac:dyDescent="0.25">
      <c r="B33" s="3"/>
      <c r="C33" s="40"/>
      <c r="D33" s="40"/>
      <c r="R33" s="3"/>
      <c r="S33" s="40"/>
    </row>
    <row r="34" spans="1:27" x14ac:dyDescent="0.25">
      <c r="B34" s="3"/>
      <c r="C34" s="40"/>
      <c r="D34" s="40"/>
      <c r="R34" s="3"/>
      <c r="S34" s="40"/>
    </row>
    <row r="35" spans="1:27" x14ac:dyDescent="0.25">
      <c r="B35" s="3"/>
      <c r="C35" s="45"/>
      <c r="D35" s="45"/>
    </row>
    <row r="36" spans="1:27" ht="14.4" x14ac:dyDescent="0.3">
      <c r="A36" s="63" t="s">
        <v>6</v>
      </c>
      <c r="B36" s="109" t="s">
        <v>97</v>
      </c>
      <c r="C36" s="1"/>
      <c r="D36" s="1"/>
    </row>
    <row r="37" spans="1:27" x14ac:dyDescent="0.25">
      <c r="B37" s="3"/>
      <c r="C37" s="40"/>
      <c r="D37" s="40"/>
      <c r="R37" s="4" t="s">
        <v>27</v>
      </c>
      <c r="S37" s="1" t="s">
        <v>29</v>
      </c>
      <c r="U37" s="4" t="s">
        <v>1</v>
      </c>
      <c r="V37" s="4" t="s">
        <v>3</v>
      </c>
      <c r="W37" s="4" t="s">
        <v>29</v>
      </c>
      <c r="X37" s="4" t="s">
        <v>30</v>
      </c>
      <c r="Y37" s="4" t="s">
        <v>31</v>
      </c>
      <c r="Z37" s="4" t="s">
        <v>32</v>
      </c>
      <c r="AA37" s="4" t="s">
        <v>33</v>
      </c>
    </row>
    <row r="38" spans="1:27" x14ac:dyDescent="0.25">
      <c r="B38" s="3"/>
      <c r="C38" s="40"/>
      <c r="D38" s="40"/>
      <c r="R38" s="3">
        <v>2024</v>
      </c>
      <c r="S38" s="40" t="s">
        <v>67</v>
      </c>
      <c r="U38" s="3" t="s">
        <v>96</v>
      </c>
      <c r="V38" s="3" t="s">
        <v>6</v>
      </c>
      <c r="W38" s="3" t="s">
        <v>68</v>
      </c>
      <c r="X38" s="40">
        <f>SUM(S38:S42)</f>
        <v>6342</v>
      </c>
      <c r="Y38" s="3" t="s">
        <v>35</v>
      </c>
      <c r="Z38" s="3" t="s">
        <v>36</v>
      </c>
      <c r="AA38" s="3" t="s">
        <v>29</v>
      </c>
    </row>
    <row r="39" spans="1:27" x14ac:dyDescent="0.25">
      <c r="B39" s="3"/>
      <c r="C39" s="40"/>
      <c r="D39" s="40"/>
      <c r="R39" s="3">
        <v>2025</v>
      </c>
      <c r="S39" s="40">
        <v>1260</v>
      </c>
      <c r="U39" s="3" t="s">
        <v>96</v>
      </c>
      <c r="V39" s="3" t="s">
        <v>6</v>
      </c>
      <c r="W39" s="3" t="s">
        <v>69</v>
      </c>
      <c r="X39" s="40">
        <f>S43</f>
        <v>5982</v>
      </c>
      <c r="Y39" s="3" t="s">
        <v>35</v>
      </c>
      <c r="Z39" s="3" t="s">
        <v>36</v>
      </c>
      <c r="AA39" s="3" t="s">
        <v>29</v>
      </c>
    </row>
    <row r="40" spans="1:27" x14ac:dyDescent="0.25">
      <c r="B40" s="3"/>
      <c r="C40" s="40"/>
      <c r="D40" s="40"/>
      <c r="R40" s="3">
        <v>2026</v>
      </c>
      <c r="S40" s="40">
        <v>700</v>
      </c>
      <c r="U40" s="3" t="s">
        <v>96</v>
      </c>
      <c r="V40" s="3" t="s">
        <v>6</v>
      </c>
      <c r="W40" s="3" t="s">
        <v>41</v>
      </c>
      <c r="X40" s="40">
        <f>SUM(X38:X39)</f>
        <v>12324</v>
      </c>
      <c r="Y40" s="3" t="s">
        <v>35</v>
      </c>
      <c r="Z40" s="3" t="s">
        <v>36</v>
      </c>
      <c r="AA40" s="3" t="s">
        <v>29</v>
      </c>
    </row>
    <row r="41" spans="1:27" x14ac:dyDescent="0.25">
      <c r="B41" s="3"/>
      <c r="C41" s="40"/>
      <c r="D41" s="40"/>
      <c r="R41" s="3">
        <v>2027</v>
      </c>
      <c r="S41" s="40">
        <v>1902</v>
      </c>
    </row>
    <row r="42" spans="1:27" x14ac:dyDescent="0.25">
      <c r="B42" s="3"/>
      <c r="C42" s="40"/>
      <c r="D42" s="40"/>
      <c r="R42" s="3">
        <v>2028</v>
      </c>
      <c r="S42" s="40">
        <v>2480</v>
      </c>
    </row>
    <row r="43" spans="1:27" x14ac:dyDescent="0.25">
      <c r="B43" s="3"/>
      <c r="C43" s="40"/>
      <c r="D43" s="40"/>
      <c r="R43" s="3" t="s">
        <v>26</v>
      </c>
      <c r="S43" s="40">
        <v>5982</v>
      </c>
    </row>
    <row r="44" spans="1:27" x14ac:dyDescent="0.25">
      <c r="B44" s="3"/>
      <c r="C44" s="40"/>
      <c r="D44" s="40"/>
      <c r="R44" s="6" t="s">
        <v>8</v>
      </c>
      <c r="S44" s="45">
        <f>SUM(S38:S43)</f>
        <v>12324</v>
      </c>
    </row>
    <row r="45" spans="1:27" x14ac:dyDescent="0.25">
      <c r="B45" s="3"/>
      <c r="C45" s="40"/>
      <c r="D45" s="40"/>
    </row>
    <row r="46" spans="1:27" x14ac:dyDescent="0.25">
      <c r="B46" s="3"/>
      <c r="C46" s="40"/>
      <c r="D46" s="40"/>
    </row>
    <row r="47" spans="1:27" x14ac:dyDescent="0.25">
      <c r="B47" s="3"/>
      <c r="C47" s="40"/>
      <c r="D47" s="40"/>
    </row>
    <row r="48" spans="1:27" x14ac:dyDescent="0.25">
      <c r="B48" s="3"/>
      <c r="C48" s="40"/>
      <c r="D48" s="40"/>
    </row>
    <row r="49" spans="1:27" x14ac:dyDescent="0.25">
      <c r="B49" s="6"/>
      <c r="C49" s="45"/>
      <c r="D49" s="45"/>
    </row>
    <row r="50" spans="1:27" x14ac:dyDescent="0.25">
      <c r="B50" s="3"/>
      <c r="C50" s="40"/>
      <c r="D50" s="40"/>
    </row>
    <row r="51" spans="1:27" x14ac:dyDescent="0.25">
      <c r="B51" s="3"/>
      <c r="C51" s="45"/>
      <c r="D51" s="45"/>
      <c r="O51" s="3"/>
    </row>
    <row r="52" spans="1:27" ht="14.4" x14ac:dyDescent="0.3">
      <c r="A52" s="63" t="s">
        <v>7</v>
      </c>
      <c r="B52" s="109" t="s">
        <v>97</v>
      </c>
      <c r="C52" s="1"/>
      <c r="D52" s="1"/>
      <c r="O52" s="3"/>
    </row>
    <row r="53" spans="1:27" x14ac:dyDescent="0.25">
      <c r="B53" s="3"/>
      <c r="C53" s="40"/>
      <c r="D53" s="40"/>
      <c r="O53" s="3"/>
    </row>
    <row r="54" spans="1:27" x14ac:dyDescent="0.25">
      <c r="B54" s="3"/>
      <c r="C54" s="40"/>
      <c r="D54" s="40"/>
      <c r="O54" s="3"/>
      <c r="R54" s="4" t="s">
        <v>27</v>
      </c>
      <c r="S54" s="1" t="s">
        <v>29</v>
      </c>
      <c r="U54" s="4" t="s">
        <v>1</v>
      </c>
      <c r="V54" s="4" t="s">
        <v>3</v>
      </c>
      <c r="W54" s="4" t="s">
        <v>29</v>
      </c>
      <c r="X54" s="4" t="s">
        <v>30</v>
      </c>
      <c r="Y54" s="4" t="s">
        <v>31</v>
      </c>
      <c r="Z54" s="4" t="s">
        <v>32</v>
      </c>
      <c r="AA54" s="4" t="s">
        <v>33</v>
      </c>
    </row>
    <row r="55" spans="1:27" x14ac:dyDescent="0.25">
      <c r="B55" s="3"/>
      <c r="C55" s="40"/>
      <c r="D55" s="40"/>
      <c r="O55" s="3"/>
      <c r="R55" s="3">
        <v>2024</v>
      </c>
      <c r="S55" s="40" t="s">
        <v>67</v>
      </c>
      <c r="U55" s="3" t="s">
        <v>96</v>
      </c>
      <c r="V55" s="3" t="s">
        <v>7</v>
      </c>
      <c r="W55" s="3" t="s">
        <v>68</v>
      </c>
      <c r="X55" s="40">
        <f>SUM(S55:S59)</f>
        <v>6346</v>
      </c>
      <c r="Y55" s="3" t="s">
        <v>35</v>
      </c>
      <c r="Z55" s="3" t="s">
        <v>36</v>
      </c>
      <c r="AA55" s="3" t="s">
        <v>29</v>
      </c>
    </row>
    <row r="56" spans="1:27" x14ac:dyDescent="0.25">
      <c r="B56" s="3"/>
      <c r="C56" s="40"/>
      <c r="D56" s="40"/>
      <c r="O56" s="3"/>
      <c r="R56" s="3">
        <v>2025</v>
      </c>
      <c r="S56" s="40">
        <v>1260</v>
      </c>
      <c r="U56" s="3" t="s">
        <v>96</v>
      </c>
      <c r="V56" s="3" t="s">
        <v>7</v>
      </c>
      <c r="W56" s="3" t="s">
        <v>69</v>
      </c>
      <c r="X56" s="40">
        <f>S60</f>
        <v>5982</v>
      </c>
      <c r="Y56" s="3" t="s">
        <v>35</v>
      </c>
      <c r="Z56" s="3" t="s">
        <v>36</v>
      </c>
      <c r="AA56" s="3" t="s">
        <v>29</v>
      </c>
    </row>
    <row r="57" spans="1:27" x14ac:dyDescent="0.25">
      <c r="B57" s="3"/>
      <c r="C57" s="40"/>
      <c r="D57" s="40"/>
      <c r="O57" s="3"/>
      <c r="R57" s="3">
        <v>2026</v>
      </c>
      <c r="S57" s="40">
        <v>700</v>
      </c>
      <c r="U57" s="3" t="s">
        <v>96</v>
      </c>
      <c r="V57" s="3" t="s">
        <v>7</v>
      </c>
      <c r="W57" s="3" t="s">
        <v>41</v>
      </c>
      <c r="X57" s="40">
        <f>SUM(X55:X56)</f>
        <v>12328</v>
      </c>
      <c r="Y57" s="3" t="s">
        <v>35</v>
      </c>
      <c r="Z57" s="3" t="s">
        <v>36</v>
      </c>
      <c r="AA57" s="3" t="s">
        <v>29</v>
      </c>
    </row>
    <row r="58" spans="1:27" x14ac:dyDescent="0.25">
      <c r="B58" s="3"/>
      <c r="C58" s="40"/>
      <c r="D58" s="40"/>
      <c r="O58" s="3"/>
      <c r="R58" s="3">
        <v>2027</v>
      </c>
      <c r="S58" s="40">
        <v>1906</v>
      </c>
    </row>
    <row r="59" spans="1:27" x14ac:dyDescent="0.25">
      <c r="B59" s="3"/>
      <c r="C59" s="40"/>
      <c r="D59" s="40"/>
      <c r="O59" s="3"/>
      <c r="R59" s="3">
        <v>2028</v>
      </c>
      <c r="S59" s="40">
        <v>2480</v>
      </c>
    </row>
    <row r="60" spans="1:27" x14ac:dyDescent="0.25">
      <c r="B60" s="3"/>
      <c r="C60" s="40"/>
      <c r="D60" s="40"/>
      <c r="O60" s="3"/>
      <c r="R60" s="3" t="s">
        <v>26</v>
      </c>
      <c r="S60" s="40">
        <v>5982</v>
      </c>
    </row>
    <row r="61" spans="1:27" x14ac:dyDescent="0.25">
      <c r="B61" s="3"/>
      <c r="C61" s="40"/>
      <c r="D61" s="40"/>
      <c r="O61" s="3"/>
      <c r="R61" s="6" t="s">
        <v>8</v>
      </c>
      <c r="S61" s="45">
        <f>SUM(S55:S60)</f>
        <v>12328</v>
      </c>
    </row>
    <row r="62" spans="1:27" x14ac:dyDescent="0.25">
      <c r="B62" s="3"/>
      <c r="C62" s="40"/>
      <c r="D62" s="40"/>
      <c r="O62" s="3"/>
    </row>
    <row r="63" spans="1:27" x14ac:dyDescent="0.25">
      <c r="B63" s="3"/>
      <c r="C63" s="40"/>
      <c r="D63" s="40"/>
      <c r="O63" s="3"/>
    </row>
    <row r="64" spans="1:27" x14ac:dyDescent="0.25">
      <c r="B64" s="3"/>
      <c r="C64" s="40"/>
      <c r="D64" s="40"/>
      <c r="O64" s="3"/>
    </row>
    <row r="65" spans="1:16" x14ac:dyDescent="0.25">
      <c r="A65" s="15"/>
      <c r="B65" s="6"/>
      <c r="C65" s="45"/>
      <c r="D65" s="45"/>
      <c r="O65" s="3"/>
    </row>
    <row r="66" spans="1:16" x14ac:dyDescent="0.25">
      <c r="A66" s="15"/>
      <c r="B66" s="3"/>
      <c r="C66" s="40"/>
      <c r="D66" s="40"/>
    </row>
    <row r="67" spans="1:16" ht="14.4" x14ac:dyDescent="0.3">
      <c r="A67" s="15"/>
      <c r="B67" s="3"/>
      <c r="C67" s="40"/>
      <c r="D67" s="40"/>
      <c r="O67"/>
    </row>
    <row r="68" spans="1:16" ht="14.4" x14ac:dyDescent="0.3">
      <c r="A68" s="15"/>
      <c r="B68" s="3"/>
      <c r="C68" s="40"/>
      <c r="D68" s="40"/>
      <c r="O68"/>
    </row>
    <row r="69" spans="1:16" ht="14.4" x14ac:dyDescent="0.3">
      <c r="B69" s="4"/>
      <c r="C69" s="1"/>
      <c r="D69" s="40"/>
      <c r="O69"/>
    </row>
    <row r="70" spans="1:16" ht="14.4" x14ac:dyDescent="0.3">
      <c r="B70" s="3"/>
      <c r="C70" s="40"/>
      <c r="D70" s="40"/>
      <c r="O70"/>
    </row>
    <row r="71" spans="1:16" ht="14.4" x14ac:dyDescent="0.3">
      <c r="B71" s="3"/>
      <c r="C71" s="40"/>
      <c r="D71" s="40"/>
      <c r="O71"/>
      <c r="P71"/>
    </row>
    <row r="72" spans="1:16" ht="14.4" x14ac:dyDescent="0.3">
      <c r="B72" s="3"/>
      <c r="C72" s="40"/>
      <c r="D72" s="40"/>
      <c r="O72"/>
      <c r="P72"/>
    </row>
    <row r="73" spans="1:16" ht="14.4" x14ac:dyDescent="0.3">
      <c r="B73" s="3"/>
      <c r="C73" s="40"/>
      <c r="D73" s="40"/>
      <c r="O73"/>
      <c r="P73"/>
    </row>
    <row r="74" spans="1:16" ht="14.4" x14ac:dyDescent="0.3">
      <c r="B74" s="3"/>
      <c r="C74" s="40"/>
      <c r="D74" s="40"/>
      <c r="O74"/>
      <c r="P74"/>
    </row>
    <row r="75" spans="1:16" ht="14.4" x14ac:dyDescent="0.3">
      <c r="B75" s="3"/>
      <c r="C75" s="40"/>
      <c r="D75" s="40"/>
      <c r="O75"/>
      <c r="P75"/>
    </row>
    <row r="76" spans="1:16" ht="14.4" x14ac:dyDescent="0.3">
      <c r="B76" s="3"/>
      <c r="C76" s="40"/>
      <c r="D76" s="40"/>
      <c r="O76"/>
      <c r="P76"/>
    </row>
    <row r="77" spans="1:16" ht="14.4" x14ac:dyDescent="0.3">
      <c r="B77" s="3"/>
      <c r="C77" s="40"/>
      <c r="D77" s="40"/>
      <c r="O77"/>
      <c r="P77"/>
    </row>
    <row r="78" spans="1:16" ht="14.4" x14ac:dyDescent="0.3">
      <c r="B78" s="3"/>
      <c r="C78" s="40"/>
      <c r="D78" s="40"/>
      <c r="O78"/>
      <c r="P78"/>
    </row>
    <row r="79" spans="1:16" ht="14.4" x14ac:dyDescent="0.3">
      <c r="B79" s="3"/>
      <c r="C79" s="40"/>
      <c r="D79" s="40"/>
      <c r="O79"/>
      <c r="P79"/>
    </row>
    <row r="80" spans="1:16" ht="14.4" x14ac:dyDescent="0.3">
      <c r="B80" s="3"/>
      <c r="C80" s="40"/>
      <c r="D80" s="40"/>
      <c r="P80"/>
    </row>
    <row r="81" spans="2:16" ht="14.4" x14ac:dyDescent="0.3">
      <c r="B81" s="3"/>
      <c r="C81" s="40"/>
      <c r="D81" s="40"/>
      <c r="P81"/>
    </row>
    <row r="82" spans="2:16" ht="14.4" x14ac:dyDescent="0.3">
      <c r="B82" s="6"/>
      <c r="C82" s="45"/>
      <c r="D82" s="40"/>
      <c r="P82"/>
    </row>
    <row r="83" spans="2:16" ht="14.4" x14ac:dyDescent="0.3">
      <c r="C83" s="40"/>
      <c r="D83" s="40"/>
      <c r="P83"/>
    </row>
    <row r="84" spans="2:16" x14ac:dyDescent="0.25">
      <c r="B84" s="4"/>
      <c r="C84" s="1"/>
      <c r="D84" s="1"/>
    </row>
    <row r="85" spans="2:16" x14ac:dyDescent="0.25">
      <c r="B85" s="3"/>
      <c r="C85" s="40"/>
      <c r="D85" s="40"/>
    </row>
    <row r="86" spans="2:16" x14ac:dyDescent="0.25">
      <c r="B86" s="3"/>
      <c r="C86" s="40"/>
      <c r="D86" s="40"/>
    </row>
    <row r="87" spans="2:16" x14ac:dyDescent="0.25">
      <c r="B87" s="3"/>
      <c r="C87" s="40"/>
      <c r="D87" s="40"/>
    </row>
    <row r="88" spans="2:16" x14ac:dyDescent="0.25">
      <c r="B88" s="3"/>
      <c r="C88" s="40"/>
      <c r="D88" s="40"/>
    </row>
    <row r="89" spans="2:16" x14ac:dyDescent="0.25">
      <c r="B89" s="3"/>
      <c r="C89" s="3"/>
      <c r="D89" s="3"/>
    </row>
    <row r="90" spans="2:16" x14ac:dyDescent="0.25">
      <c r="B90" s="3"/>
      <c r="C90" s="3"/>
      <c r="D90" s="3"/>
    </row>
    <row r="91" spans="2:16" x14ac:dyDescent="0.25">
      <c r="B91" s="3"/>
      <c r="C91" s="3"/>
      <c r="D91" s="3"/>
    </row>
    <row r="92" spans="2:16" x14ac:dyDescent="0.25">
      <c r="B92" s="3"/>
      <c r="C92" s="40"/>
      <c r="D92" s="40"/>
    </row>
    <row r="93" spans="2:16" x14ac:dyDescent="0.25">
      <c r="B93" s="3"/>
      <c r="C93" s="3"/>
      <c r="D93" s="3"/>
    </row>
    <row r="94" spans="2:16" x14ac:dyDescent="0.25">
      <c r="B94" s="3"/>
      <c r="C94" s="3"/>
      <c r="D94" s="3"/>
    </row>
    <row r="95" spans="2:16" x14ac:dyDescent="0.25">
      <c r="B95" s="3"/>
      <c r="C95" s="40"/>
      <c r="D95" s="40"/>
    </row>
    <row r="96" spans="2:16" x14ac:dyDescent="0.25">
      <c r="B96" s="3"/>
      <c r="C96" s="40"/>
      <c r="D96" s="40"/>
    </row>
    <row r="97" spans="2:4" x14ac:dyDescent="0.25">
      <c r="B97" s="3"/>
      <c r="C97" s="40"/>
      <c r="D97" s="40"/>
    </row>
    <row r="98" spans="2:4" x14ac:dyDescent="0.25">
      <c r="B98" s="3"/>
      <c r="C98" s="3"/>
      <c r="D98" s="3"/>
    </row>
    <row r="99" spans="2:4" x14ac:dyDescent="0.25">
      <c r="B99" s="3"/>
      <c r="C99" s="3"/>
      <c r="D99" s="3"/>
    </row>
    <row r="100" spans="2:4" x14ac:dyDescent="0.25">
      <c r="B100" s="3"/>
      <c r="C100" s="3"/>
      <c r="D100" s="3"/>
    </row>
    <row r="101" spans="2:4" x14ac:dyDescent="0.25">
      <c r="B101" s="3"/>
      <c r="C101" s="3"/>
      <c r="D101" s="3"/>
    </row>
    <row r="102" spans="2:4" x14ac:dyDescent="0.25">
      <c r="B102" s="3"/>
      <c r="C102" s="3"/>
      <c r="D102" s="3"/>
    </row>
    <row r="103" spans="2:4" x14ac:dyDescent="0.25">
      <c r="B103" s="3"/>
      <c r="C103" s="40"/>
      <c r="D103" s="40"/>
    </row>
    <row r="104" spans="2:4" x14ac:dyDescent="0.25">
      <c r="B104" s="3"/>
      <c r="C104" s="40"/>
      <c r="D104" s="40"/>
    </row>
    <row r="105" spans="2:4" x14ac:dyDescent="0.25">
      <c r="B105" s="3"/>
      <c r="C105" s="3"/>
      <c r="D105" s="3"/>
    </row>
    <row r="106" spans="2:4" x14ac:dyDescent="0.25">
      <c r="B106" s="3"/>
      <c r="C106" s="3"/>
      <c r="D106" s="3"/>
    </row>
    <row r="107" spans="2:4" x14ac:dyDescent="0.25">
      <c r="B107" s="3"/>
      <c r="C107" s="3"/>
      <c r="D107" s="3"/>
    </row>
    <row r="108" spans="2:4" x14ac:dyDescent="0.25">
      <c r="B108" s="3"/>
      <c r="C108" s="40"/>
      <c r="D108" s="40"/>
    </row>
    <row r="109" spans="2:4" x14ac:dyDescent="0.25">
      <c r="B109" s="3"/>
      <c r="C109" s="3"/>
      <c r="D109" s="3"/>
    </row>
    <row r="110" spans="2:4" x14ac:dyDescent="0.25">
      <c r="B110" s="3"/>
      <c r="C110" s="3"/>
      <c r="D110" s="3"/>
    </row>
    <row r="111" spans="2:4" x14ac:dyDescent="0.25">
      <c r="B111" s="3"/>
      <c r="C111" s="3"/>
      <c r="D111" s="3"/>
    </row>
    <row r="112" spans="2:4" x14ac:dyDescent="0.25">
      <c r="B112" s="3"/>
      <c r="C112" s="3"/>
      <c r="D112" s="3"/>
    </row>
    <row r="113" spans="2:4" x14ac:dyDescent="0.25">
      <c r="B113" s="3"/>
      <c r="C113" s="3"/>
      <c r="D113" s="3"/>
    </row>
    <row r="115" spans="2:4" x14ac:dyDescent="0.25">
      <c r="B115" s="1"/>
      <c r="C115" s="4"/>
      <c r="D115" s="4"/>
    </row>
    <row r="116" spans="2:4" x14ac:dyDescent="0.25">
      <c r="C116" s="40"/>
      <c r="D116" s="40"/>
    </row>
    <row r="117" spans="2:4" x14ac:dyDescent="0.25">
      <c r="C117" s="40"/>
      <c r="D117" s="40"/>
    </row>
    <row r="118" spans="2:4" x14ac:dyDescent="0.25">
      <c r="C118" s="40"/>
      <c r="D118" s="40"/>
    </row>
    <row r="119" spans="2:4" x14ac:dyDescent="0.25">
      <c r="C119" s="40"/>
      <c r="D119" s="40"/>
    </row>
    <row r="120" spans="2:4" x14ac:dyDescent="0.25">
      <c r="C120" s="40"/>
      <c r="D120" s="40"/>
    </row>
    <row r="121" spans="2:4" x14ac:dyDescent="0.25">
      <c r="C121" s="40"/>
      <c r="D121" s="40"/>
    </row>
    <row r="122" spans="2:4" x14ac:dyDescent="0.25">
      <c r="B122" s="7"/>
      <c r="C122" s="45"/>
      <c r="D122" s="45"/>
    </row>
    <row r="123" spans="2:4" x14ac:dyDescent="0.25">
      <c r="C123" s="40"/>
      <c r="D123" s="40"/>
    </row>
    <row r="124" spans="2:4" x14ac:dyDescent="0.25">
      <c r="C124" s="40"/>
      <c r="D124" s="40"/>
    </row>
    <row r="125" spans="2:4" x14ac:dyDescent="0.25">
      <c r="B125" s="7"/>
      <c r="C125" s="45"/>
      <c r="D125" s="45"/>
    </row>
    <row r="127" spans="2:4" x14ac:dyDescent="0.25">
      <c r="B127" s="9"/>
    </row>
    <row r="140" spans="1:2" x14ac:dyDescent="0.25">
      <c r="A140" s="8"/>
      <c r="B140" s="9"/>
    </row>
    <row r="141" spans="1:2" x14ac:dyDescent="0.25">
      <c r="A141" s="15"/>
      <c r="B141" s="3"/>
    </row>
    <row r="142" spans="1:2" x14ac:dyDescent="0.25">
      <c r="A142" s="15"/>
      <c r="B142" s="3"/>
    </row>
    <row r="143" spans="1:2" x14ac:dyDescent="0.25">
      <c r="A143" s="15"/>
      <c r="B143" s="3"/>
    </row>
    <row r="144" spans="1:2" x14ac:dyDescent="0.25">
      <c r="A144" s="15"/>
      <c r="B144" s="3"/>
    </row>
    <row r="145" spans="1:4" x14ac:dyDescent="0.25">
      <c r="A145" s="15"/>
      <c r="B145" s="3"/>
    </row>
    <row r="146" spans="1:4" x14ac:dyDescent="0.25">
      <c r="A146" s="15"/>
      <c r="B146" s="3"/>
    </row>
    <row r="147" spans="1:4" x14ac:dyDescent="0.25">
      <c r="A147" s="15"/>
      <c r="B147" s="7"/>
      <c r="C147" s="3"/>
      <c r="D147" s="3"/>
    </row>
    <row r="148" spans="1:4" x14ac:dyDescent="0.25">
      <c r="A148" s="15"/>
    </row>
    <row r="149" spans="1:4" x14ac:dyDescent="0.25">
      <c r="A149" s="15"/>
      <c r="B149" s="1"/>
      <c r="C149" s="4"/>
      <c r="D149" s="4"/>
    </row>
    <row r="150" spans="1:4" x14ac:dyDescent="0.25">
      <c r="A150" s="15"/>
      <c r="C150" s="40"/>
      <c r="D150" s="40"/>
    </row>
    <row r="151" spans="1:4" x14ac:dyDescent="0.25">
      <c r="A151" s="15"/>
      <c r="C151" s="40"/>
      <c r="D151" s="40"/>
    </row>
    <row r="152" spans="1:4" x14ac:dyDescent="0.25">
      <c r="A152" s="15"/>
      <c r="C152" s="40"/>
      <c r="D152" s="40"/>
    </row>
    <row r="153" spans="1:4" x14ac:dyDescent="0.25">
      <c r="A153" s="15"/>
      <c r="C153" s="40"/>
      <c r="D153" s="40"/>
    </row>
    <row r="154" spans="1:4" x14ac:dyDescent="0.25">
      <c r="A154" s="15"/>
      <c r="C154" s="40"/>
      <c r="D154" s="40"/>
    </row>
    <row r="155" spans="1:4" x14ac:dyDescent="0.25">
      <c r="A155" s="15"/>
      <c r="C155" s="40"/>
      <c r="D155" s="40"/>
    </row>
    <row r="156" spans="1:4" x14ac:dyDescent="0.25">
      <c r="A156" s="15"/>
      <c r="C156" s="40"/>
      <c r="D156" s="40"/>
    </row>
    <row r="157" spans="1:4" x14ac:dyDescent="0.25">
      <c r="A157" s="15"/>
      <c r="C157" s="40"/>
      <c r="D157" s="40"/>
    </row>
    <row r="158" spans="1:4" x14ac:dyDescent="0.25">
      <c r="A158" s="15"/>
      <c r="C158" s="40"/>
      <c r="D158" s="40"/>
    </row>
    <row r="159" spans="1:4" x14ac:dyDescent="0.25">
      <c r="A159" s="15"/>
    </row>
    <row r="160" spans="1:4" x14ac:dyDescent="0.25">
      <c r="A160" s="15"/>
    </row>
    <row r="161" spans="1:4" x14ac:dyDescent="0.25">
      <c r="A161" s="15"/>
      <c r="B161" s="3"/>
    </row>
    <row r="162" spans="1:4" x14ac:dyDescent="0.25">
      <c r="A162" s="15"/>
      <c r="B162" s="3"/>
    </row>
    <row r="163" spans="1:4" x14ac:dyDescent="0.25">
      <c r="A163" s="15"/>
      <c r="B163" s="3"/>
    </row>
    <row r="164" spans="1:4" x14ac:dyDescent="0.25">
      <c r="A164" s="15"/>
      <c r="B164" s="3"/>
    </row>
    <row r="165" spans="1:4" x14ac:dyDescent="0.25">
      <c r="A165" s="15"/>
      <c r="B165" s="3"/>
    </row>
    <row r="166" spans="1:4" x14ac:dyDescent="0.25">
      <c r="A166" s="15"/>
      <c r="B166" s="3"/>
    </row>
    <row r="167" spans="1:4" x14ac:dyDescent="0.25">
      <c r="A167" s="15"/>
      <c r="B167" s="3"/>
    </row>
    <row r="168" spans="1:4" x14ac:dyDescent="0.25">
      <c r="A168" s="15"/>
      <c r="B168" s="3"/>
    </row>
    <row r="169" spans="1:4" x14ac:dyDescent="0.25">
      <c r="A169" s="15"/>
      <c r="B169" s="3"/>
    </row>
    <row r="170" spans="1:4" x14ac:dyDescent="0.25">
      <c r="A170" s="15"/>
      <c r="B170" s="3"/>
    </row>
    <row r="171" spans="1:4" x14ac:dyDescent="0.25">
      <c r="A171" s="15"/>
      <c r="B171" s="3"/>
    </row>
    <row r="174" spans="1:4" x14ac:dyDescent="0.25">
      <c r="B174" s="9"/>
    </row>
    <row r="176" spans="1:4" x14ac:dyDescent="0.25">
      <c r="B176" s="1"/>
      <c r="C176" s="4"/>
      <c r="D176" s="4"/>
    </row>
    <row r="177" spans="2:4" x14ac:dyDescent="0.25">
      <c r="C177" s="40"/>
      <c r="D177" s="40"/>
    </row>
    <row r="178" spans="2:4" x14ac:dyDescent="0.25">
      <c r="C178" s="40"/>
      <c r="D178" s="40"/>
    </row>
    <row r="179" spans="2:4" x14ac:dyDescent="0.25">
      <c r="C179" s="40"/>
      <c r="D179" s="40"/>
    </row>
    <row r="180" spans="2:4" x14ac:dyDescent="0.25">
      <c r="C180" s="40"/>
      <c r="D180" s="40"/>
    </row>
    <row r="181" spans="2:4" x14ac:dyDescent="0.25">
      <c r="C181" s="40"/>
      <c r="D181" s="40"/>
    </row>
    <row r="182" spans="2:4" x14ac:dyDescent="0.25">
      <c r="C182" s="40"/>
      <c r="D182" s="40"/>
    </row>
    <row r="183" spans="2:4" x14ac:dyDescent="0.25">
      <c r="B183" s="7"/>
      <c r="C183" s="45"/>
      <c r="D183" s="45"/>
    </row>
    <row r="184" spans="2:4" x14ac:dyDescent="0.25">
      <c r="C184" s="40"/>
      <c r="D184" s="40"/>
    </row>
    <row r="185" spans="2:4" x14ac:dyDescent="0.25">
      <c r="C185" s="40"/>
      <c r="D185" s="40"/>
    </row>
    <row r="186" spans="2:4" x14ac:dyDescent="0.25">
      <c r="B186" s="7"/>
      <c r="C186" s="45"/>
      <c r="D186" s="45"/>
    </row>
    <row r="188" spans="2:4" x14ac:dyDescent="0.25">
      <c r="B188" s="9"/>
    </row>
    <row r="200" spans="1:4" x14ac:dyDescent="0.25">
      <c r="A200" s="8"/>
      <c r="B200" s="9"/>
    </row>
    <row r="201" spans="1:4" x14ac:dyDescent="0.25">
      <c r="A201" s="15"/>
      <c r="B201" s="3"/>
    </row>
    <row r="202" spans="1:4" x14ac:dyDescent="0.25">
      <c r="A202" s="15"/>
      <c r="B202" s="3"/>
    </row>
    <row r="203" spans="1:4" x14ac:dyDescent="0.25">
      <c r="A203" s="15"/>
      <c r="B203" s="3"/>
    </row>
    <row r="204" spans="1:4" x14ac:dyDescent="0.25">
      <c r="A204" s="15"/>
      <c r="B204" s="3"/>
    </row>
    <row r="205" spans="1:4" x14ac:dyDescent="0.25">
      <c r="A205" s="15"/>
      <c r="B205" s="3"/>
    </row>
    <row r="206" spans="1:4" x14ac:dyDescent="0.25">
      <c r="A206" s="15"/>
      <c r="B206" s="3"/>
    </row>
    <row r="207" spans="1:4" x14ac:dyDescent="0.25">
      <c r="A207" s="15"/>
      <c r="B207" s="3"/>
    </row>
    <row r="208" spans="1:4" x14ac:dyDescent="0.25">
      <c r="A208" s="15"/>
      <c r="B208" s="7"/>
      <c r="C208" s="3"/>
      <c r="D208" s="3"/>
    </row>
    <row r="209" spans="1:4" x14ac:dyDescent="0.25">
      <c r="A209" s="15"/>
    </row>
    <row r="210" spans="1:4" x14ac:dyDescent="0.25">
      <c r="A210" s="15"/>
      <c r="B210" s="1"/>
      <c r="C210" s="4"/>
      <c r="D210" s="4"/>
    </row>
    <row r="211" spans="1:4" x14ac:dyDescent="0.25">
      <c r="A211" s="15"/>
      <c r="C211" s="40"/>
      <c r="D211" s="40"/>
    </row>
    <row r="212" spans="1:4" x14ac:dyDescent="0.25">
      <c r="A212" s="15"/>
      <c r="C212" s="40"/>
      <c r="D212" s="40"/>
    </row>
    <row r="213" spans="1:4" x14ac:dyDescent="0.25">
      <c r="A213" s="15"/>
      <c r="C213" s="40"/>
      <c r="D213" s="40"/>
    </row>
    <row r="214" spans="1:4" x14ac:dyDescent="0.25">
      <c r="A214" s="15"/>
      <c r="C214" s="40"/>
      <c r="D214" s="40"/>
    </row>
    <row r="215" spans="1:4" x14ac:dyDescent="0.25">
      <c r="A215" s="15"/>
      <c r="C215" s="40"/>
      <c r="D215" s="40"/>
    </row>
    <row r="216" spans="1:4" x14ac:dyDescent="0.25">
      <c r="A216" s="15"/>
      <c r="C216" s="40"/>
      <c r="D216" s="40"/>
    </row>
    <row r="217" spans="1:4" x14ac:dyDescent="0.25">
      <c r="A217" s="15"/>
      <c r="C217" s="40"/>
      <c r="D217" s="40"/>
    </row>
    <row r="218" spans="1:4" x14ac:dyDescent="0.25">
      <c r="A218" s="15"/>
      <c r="C218" s="40"/>
      <c r="D218" s="40"/>
    </row>
    <row r="219" spans="1:4" x14ac:dyDescent="0.25">
      <c r="A219" s="15"/>
      <c r="C219" s="40"/>
      <c r="D219" s="40"/>
    </row>
    <row r="220" spans="1:4" x14ac:dyDescent="0.25">
      <c r="A220" s="15"/>
    </row>
    <row r="221" spans="1:4" x14ac:dyDescent="0.25">
      <c r="A221" s="15"/>
    </row>
    <row r="222" spans="1:4" x14ac:dyDescent="0.25">
      <c r="A222" s="15"/>
      <c r="B222" s="3"/>
    </row>
    <row r="223" spans="1:4" x14ac:dyDescent="0.25">
      <c r="A223" s="15"/>
      <c r="B223" s="3"/>
    </row>
    <row r="224" spans="1:4" x14ac:dyDescent="0.25">
      <c r="A224" s="15"/>
      <c r="B224" s="3"/>
    </row>
    <row r="225" spans="1:4" x14ac:dyDescent="0.25">
      <c r="A225" s="15"/>
      <c r="B225" s="3"/>
    </row>
    <row r="226" spans="1:4" x14ac:dyDescent="0.25">
      <c r="A226" s="15"/>
      <c r="B226" s="3"/>
    </row>
    <row r="227" spans="1:4" x14ac:dyDescent="0.25">
      <c r="A227" s="15"/>
      <c r="B227" s="3"/>
    </row>
    <row r="228" spans="1:4" x14ac:dyDescent="0.25">
      <c r="A228" s="15"/>
      <c r="B228" s="3"/>
    </row>
    <row r="229" spans="1:4" x14ac:dyDescent="0.25">
      <c r="A229" s="15"/>
      <c r="B229" s="3"/>
    </row>
    <row r="230" spans="1:4" x14ac:dyDescent="0.25">
      <c r="A230" s="15"/>
      <c r="B230" s="3"/>
    </row>
    <row r="231" spans="1:4" x14ac:dyDescent="0.25">
      <c r="A231" s="15"/>
      <c r="B231" s="3"/>
    </row>
    <row r="232" spans="1:4" x14ac:dyDescent="0.25">
      <c r="A232" s="15"/>
      <c r="B232" s="3"/>
    </row>
    <row r="233" spans="1:4" x14ac:dyDescent="0.25">
      <c r="A233" s="15"/>
      <c r="B233" s="3"/>
    </row>
    <row r="236" spans="1:4" x14ac:dyDescent="0.25">
      <c r="B236" s="9"/>
    </row>
    <row r="239" spans="1:4" x14ac:dyDescent="0.25">
      <c r="B239" s="1"/>
      <c r="C239" s="4"/>
      <c r="D239" s="4"/>
    </row>
    <row r="240" spans="1:4" x14ac:dyDescent="0.25">
      <c r="C240" s="40"/>
      <c r="D240" s="40"/>
    </row>
    <row r="241" spans="2:4" x14ac:dyDescent="0.25">
      <c r="C241" s="40"/>
      <c r="D241" s="40"/>
    </row>
    <row r="242" spans="2:4" x14ac:dyDescent="0.25">
      <c r="C242" s="40"/>
      <c r="D242" s="40"/>
    </row>
    <row r="243" spans="2:4" x14ac:dyDescent="0.25">
      <c r="C243" s="40"/>
      <c r="D243" s="40"/>
    </row>
    <row r="244" spans="2:4" x14ac:dyDescent="0.25">
      <c r="C244" s="40"/>
      <c r="D244" s="40"/>
    </row>
    <row r="245" spans="2:4" x14ac:dyDescent="0.25">
      <c r="C245" s="40"/>
      <c r="D245" s="40"/>
    </row>
    <row r="246" spans="2:4" x14ac:dyDescent="0.25">
      <c r="B246" s="7"/>
      <c r="C246" s="45"/>
      <c r="D246" s="45"/>
    </row>
    <row r="247" spans="2:4" x14ac:dyDescent="0.25">
      <c r="C247" s="40"/>
      <c r="D247" s="40"/>
    </row>
    <row r="248" spans="2:4" x14ac:dyDescent="0.25">
      <c r="C248" s="40"/>
      <c r="D248" s="40"/>
    </row>
    <row r="249" spans="2:4" x14ac:dyDescent="0.25">
      <c r="B249" s="7"/>
      <c r="C249" s="45"/>
      <c r="D249" s="45"/>
    </row>
    <row r="251" spans="2:4" x14ac:dyDescent="0.25">
      <c r="B251" s="9"/>
    </row>
    <row r="264" spans="1:4" x14ac:dyDescent="0.25">
      <c r="A264" s="8"/>
      <c r="B264" s="9"/>
    </row>
    <row r="265" spans="1:4" x14ac:dyDescent="0.25">
      <c r="A265" s="15"/>
      <c r="B265" s="3"/>
    </row>
    <row r="266" spans="1:4" x14ac:dyDescent="0.25">
      <c r="A266" s="15"/>
      <c r="B266" s="3"/>
    </row>
    <row r="267" spans="1:4" x14ac:dyDescent="0.25">
      <c r="A267" s="15"/>
      <c r="B267" s="3"/>
    </row>
    <row r="268" spans="1:4" x14ac:dyDescent="0.25">
      <c r="A268" s="15"/>
      <c r="B268" s="3"/>
    </row>
    <row r="269" spans="1:4" x14ac:dyDescent="0.25">
      <c r="A269" s="15"/>
      <c r="B269" s="3"/>
    </row>
    <row r="272" spans="1:4" x14ac:dyDescent="0.25">
      <c r="B272" s="7"/>
      <c r="C272" s="3"/>
      <c r="D272" s="3"/>
    </row>
    <row r="274" spans="2:4" x14ac:dyDescent="0.25">
      <c r="B274" s="1"/>
      <c r="C274" s="4"/>
      <c r="D274" s="4"/>
    </row>
    <row r="275" spans="2:4" x14ac:dyDescent="0.25">
      <c r="C275" s="40"/>
      <c r="D275" s="40"/>
    </row>
    <row r="276" spans="2:4" x14ac:dyDescent="0.25">
      <c r="C276" s="40"/>
      <c r="D276" s="40"/>
    </row>
    <row r="277" spans="2:4" x14ac:dyDescent="0.25">
      <c r="C277" s="40"/>
      <c r="D277" s="40"/>
    </row>
    <row r="278" spans="2:4" x14ac:dyDescent="0.25">
      <c r="C278" s="40"/>
      <c r="D278" s="40"/>
    </row>
    <row r="279" spans="2:4" x14ac:dyDescent="0.25">
      <c r="C279" s="40"/>
      <c r="D279" s="40"/>
    </row>
    <row r="280" spans="2:4" x14ac:dyDescent="0.25">
      <c r="C280" s="40"/>
      <c r="D280" s="40"/>
    </row>
    <row r="281" spans="2:4" x14ac:dyDescent="0.25">
      <c r="C281" s="40"/>
      <c r="D281" s="40"/>
    </row>
    <row r="282" spans="2:4" x14ac:dyDescent="0.25">
      <c r="C282" s="40"/>
      <c r="D282" s="40"/>
    </row>
    <row r="283" spans="2:4" x14ac:dyDescent="0.25">
      <c r="C283" s="40"/>
      <c r="D283" s="4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E6D6-7E1A-4301-979C-76A243DBD39F}">
  <sheetPr>
    <tabColor rgb="FF00B0F0"/>
  </sheetPr>
  <dimension ref="A1"/>
  <sheetViews>
    <sheetView workbookViewId="0">
      <selection activeCell="I32" sqref="I32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DA77-D78C-47DF-AF8B-B162A6B3E180}">
  <dimension ref="A1:AA289"/>
  <sheetViews>
    <sheetView showGridLines="0" workbookViewId="0">
      <selection activeCell="G16" sqref="G16"/>
    </sheetView>
  </sheetViews>
  <sheetFormatPr defaultRowHeight="13.8" x14ac:dyDescent="0.25"/>
  <cols>
    <col min="1" max="1" width="4.77734375" style="2" bestFit="1" customWidth="1"/>
    <col min="2" max="2" width="8" style="2" bestFit="1" customWidth="1"/>
    <col min="3" max="3" width="8.77734375" style="2" bestFit="1" customWidth="1"/>
    <col min="4" max="5" width="11.33203125" style="2" bestFit="1" customWidth="1"/>
    <col min="6" max="6" width="11.33203125" style="2" customWidth="1"/>
    <col min="7" max="7" width="5.88671875" style="2" bestFit="1" customWidth="1"/>
    <col min="8" max="8" width="24.21875" style="2" bestFit="1" customWidth="1"/>
    <col min="9" max="9" width="5.21875" style="2" bestFit="1" customWidth="1"/>
    <col min="10" max="10" width="13.44140625" style="2" bestFit="1" customWidth="1"/>
    <col min="11" max="11" width="5.5546875" style="2" bestFit="1" customWidth="1"/>
    <col min="12" max="12" width="6.77734375" style="2" bestFit="1" customWidth="1"/>
    <col min="13" max="13" width="13.44140625" style="2" bestFit="1" customWidth="1"/>
    <col min="14" max="14" width="7.88671875" style="2" bestFit="1" customWidth="1"/>
    <col min="15" max="15" width="4" style="2" bestFit="1" customWidth="1"/>
    <col min="16" max="16" width="8" style="2" bestFit="1" customWidth="1"/>
    <col min="17" max="17" width="12.33203125" style="2" bestFit="1" customWidth="1"/>
    <col min="18" max="18" width="1.77734375" style="2" customWidth="1"/>
    <col min="19" max="19" width="4.6640625" style="2" customWidth="1"/>
    <col min="20" max="20" width="11.21875" style="2" bestFit="1" customWidth="1"/>
    <col min="21" max="21" width="9.6640625" style="2" customWidth="1"/>
    <col min="22" max="22" width="8" style="2" bestFit="1" customWidth="1"/>
    <col min="23" max="16384" width="8.88671875" style="2"/>
  </cols>
  <sheetData>
    <row r="1" spans="1:24" ht="14.4" x14ac:dyDescent="0.3">
      <c r="B1" s="3">
        <v>1000</v>
      </c>
      <c r="K1"/>
      <c r="L1"/>
      <c r="M1"/>
      <c r="N1"/>
      <c r="O1"/>
      <c r="P1"/>
      <c r="Q1"/>
    </row>
    <row r="2" spans="1:24" x14ac:dyDescent="0.25">
      <c r="A2" s="63" t="s">
        <v>5</v>
      </c>
      <c r="B2" s="4" t="s">
        <v>27</v>
      </c>
      <c r="C2" s="4" t="s">
        <v>8</v>
      </c>
      <c r="D2" s="4" t="s">
        <v>28</v>
      </c>
      <c r="E2" s="1" t="s">
        <v>29</v>
      </c>
      <c r="F2" s="1"/>
      <c r="G2" s="4" t="s">
        <v>91</v>
      </c>
      <c r="H2" s="4" t="s">
        <v>92</v>
      </c>
      <c r="I2" s="4" t="s">
        <v>93</v>
      </c>
      <c r="J2" s="1"/>
      <c r="K2" s="4" t="s">
        <v>1</v>
      </c>
      <c r="L2" s="4" t="s">
        <v>3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</row>
    <row r="3" spans="1:24" x14ac:dyDescent="0.25">
      <c r="A3" s="14"/>
      <c r="B3" s="3">
        <v>2025</v>
      </c>
      <c r="C3" s="40">
        <v>205.559</v>
      </c>
      <c r="D3" s="40">
        <v>173.38900000000001</v>
      </c>
      <c r="E3" s="40">
        <f>C3-D3</f>
        <v>32.169999999999987</v>
      </c>
      <c r="F3" s="40"/>
      <c r="G3" s="40">
        <v>31.856000000000002</v>
      </c>
      <c r="H3" s="40" t="s">
        <v>95</v>
      </c>
      <c r="I3" s="40">
        <v>0.314</v>
      </c>
      <c r="J3" s="40"/>
      <c r="K3" s="3" t="s">
        <v>90</v>
      </c>
      <c r="L3" s="3" t="s">
        <v>5</v>
      </c>
      <c r="M3" s="3" t="s">
        <v>68</v>
      </c>
      <c r="N3" s="40">
        <f>SUM(E3:E7)</f>
        <v>10281.179</v>
      </c>
      <c r="O3" s="3" t="s">
        <v>35</v>
      </c>
      <c r="P3" s="3" t="s">
        <v>36</v>
      </c>
      <c r="Q3" s="3" t="s">
        <v>29</v>
      </c>
      <c r="S3" s="69" t="s">
        <v>50</v>
      </c>
    </row>
    <row r="4" spans="1:24" x14ac:dyDescent="0.25">
      <c r="A4" s="14"/>
      <c r="B4" s="3">
        <v>2026</v>
      </c>
      <c r="C4" s="40">
        <v>2111.0210000000002</v>
      </c>
      <c r="D4" s="40">
        <v>45.542000000000002</v>
      </c>
      <c r="E4" s="40">
        <f t="shared" ref="E4:E14" si="0">C4-D4</f>
        <v>2065.4790000000003</v>
      </c>
      <c r="F4" s="40"/>
      <c r="G4" s="40">
        <v>1284.6179999999999</v>
      </c>
      <c r="H4" s="40" t="s">
        <v>95</v>
      </c>
      <c r="I4" s="40">
        <v>780.86099999999999</v>
      </c>
      <c r="J4" s="40"/>
      <c r="K4" s="3" t="s">
        <v>90</v>
      </c>
      <c r="L4" s="3" t="s">
        <v>5</v>
      </c>
      <c r="M4" s="3" t="s">
        <v>39</v>
      </c>
      <c r="N4" s="40">
        <f>SUM(E8:E11)</f>
        <v>9094.5550000000003</v>
      </c>
      <c r="O4" s="3" t="s">
        <v>35</v>
      </c>
      <c r="P4" s="3" t="s">
        <v>36</v>
      </c>
      <c r="Q4" s="3" t="s">
        <v>29</v>
      </c>
      <c r="S4" s="69" t="s">
        <v>51</v>
      </c>
    </row>
    <row r="5" spans="1:24" x14ac:dyDescent="0.25">
      <c r="B5" s="3">
        <v>2027</v>
      </c>
      <c r="C5" s="40">
        <v>2319.2190000000001</v>
      </c>
      <c r="D5" s="40">
        <v>4.1559999999999997</v>
      </c>
      <c r="E5" s="40">
        <f t="shared" si="0"/>
        <v>2315.0630000000001</v>
      </c>
      <c r="F5" s="40"/>
      <c r="G5" s="40">
        <v>1898.0550000000001</v>
      </c>
      <c r="H5" s="40">
        <v>162.63200000000001</v>
      </c>
      <c r="I5" s="40">
        <v>254.376</v>
      </c>
      <c r="J5" s="40"/>
      <c r="K5" s="3" t="s">
        <v>90</v>
      </c>
      <c r="L5" s="3" t="s">
        <v>5</v>
      </c>
      <c r="M5" s="3" t="s">
        <v>69</v>
      </c>
      <c r="N5" s="40">
        <f>SUM(E12:E14)</f>
        <v>11761.953000000001</v>
      </c>
      <c r="O5" s="3" t="s">
        <v>35</v>
      </c>
      <c r="P5" s="3" t="s">
        <v>36</v>
      </c>
      <c r="Q5" s="3" t="s">
        <v>29</v>
      </c>
      <c r="S5" s="69" t="s">
        <v>26</v>
      </c>
    </row>
    <row r="6" spans="1:24" x14ac:dyDescent="0.25">
      <c r="B6" s="3">
        <v>2028</v>
      </c>
      <c r="C6" s="40">
        <v>2678.3780000000002</v>
      </c>
      <c r="D6" s="40">
        <v>3.0409999999999999</v>
      </c>
      <c r="E6" s="40">
        <f t="shared" si="0"/>
        <v>2675.337</v>
      </c>
      <c r="F6" s="40"/>
      <c r="G6" s="40">
        <v>2518.7080000000001</v>
      </c>
      <c r="H6" s="40">
        <v>62.334000000000003</v>
      </c>
      <c r="I6" s="40">
        <v>94.295000000000002</v>
      </c>
      <c r="J6" s="40"/>
      <c r="K6" s="3" t="s">
        <v>90</v>
      </c>
      <c r="L6" s="3" t="s">
        <v>5</v>
      </c>
      <c r="M6" s="3" t="s">
        <v>41</v>
      </c>
      <c r="N6" s="40">
        <f>SUM(N3:N5)</f>
        <v>31137.687000000002</v>
      </c>
      <c r="O6" s="3" t="s">
        <v>35</v>
      </c>
      <c r="P6" s="3" t="s">
        <v>36</v>
      </c>
      <c r="Q6" s="3" t="s">
        <v>29</v>
      </c>
    </row>
    <row r="7" spans="1:24" ht="14.4" x14ac:dyDescent="0.3">
      <c r="B7" s="3">
        <v>2029</v>
      </c>
      <c r="C7" s="40">
        <v>3196.3209999999999</v>
      </c>
      <c r="D7" s="40">
        <v>3.1909999999999998</v>
      </c>
      <c r="E7" s="40">
        <f t="shared" si="0"/>
        <v>3193.13</v>
      </c>
      <c r="F7" s="40"/>
      <c r="G7" s="40">
        <v>3193.13</v>
      </c>
      <c r="H7" s="40" t="s">
        <v>95</v>
      </c>
      <c r="I7" s="40" t="s">
        <v>95</v>
      </c>
      <c r="J7" s="40"/>
      <c r="K7"/>
      <c r="L7"/>
      <c r="M7"/>
      <c r="N7"/>
      <c r="O7"/>
      <c r="P7"/>
      <c r="Q7"/>
    </row>
    <row r="8" spans="1:24" ht="14.4" x14ac:dyDescent="0.3">
      <c r="A8" s="39"/>
      <c r="B8" s="3">
        <v>2030</v>
      </c>
      <c r="C8" s="40">
        <v>2801.3820000000001</v>
      </c>
      <c r="D8" s="40">
        <v>3.3450000000000002</v>
      </c>
      <c r="E8" s="40">
        <f t="shared" si="0"/>
        <v>2798.0370000000003</v>
      </c>
      <c r="F8" s="40"/>
      <c r="G8" s="40">
        <v>2766.181</v>
      </c>
      <c r="H8" s="40" t="s">
        <v>95</v>
      </c>
      <c r="I8" s="40">
        <v>31.856000000000002</v>
      </c>
      <c r="J8" s="40"/>
      <c r="K8"/>
      <c r="L8"/>
      <c r="M8"/>
      <c r="N8"/>
      <c r="O8"/>
      <c r="P8"/>
      <c r="Q8"/>
    </row>
    <row r="9" spans="1:24" ht="14.4" x14ac:dyDescent="0.3">
      <c r="A9" s="39"/>
      <c r="B9" s="3">
        <v>2031</v>
      </c>
      <c r="C9" s="40">
        <v>2138.1610000000001</v>
      </c>
      <c r="D9" s="40">
        <v>17.606999999999999</v>
      </c>
      <c r="E9" s="40">
        <f t="shared" si="0"/>
        <v>2120.5540000000001</v>
      </c>
      <c r="F9" s="40"/>
      <c r="G9" s="40">
        <v>1993.1289999999999</v>
      </c>
      <c r="H9" s="40" t="s">
        <v>95</v>
      </c>
      <c r="I9" s="40">
        <v>127.425</v>
      </c>
      <c r="J9" s="40"/>
      <c r="K9"/>
      <c r="L9"/>
      <c r="M9"/>
      <c r="N9"/>
      <c r="O9"/>
      <c r="P9"/>
      <c r="Q9"/>
    </row>
    <row r="10" spans="1:24" ht="14.4" x14ac:dyDescent="0.3">
      <c r="B10" s="3">
        <v>2032</v>
      </c>
      <c r="C10" s="40">
        <v>1771.3130000000001</v>
      </c>
      <c r="D10" s="40">
        <v>18.715</v>
      </c>
      <c r="E10" s="40">
        <f t="shared" si="0"/>
        <v>1752.5980000000002</v>
      </c>
      <c r="F10" s="40"/>
      <c r="G10" s="40">
        <v>1561.46</v>
      </c>
      <c r="H10" s="40" t="s">
        <v>95</v>
      </c>
      <c r="I10" s="40">
        <v>191.13800000000001</v>
      </c>
      <c r="J10" s="40"/>
      <c r="K10"/>
      <c r="L10"/>
      <c r="M10"/>
      <c r="N10"/>
      <c r="O10"/>
      <c r="P10"/>
      <c r="Q10"/>
    </row>
    <row r="11" spans="1:24" ht="14.4" x14ac:dyDescent="0.3">
      <c r="B11" s="3">
        <v>2033</v>
      </c>
      <c r="C11" s="40">
        <v>2466.6019999999999</v>
      </c>
      <c r="D11" s="40">
        <v>43.235999999999997</v>
      </c>
      <c r="E11" s="40">
        <f t="shared" si="0"/>
        <v>2423.366</v>
      </c>
      <c r="F11" s="40"/>
      <c r="G11" s="40">
        <v>2256.8560000000002</v>
      </c>
      <c r="H11" s="40" t="s">
        <v>95</v>
      </c>
      <c r="I11" s="40">
        <v>166.51</v>
      </c>
      <c r="J11" s="40"/>
      <c r="K11"/>
      <c r="L11"/>
      <c r="M11"/>
      <c r="N11"/>
      <c r="O11"/>
      <c r="P11"/>
      <c r="Q11"/>
    </row>
    <row r="12" spans="1:24" ht="14.4" x14ac:dyDescent="0.3">
      <c r="B12" s="3">
        <v>2034</v>
      </c>
      <c r="C12" s="40">
        <v>3270.2289999999998</v>
      </c>
      <c r="D12" s="40">
        <v>0</v>
      </c>
      <c r="E12" s="40">
        <f t="shared" si="0"/>
        <v>3270.2289999999998</v>
      </c>
      <c r="F12" s="40"/>
      <c r="G12" s="40">
        <v>2900.57</v>
      </c>
      <c r="H12" s="40" t="s">
        <v>95</v>
      </c>
      <c r="I12" s="40">
        <v>369.65899999999999</v>
      </c>
      <c r="J12" s="40"/>
      <c r="K12"/>
      <c r="L12"/>
      <c r="M12"/>
      <c r="N12"/>
      <c r="O12"/>
      <c r="P12"/>
      <c r="Q12"/>
    </row>
    <row r="13" spans="1:24" ht="14.4" x14ac:dyDescent="0.3">
      <c r="B13" s="3">
        <v>2035</v>
      </c>
      <c r="C13" s="40">
        <v>1771.3430000000001</v>
      </c>
      <c r="D13" s="3">
        <v>0</v>
      </c>
      <c r="E13" s="40">
        <f t="shared" si="0"/>
        <v>1771.3430000000001</v>
      </c>
      <c r="F13" s="40"/>
      <c r="G13" s="40">
        <v>1771.3430000000001</v>
      </c>
      <c r="H13" s="40" t="s">
        <v>95</v>
      </c>
      <c r="I13" s="40" t="s">
        <v>95</v>
      </c>
      <c r="J13" s="40"/>
      <c r="K13"/>
      <c r="L13"/>
      <c r="M13"/>
      <c r="N13"/>
      <c r="O13"/>
      <c r="P13"/>
      <c r="Q13"/>
    </row>
    <row r="14" spans="1:24" ht="14.4" x14ac:dyDescent="0.3">
      <c r="B14" s="3" t="s">
        <v>26</v>
      </c>
      <c r="C14" s="40">
        <v>6720.3810000000003</v>
      </c>
      <c r="D14" s="3">
        <v>0</v>
      </c>
      <c r="E14" s="40">
        <f t="shared" si="0"/>
        <v>6720.3810000000003</v>
      </c>
      <c r="F14" s="40"/>
      <c r="G14" s="40">
        <v>6720.3810000000003</v>
      </c>
      <c r="H14" s="40" t="s">
        <v>95</v>
      </c>
      <c r="I14" s="40" t="s">
        <v>95</v>
      </c>
      <c r="J14" s="45"/>
      <c r="K14"/>
      <c r="L14"/>
      <c r="M14"/>
      <c r="N14"/>
      <c r="O14"/>
      <c r="P14"/>
      <c r="Q14"/>
    </row>
    <row r="15" spans="1:24" ht="14.4" x14ac:dyDescent="0.3">
      <c r="B15" s="6" t="s">
        <v>8</v>
      </c>
      <c r="C15" s="45">
        <f>SUM(C3:C14)</f>
        <v>31449.909</v>
      </c>
      <c r="D15" s="45">
        <f>SUM(D3:D14)</f>
        <v>312.22199999999998</v>
      </c>
      <c r="E15" s="45">
        <f>SUM(E3:E14)</f>
        <v>31137.687000000005</v>
      </c>
      <c r="F15" s="45"/>
      <c r="G15" s="45">
        <f>SUM(G3:G14)</f>
        <v>28896.287</v>
      </c>
      <c r="H15" s="45">
        <f>SUM(H3:H14)</f>
        <v>224.96600000000001</v>
      </c>
      <c r="I15" s="45">
        <f>SUM(I3:I14)</f>
        <v>2016.4339999999997</v>
      </c>
      <c r="J15" s="45"/>
      <c r="K15"/>
      <c r="L15"/>
      <c r="M15"/>
      <c r="N15"/>
      <c r="O15"/>
      <c r="P15"/>
      <c r="Q15"/>
    </row>
    <row r="16" spans="1:24" ht="14.4" x14ac:dyDescent="0.3">
      <c r="B16" s="3"/>
      <c r="C16" s="3"/>
      <c r="D16" s="3"/>
      <c r="E16" s="40"/>
      <c r="F16" s="40"/>
      <c r="G16" s="40">
        <f>SUM(G15:I15)</f>
        <v>31137.687000000002</v>
      </c>
      <c r="H16" s="102" t="s">
        <v>72</v>
      </c>
      <c r="I16" s="40"/>
      <c r="J16" s="45"/>
      <c r="K16"/>
      <c r="L16"/>
      <c r="M16"/>
      <c r="N16"/>
      <c r="O16"/>
      <c r="P16"/>
      <c r="Q16"/>
      <c r="X16"/>
    </row>
    <row r="17" spans="1:24" ht="14.4" x14ac:dyDescent="0.3">
      <c r="B17" s="3"/>
      <c r="C17" s="3"/>
      <c r="D17" s="3"/>
      <c r="E17" s="40"/>
      <c r="F17" s="40"/>
      <c r="G17" s="40"/>
      <c r="H17" s="102"/>
      <c r="I17" s="40"/>
      <c r="J17" s="45"/>
      <c r="K17"/>
      <c r="L17"/>
      <c r="M17"/>
      <c r="N17"/>
      <c r="O17"/>
      <c r="P17"/>
      <c r="Q17"/>
      <c r="X17"/>
    </row>
    <row r="18" spans="1:24" ht="14.4" x14ac:dyDescent="0.3">
      <c r="B18" s="3">
        <v>1000</v>
      </c>
      <c r="K18"/>
      <c r="L18"/>
      <c r="M18"/>
      <c r="N18"/>
      <c r="O18"/>
      <c r="P18"/>
      <c r="Q18"/>
    </row>
    <row r="19" spans="1:24" x14ac:dyDescent="0.25">
      <c r="A19" s="63" t="s">
        <v>4</v>
      </c>
      <c r="B19" s="4" t="s">
        <v>27</v>
      </c>
      <c r="C19" s="4" t="s">
        <v>8</v>
      </c>
      <c r="D19" s="4" t="s">
        <v>28</v>
      </c>
      <c r="E19" s="1" t="s">
        <v>29</v>
      </c>
      <c r="F19" s="1"/>
      <c r="G19" s="4" t="s">
        <v>91</v>
      </c>
      <c r="H19" s="4" t="s">
        <v>92</v>
      </c>
      <c r="I19" s="4" t="s">
        <v>93</v>
      </c>
      <c r="K19" s="4" t="s">
        <v>1</v>
      </c>
      <c r="L19" s="4" t="s">
        <v>3</v>
      </c>
      <c r="M19" s="4" t="s">
        <v>29</v>
      </c>
      <c r="N19" s="4" t="s">
        <v>30</v>
      </c>
      <c r="O19" s="4" t="s">
        <v>31</v>
      </c>
      <c r="P19" s="4" t="s">
        <v>32</v>
      </c>
      <c r="Q19" s="4" t="s">
        <v>33</v>
      </c>
      <c r="U19" s="40"/>
    </row>
    <row r="20" spans="1:24" x14ac:dyDescent="0.25">
      <c r="A20" s="14"/>
      <c r="B20" s="3">
        <v>2024</v>
      </c>
      <c r="C20" s="40">
        <v>1.962</v>
      </c>
      <c r="D20" s="40">
        <v>1.962</v>
      </c>
      <c r="E20" s="40">
        <f>C20-D20</f>
        <v>0</v>
      </c>
      <c r="F20" s="40"/>
      <c r="G20" s="40" t="s">
        <v>95</v>
      </c>
      <c r="H20" s="40" t="s">
        <v>95</v>
      </c>
      <c r="I20" s="40" t="s">
        <v>95</v>
      </c>
      <c r="K20" s="3" t="s">
        <v>90</v>
      </c>
      <c r="L20" s="3" t="s">
        <v>4</v>
      </c>
      <c r="M20" s="3" t="s">
        <v>68</v>
      </c>
      <c r="N20" s="40">
        <f>SUM(E20:E25)</f>
        <v>11160.290999999999</v>
      </c>
      <c r="O20" s="3" t="s">
        <v>35</v>
      </c>
      <c r="P20" s="3" t="s">
        <v>36</v>
      </c>
      <c r="Q20" s="3" t="s">
        <v>29</v>
      </c>
      <c r="S20" s="69" t="s">
        <v>50</v>
      </c>
    </row>
    <row r="21" spans="1:24" x14ac:dyDescent="0.25">
      <c r="A21" s="14"/>
      <c r="B21" s="3">
        <v>2025</v>
      </c>
      <c r="C21" s="40">
        <v>215.38800000000001</v>
      </c>
      <c r="D21" s="40">
        <v>179.93799999999999</v>
      </c>
      <c r="E21" s="40">
        <f t="shared" ref="E21:E31" si="1">C21-D21</f>
        <v>35.450000000000017</v>
      </c>
      <c r="F21" s="40"/>
      <c r="G21" s="40">
        <v>35.027000000000001</v>
      </c>
      <c r="H21" s="40" t="s">
        <v>95</v>
      </c>
      <c r="I21" s="40">
        <v>0.42299999999999999</v>
      </c>
      <c r="K21" s="3" t="s">
        <v>90</v>
      </c>
      <c r="L21" s="3" t="s">
        <v>4</v>
      </c>
      <c r="M21" s="3" t="s">
        <v>39</v>
      </c>
      <c r="N21" s="40">
        <f>SUM(E26:E29)</f>
        <v>9440.3460000000014</v>
      </c>
      <c r="O21" s="3" t="s">
        <v>35</v>
      </c>
      <c r="P21" s="3" t="s">
        <v>36</v>
      </c>
      <c r="Q21" s="3" t="s">
        <v>29</v>
      </c>
      <c r="S21" s="69" t="s">
        <v>51</v>
      </c>
    </row>
    <row r="22" spans="1:24" x14ac:dyDescent="0.25">
      <c r="B22" s="3">
        <v>2026</v>
      </c>
      <c r="C22" s="40">
        <v>2169.8989999999999</v>
      </c>
      <c r="D22" s="40">
        <v>3.98</v>
      </c>
      <c r="E22" s="40">
        <f t="shared" si="1"/>
        <v>2165.9189999999999</v>
      </c>
      <c r="F22" s="40"/>
      <c r="G22" s="40">
        <v>1324.9680000000001</v>
      </c>
      <c r="H22" s="40" t="s">
        <v>95</v>
      </c>
      <c r="I22" s="40">
        <v>840.95100000000002</v>
      </c>
      <c r="K22" s="3" t="s">
        <v>90</v>
      </c>
      <c r="L22" s="3" t="s">
        <v>4</v>
      </c>
      <c r="M22" s="3" t="s">
        <v>69</v>
      </c>
      <c r="N22" s="40">
        <f>SUM(E30:E31)</f>
        <v>12004.618</v>
      </c>
      <c r="O22" s="3" t="s">
        <v>35</v>
      </c>
      <c r="P22" s="3" t="s">
        <v>36</v>
      </c>
      <c r="Q22" s="3" t="s">
        <v>29</v>
      </c>
      <c r="S22" s="69" t="s">
        <v>26</v>
      </c>
    </row>
    <row r="23" spans="1:24" x14ac:dyDescent="0.25">
      <c r="B23" s="3">
        <v>2027</v>
      </c>
      <c r="C23" s="40">
        <v>2239.442</v>
      </c>
      <c r="D23" s="40">
        <v>4.1559999999999997</v>
      </c>
      <c r="E23" s="40">
        <f t="shared" si="1"/>
        <v>2235.2860000000001</v>
      </c>
      <c r="F23" s="40"/>
      <c r="G23" s="40">
        <v>1962.895</v>
      </c>
      <c r="H23" s="40">
        <v>660.73699999999997</v>
      </c>
      <c r="I23" s="40">
        <v>272.39100000000002</v>
      </c>
      <c r="K23" s="3" t="s">
        <v>90</v>
      </c>
      <c r="L23" s="3" t="s">
        <v>4</v>
      </c>
      <c r="M23" s="3" t="s">
        <v>41</v>
      </c>
      <c r="N23" s="40">
        <f>SUM(N20:N22)</f>
        <v>32605.255000000005</v>
      </c>
      <c r="O23" s="3" t="s">
        <v>35</v>
      </c>
      <c r="P23" s="3" t="s">
        <v>36</v>
      </c>
      <c r="Q23" s="3" t="s">
        <v>29</v>
      </c>
    </row>
    <row r="24" spans="1:24" ht="14.4" x14ac:dyDescent="0.3">
      <c r="B24" s="3">
        <v>2028</v>
      </c>
      <c r="C24" s="40">
        <v>3361.8119999999999</v>
      </c>
      <c r="D24" s="40">
        <v>3.0409999999999999</v>
      </c>
      <c r="E24" s="40">
        <f t="shared" si="1"/>
        <v>3358.7709999999997</v>
      </c>
      <c r="F24" s="40"/>
      <c r="G24" s="40">
        <v>2594.3539999999998</v>
      </c>
      <c r="H24" s="40" t="s">
        <v>95</v>
      </c>
      <c r="I24" s="40">
        <v>103.68</v>
      </c>
      <c r="K24"/>
      <c r="L24"/>
      <c r="M24"/>
      <c r="N24"/>
      <c r="O24"/>
      <c r="P24"/>
      <c r="Q24"/>
    </row>
    <row r="25" spans="1:24" ht="14.4" x14ac:dyDescent="0.3">
      <c r="A25" s="39"/>
      <c r="B25" s="3">
        <v>2029</v>
      </c>
      <c r="C25" s="40">
        <v>3368.056</v>
      </c>
      <c r="D25" s="40">
        <v>3.1909999999999998</v>
      </c>
      <c r="E25" s="40">
        <f t="shared" si="1"/>
        <v>3364.8650000000002</v>
      </c>
      <c r="F25" s="40"/>
      <c r="G25" s="40">
        <v>3364.8649999999998</v>
      </c>
      <c r="H25" s="40" t="s">
        <v>95</v>
      </c>
      <c r="I25" s="40" t="s">
        <v>95</v>
      </c>
      <c r="K25"/>
      <c r="L25"/>
      <c r="M25"/>
      <c r="N25"/>
      <c r="O25"/>
      <c r="P25"/>
      <c r="Q25"/>
    </row>
    <row r="26" spans="1:24" ht="14.4" x14ac:dyDescent="0.3">
      <c r="A26" s="39"/>
      <c r="B26" s="3">
        <v>2030</v>
      </c>
      <c r="C26" s="40">
        <v>2859.5680000000002</v>
      </c>
      <c r="D26" s="40">
        <v>3.3450000000000002</v>
      </c>
      <c r="E26" s="40">
        <f t="shared" si="1"/>
        <v>2856.2230000000004</v>
      </c>
      <c r="F26" s="40"/>
      <c r="G26" s="40">
        <v>2821.1959999999999</v>
      </c>
      <c r="H26" s="40" t="s">
        <v>95</v>
      </c>
      <c r="I26" s="40">
        <v>35.027000000000001</v>
      </c>
      <c r="K26"/>
      <c r="L26"/>
      <c r="M26"/>
      <c r="N26"/>
      <c r="O26"/>
      <c r="P26"/>
      <c r="Q26"/>
    </row>
    <row r="27" spans="1:24" ht="14.4" x14ac:dyDescent="0.3">
      <c r="B27" s="3">
        <v>2031</v>
      </c>
      <c r="C27" s="40">
        <v>2237.1680000000001</v>
      </c>
      <c r="D27" s="40">
        <v>17.606999999999999</v>
      </c>
      <c r="E27" s="40">
        <f t="shared" si="1"/>
        <v>2219.5610000000001</v>
      </c>
      <c r="F27" s="40"/>
      <c r="G27" s="40">
        <v>2079.453</v>
      </c>
      <c r="H27" s="40" t="s">
        <v>95</v>
      </c>
      <c r="I27" s="40">
        <v>140.108</v>
      </c>
      <c r="K27"/>
      <c r="L27"/>
      <c r="M27"/>
      <c r="N27"/>
      <c r="O27"/>
      <c r="P27"/>
      <c r="Q27"/>
    </row>
    <row r="28" spans="1:24" ht="14.4" x14ac:dyDescent="0.3">
      <c r="B28" s="3">
        <v>2032</v>
      </c>
      <c r="C28" s="40">
        <v>1878.018</v>
      </c>
      <c r="D28" s="40">
        <v>18.715</v>
      </c>
      <c r="E28" s="40">
        <f t="shared" si="1"/>
        <v>1859.3030000000001</v>
      </c>
      <c r="F28" s="40"/>
      <c r="G28" s="40">
        <v>1649.1420000000001</v>
      </c>
      <c r="H28" s="40" t="s">
        <v>95</v>
      </c>
      <c r="I28" s="40">
        <v>210.161</v>
      </c>
      <c r="K28"/>
      <c r="L28"/>
      <c r="M28"/>
      <c r="N28"/>
      <c r="O28"/>
      <c r="P28"/>
      <c r="Q28"/>
    </row>
    <row r="29" spans="1:24" ht="14.4" x14ac:dyDescent="0.3">
      <c r="B29" s="3">
        <v>2033</v>
      </c>
      <c r="C29" s="40">
        <v>2548.4949999999999</v>
      </c>
      <c r="D29" s="40">
        <v>43.235999999999997</v>
      </c>
      <c r="E29" s="40">
        <f t="shared" si="1"/>
        <v>2505.259</v>
      </c>
      <c r="F29" s="40"/>
      <c r="G29" s="40">
        <v>2322.7890000000002</v>
      </c>
      <c r="H29" s="40" t="s">
        <v>95</v>
      </c>
      <c r="I29" s="40">
        <v>182.47</v>
      </c>
      <c r="K29"/>
      <c r="L29"/>
      <c r="M29"/>
      <c r="N29"/>
      <c r="O29"/>
      <c r="P29"/>
      <c r="Q29"/>
    </row>
    <row r="30" spans="1:24" ht="14.4" x14ac:dyDescent="0.3">
      <c r="B30" s="3">
        <v>2034</v>
      </c>
      <c r="C30" s="40">
        <v>3180.6149999999998</v>
      </c>
      <c r="D30" s="3">
        <v>0</v>
      </c>
      <c r="E30" s="40">
        <f t="shared" si="1"/>
        <v>3180.6149999999998</v>
      </c>
      <c r="F30" s="40"/>
      <c r="G30" s="40">
        <v>3005.48</v>
      </c>
      <c r="H30" s="40" t="s">
        <v>95</v>
      </c>
      <c r="I30" s="40">
        <v>175.13499999999999</v>
      </c>
      <c r="K30"/>
      <c r="L30"/>
      <c r="M30"/>
      <c r="N30"/>
      <c r="O30"/>
      <c r="P30"/>
      <c r="Q30"/>
    </row>
    <row r="31" spans="1:24" ht="14.4" x14ac:dyDescent="0.3">
      <c r="B31" s="3" t="s">
        <v>26</v>
      </c>
      <c r="C31" s="40">
        <v>8824.0030000000006</v>
      </c>
      <c r="D31" s="3">
        <v>0</v>
      </c>
      <c r="E31" s="40">
        <f t="shared" si="1"/>
        <v>8824.0030000000006</v>
      </c>
      <c r="F31" s="40"/>
      <c r="G31" s="40">
        <v>8824.0030000000006</v>
      </c>
      <c r="H31" s="40">
        <v>0</v>
      </c>
      <c r="I31" s="40" t="s">
        <v>95</v>
      </c>
      <c r="K31"/>
      <c r="L31"/>
      <c r="M31"/>
      <c r="N31"/>
      <c r="O31"/>
      <c r="P31"/>
      <c r="Q31"/>
    </row>
    <row r="32" spans="1:24" ht="14.4" x14ac:dyDescent="0.3">
      <c r="B32" s="6" t="s">
        <v>8</v>
      </c>
      <c r="C32" s="45">
        <f>SUM(C20:C31)</f>
        <v>32884.426000000007</v>
      </c>
      <c r="D32" s="45">
        <f>SUM(D20:D31)</f>
        <v>279.17099999999999</v>
      </c>
      <c r="E32" s="45">
        <f>SUM(E20:E31)</f>
        <v>32605.255000000001</v>
      </c>
      <c r="F32" s="45"/>
      <c r="G32" s="45">
        <f>SUM(G20:G31)</f>
        <v>29984.171999999999</v>
      </c>
      <c r="H32" s="45">
        <f>SUM(H20:H31)</f>
        <v>660.73699999999997</v>
      </c>
      <c r="I32" s="45">
        <f>SUM(I20:I31)</f>
        <v>1960.3460000000002</v>
      </c>
      <c r="K32"/>
      <c r="L32"/>
      <c r="M32"/>
      <c r="N32"/>
      <c r="O32"/>
      <c r="P32"/>
      <c r="Q32"/>
    </row>
    <row r="33" spans="1:19" ht="14.4" x14ac:dyDescent="0.3">
      <c r="B33" s="3"/>
      <c r="C33" s="3"/>
      <c r="D33" s="3"/>
      <c r="E33" s="40"/>
      <c r="F33" s="40"/>
      <c r="G33" s="40">
        <f>SUM(G32:I32)</f>
        <v>32605.255000000001</v>
      </c>
      <c r="H33" s="102" t="s">
        <v>72</v>
      </c>
      <c r="I33" s="40"/>
      <c r="K33"/>
      <c r="L33"/>
      <c r="M33"/>
      <c r="N33"/>
      <c r="O33"/>
      <c r="P33"/>
      <c r="Q33"/>
    </row>
    <row r="34" spans="1:19" ht="14.4" x14ac:dyDescent="0.3">
      <c r="B34" s="3"/>
      <c r="C34" s="3"/>
      <c r="D34" s="3"/>
      <c r="E34" s="40"/>
      <c r="F34" s="40"/>
      <c r="G34" s="40"/>
      <c r="H34" s="40"/>
      <c r="I34" s="40"/>
      <c r="K34"/>
      <c r="L34"/>
      <c r="M34"/>
      <c r="N34"/>
      <c r="O34"/>
      <c r="P34"/>
      <c r="Q34"/>
    </row>
    <row r="35" spans="1:19" ht="14.4" x14ac:dyDescent="0.3">
      <c r="B35" s="3">
        <v>1000</v>
      </c>
      <c r="C35" s="7"/>
      <c r="D35" s="7"/>
      <c r="E35" s="45"/>
      <c r="F35" s="45"/>
      <c r="G35" s="45"/>
      <c r="H35" s="45"/>
      <c r="I35" s="45"/>
      <c r="K35"/>
      <c r="L35"/>
      <c r="M35"/>
      <c r="N35"/>
      <c r="O35"/>
      <c r="P35"/>
      <c r="Q35"/>
    </row>
    <row r="36" spans="1:19" x14ac:dyDescent="0.25">
      <c r="A36" s="63" t="s">
        <v>6</v>
      </c>
      <c r="B36" s="4" t="s">
        <v>27</v>
      </c>
      <c r="C36" s="4" t="s">
        <v>8</v>
      </c>
      <c r="D36" s="4" t="s">
        <v>28</v>
      </c>
      <c r="E36" s="1" t="s">
        <v>29</v>
      </c>
      <c r="F36" s="1"/>
      <c r="G36" s="4" t="s">
        <v>91</v>
      </c>
      <c r="H36" s="4" t="s">
        <v>92</v>
      </c>
      <c r="I36" s="4" t="s">
        <v>93</v>
      </c>
      <c r="K36" s="4" t="s">
        <v>1</v>
      </c>
      <c r="L36" s="4" t="s">
        <v>3</v>
      </c>
      <c r="M36" s="4" t="s">
        <v>29</v>
      </c>
      <c r="N36" s="4" t="s">
        <v>30</v>
      </c>
      <c r="O36" s="4" t="s">
        <v>31</v>
      </c>
      <c r="P36" s="4" t="s">
        <v>32</v>
      </c>
      <c r="Q36" s="4" t="s">
        <v>33</v>
      </c>
    </row>
    <row r="37" spans="1:19" x14ac:dyDescent="0.25">
      <c r="B37" s="3">
        <v>2024</v>
      </c>
      <c r="C37" s="40">
        <v>4.1130000000000004</v>
      </c>
      <c r="D37" s="40">
        <v>4.1130000000000004</v>
      </c>
      <c r="E37" s="40">
        <f>C37-D37</f>
        <v>0</v>
      </c>
      <c r="F37" s="40"/>
      <c r="G37" s="40" t="s">
        <v>94</v>
      </c>
      <c r="H37" s="40" t="s">
        <v>94</v>
      </c>
      <c r="I37" s="40" t="s">
        <v>94</v>
      </c>
      <c r="K37" s="3" t="s">
        <v>90</v>
      </c>
      <c r="L37" s="3" t="s">
        <v>6</v>
      </c>
      <c r="M37" s="3" t="s">
        <v>68</v>
      </c>
      <c r="N37" s="40">
        <f>SUM(E37:E42)</f>
        <v>10460.603999999999</v>
      </c>
      <c r="O37" s="3" t="s">
        <v>35</v>
      </c>
      <c r="P37" s="3" t="s">
        <v>36</v>
      </c>
      <c r="Q37" s="3" t="s">
        <v>29</v>
      </c>
      <c r="S37" s="69" t="s">
        <v>50</v>
      </c>
    </row>
    <row r="38" spans="1:19" x14ac:dyDescent="0.25">
      <c r="B38" s="3">
        <v>2025</v>
      </c>
      <c r="C38" s="40">
        <v>216.50700000000001</v>
      </c>
      <c r="D38" s="40">
        <v>177.41200000000001</v>
      </c>
      <c r="E38" s="40">
        <f t="shared" ref="E38:E48" si="2">C38-D38</f>
        <v>39.094999999999999</v>
      </c>
      <c r="F38" s="40"/>
      <c r="G38" s="40">
        <v>31.13</v>
      </c>
      <c r="H38" s="40">
        <v>7.4630000000000001</v>
      </c>
      <c r="I38" s="40">
        <v>0.502</v>
      </c>
      <c r="K38" s="3" t="s">
        <v>90</v>
      </c>
      <c r="L38" s="3" t="s">
        <v>6</v>
      </c>
      <c r="M38" s="3" t="s">
        <v>39</v>
      </c>
      <c r="N38" s="40">
        <f>SUM(E43:E46)</f>
        <v>9185.2810000000009</v>
      </c>
      <c r="O38" s="3" t="s">
        <v>35</v>
      </c>
      <c r="P38" s="3" t="s">
        <v>36</v>
      </c>
      <c r="Q38" s="3" t="s">
        <v>29</v>
      </c>
      <c r="S38" s="69" t="s">
        <v>51</v>
      </c>
    </row>
    <row r="39" spans="1:19" x14ac:dyDescent="0.25">
      <c r="B39" s="3">
        <v>2026</v>
      </c>
      <c r="C39" s="40">
        <v>2074.9960000000001</v>
      </c>
      <c r="D39" s="40">
        <v>3.98</v>
      </c>
      <c r="E39" s="40">
        <f t="shared" si="2"/>
        <v>2071.0160000000001</v>
      </c>
      <c r="F39" s="40"/>
      <c r="G39" s="40">
        <v>1300.4179999999999</v>
      </c>
      <c r="H39" s="40" t="s">
        <v>94</v>
      </c>
      <c r="I39" s="40">
        <v>770.59799999999996</v>
      </c>
      <c r="K39" s="3" t="s">
        <v>90</v>
      </c>
      <c r="L39" s="3" t="s">
        <v>6</v>
      </c>
      <c r="M39" s="3" t="s">
        <v>69</v>
      </c>
      <c r="N39" s="40">
        <f>SUM(E47:E48)</f>
        <v>10554.004000000001</v>
      </c>
      <c r="O39" s="3" t="s">
        <v>35</v>
      </c>
      <c r="P39" s="3" t="s">
        <v>36</v>
      </c>
      <c r="Q39" s="3" t="s">
        <v>29</v>
      </c>
      <c r="S39" s="69" t="s">
        <v>26</v>
      </c>
    </row>
    <row r="40" spans="1:19" x14ac:dyDescent="0.25">
      <c r="B40" s="3">
        <v>2027</v>
      </c>
      <c r="C40" s="40">
        <v>2384.7779999999998</v>
      </c>
      <c r="D40" s="40">
        <v>4.1559999999999997</v>
      </c>
      <c r="E40" s="40">
        <f t="shared" si="2"/>
        <v>2380.6219999999998</v>
      </c>
      <c r="F40" s="40"/>
      <c r="G40" s="40">
        <v>1916.2909999999999</v>
      </c>
      <c r="H40" s="40">
        <v>201</v>
      </c>
      <c r="I40" s="40">
        <v>263.33100000000002</v>
      </c>
      <c r="K40" s="3" t="s">
        <v>90</v>
      </c>
      <c r="L40" s="3" t="s">
        <v>6</v>
      </c>
      <c r="M40" s="3" t="s">
        <v>41</v>
      </c>
      <c r="N40" s="40">
        <f>SUM(N37:N39)</f>
        <v>30199.889000000003</v>
      </c>
      <c r="O40" s="3" t="s">
        <v>35</v>
      </c>
      <c r="P40" s="3" t="s">
        <v>36</v>
      </c>
      <c r="Q40" s="3" t="s">
        <v>29</v>
      </c>
    </row>
    <row r="41" spans="1:19" x14ac:dyDescent="0.25">
      <c r="B41" s="3">
        <v>2028</v>
      </c>
      <c r="C41" s="40">
        <v>2905.0439999999999</v>
      </c>
      <c r="D41" s="40">
        <v>3.0409999999999999</v>
      </c>
      <c r="E41" s="40">
        <f t="shared" si="2"/>
        <v>2902.0029999999997</v>
      </c>
      <c r="F41" s="40"/>
      <c r="G41" s="40">
        <v>2528.9259999999999</v>
      </c>
      <c r="H41" s="40">
        <v>280.93200000000002</v>
      </c>
      <c r="I41" s="40">
        <v>92.144999999999996</v>
      </c>
      <c r="K41" s="3"/>
      <c r="L41" s="3"/>
      <c r="M41" s="3"/>
      <c r="N41" s="40"/>
      <c r="O41" s="3"/>
      <c r="P41" s="3"/>
      <c r="Q41" s="3"/>
    </row>
    <row r="42" spans="1:19" x14ac:dyDescent="0.25">
      <c r="B42" s="3">
        <v>2029</v>
      </c>
      <c r="C42" s="40">
        <v>3071.0590000000002</v>
      </c>
      <c r="D42" s="40">
        <v>3.1909999999999998</v>
      </c>
      <c r="E42" s="40">
        <f t="shared" si="2"/>
        <v>3067.8680000000004</v>
      </c>
      <c r="F42" s="40"/>
      <c r="G42" s="40">
        <v>3067.8679999999999</v>
      </c>
      <c r="H42" s="40" t="s">
        <v>94</v>
      </c>
      <c r="I42" s="40" t="s">
        <v>94</v>
      </c>
      <c r="K42" s="3"/>
      <c r="L42" s="3"/>
      <c r="M42" s="3"/>
      <c r="N42" s="40"/>
      <c r="O42" s="3"/>
      <c r="P42" s="3"/>
      <c r="Q42" s="3"/>
    </row>
    <row r="43" spans="1:19" x14ac:dyDescent="0.25">
      <c r="B43" s="3">
        <v>2030</v>
      </c>
      <c r="C43" s="40">
        <v>2818.105</v>
      </c>
      <c r="D43" s="40">
        <v>3.3450000000000002</v>
      </c>
      <c r="E43" s="40">
        <f t="shared" si="2"/>
        <v>2814.76</v>
      </c>
      <c r="F43" s="40"/>
      <c r="G43" s="40">
        <v>2783.63</v>
      </c>
      <c r="H43" s="40" t="s">
        <v>94</v>
      </c>
      <c r="I43" s="40">
        <v>31.13</v>
      </c>
      <c r="K43" s="3"/>
      <c r="L43" s="3"/>
      <c r="M43" s="3"/>
      <c r="N43" s="40"/>
      <c r="O43" s="3"/>
      <c r="P43" s="3"/>
      <c r="Q43" s="3"/>
    </row>
    <row r="44" spans="1:19" x14ac:dyDescent="0.25">
      <c r="B44" s="3">
        <v>2031</v>
      </c>
      <c r="C44" s="40">
        <v>2173.0320000000002</v>
      </c>
      <c r="D44" s="40">
        <v>17.606999999999999</v>
      </c>
      <c r="E44" s="40">
        <f t="shared" si="2"/>
        <v>2155.4250000000002</v>
      </c>
      <c r="F44" s="40"/>
      <c r="G44" s="40">
        <v>2030.905</v>
      </c>
      <c r="H44" s="40" t="s">
        <v>94</v>
      </c>
      <c r="I44" s="40">
        <v>124.52</v>
      </c>
      <c r="K44" s="3"/>
      <c r="L44" s="3"/>
      <c r="M44" s="3"/>
      <c r="N44" s="40"/>
      <c r="O44" s="3"/>
      <c r="P44" s="3"/>
      <c r="Q44" s="3"/>
    </row>
    <row r="45" spans="1:19" ht="14.4" x14ac:dyDescent="0.3">
      <c r="B45" s="3">
        <v>2032</v>
      </c>
      <c r="C45" s="40">
        <v>1789.443</v>
      </c>
      <c r="D45" s="40">
        <v>18.715</v>
      </c>
      <c r="E45" s="40">
        <f t="shared" si="2"/>
        <v>1770.7280000000001</v>
      </c>
      <c r="F45" s="40"/>
      <c r="G45" s="40">
        <v>1583.9480000000001</v>
      </c>
      <c r="H45" s="40" t="s">
        <v>94</v>
      </c>
      <c r="I45" s="40">
        <v>186.78</v>
      </c>
      <c r="K45"/>
      <c r="L45"/>
      <c r="M45"/>
      <c r="N45"/>
      <c r="O45"/>
      <c r="P45"/>
      <c r="Q45"/>
    </row>
    <row r="46" spans="1:19" ht="14.4" x14ac:dyDescent="0.3">
      <c r="B46" s="3">
        <v>2033</v>
      </c>
      <c r="C46" s="40">
        <v>2487.6039999999998</v>
      </c>
      <c r="D46" s="40">
        <v>43.235999999999997</v>
      </c>
      <c r="E46" s="40">
        <f t="shared" si="2"/>
        <v>2444.3679999999999</v>
      </c>
      <c r="F46" s="40"/>
      <c r="G46" s="40">
        <v>2281.2919999999999</v>
      </c>
      <c r="H46" s="40" t="s">
        <v>94</v>
      </c>
      <c r="I46" s="40">
        <v>163.07599999999999</v>
      </c>
      <c r="K46"/>
      <c r="L46"/>
      <c r="M46"/>
      <c r="N46"/>
      <c r="O46"/>
      <c r="P46"/>
      <c r="Q46"/>
    </row>
    <row r="47" spans="1:19" ht="14.4" x14ac:dyDescent="0.3">
      <c r="B47" s="3">
        <v>2034</v>
      </c>
      <c r="C47" s="40">
        <v>3097.3</v>
      </c>
      <c r="D47" s="3">
        <v>0</v>
      </c>
      <c r="E47" s="40">
        <f t="shared" si="2"/>
        <v>3097.3</v>
      </c>
      <c r="F47" s="40"/>
      <c r="G47" s="40">
        <v>2941.65</v>
      </c>
      <c r="H47" s="40" t="s">
        <v>94</v>
      </c>
      <c r="I47" s="40">
        <v>155.65</v>
      </c>
      <c r="K47"/>
      <c r="L47"/>
      <c r="M47"/>
      <c r="N47"/>
      <c r="O47"/>
      <c r="P47"/>
      <c r="Q47"/>
    </row>
    <row r="48" spans="1:19" ht="14.4" x14ac:dyDescent="0.3">
      <c r="B48" s="3" t="s">
        <v>26</v>
      </c>
      <c r="C48" s="40">
        <v>7456.7039999999997</v>
      </c>
      <c r="D48" s="3">
        <v>0</v>
      </c>
      <c r="E48" s="40">
        <f t="shared" si="2"/>
        <v>7456.7039999999997</v>
      </c>
      <c r="F48" s="40"/>
      <c r="G48" s="40">
        <v>7456.7039999999997</v>
      </c>
      <c r="H48" s="40" t="s">
        <v>94</v>
      </c>
      <c r="I48" s="40" t="s">
        <v>94</v>
      </c>
      <c r="K48"/>
      <c r="L48"/>
      <c r="M48"/>
      <c r="N48"/>
      <c r="O48"/>
      <c r="P48"/>
      <c r="Q48"/>
    </row>
    <row r="49" spans="1:26" ht="14.4" x14ac:dyDescent="0.3">
      <c r="B49" s="6" t="s">
        <v>8</v>
      </c>
      <c r="C49" s="45">
        <f>SUM(C37:C48)</f>
        <v>30478.684999999998</v>
      </c>
      <c r="D49" s="45">
        <f>SUM(D37:D48)</f>
        <v>278.79599999999999</v>
      </c>
      <c r="E49" s="45">
        <f>SUM(E37:E48)</f>
        <v>30199.888999999996</v>
      </c>
      <c r="F49" s="45"/>
      <c r="G49" s="45">
        <f>SUM(G37:G48)</f>
        <v>27922.762000000002</v>
      </c>
      <c r="H49" s="45">
        <f>SUM(H37:H48)</f>
        <v>489.39499999999998</v>
      </c>
      <c r="I49" s="45">
        <f>SUM(I37:I48)</f>
        <v>1787.7320000000002</v>
      </c>
      <c r="K49"/>
      <c r="L49"/>
      <c r="M49"/>
      <c r="N49"/>
      <c r="O49"/>
      <c r="P49"/>
      <c r="Q49"/>
    </row>
    <row r="50" spans="1:26" ht="14.4" x14ac:dyDescent="0.3">
      <c r="B50" s="3"/>
      <c r="C50" s="3"/>
      <c r="D50" s="3"/>
      <c r="E50" s="40"/>
      <c r="F50" s="40"/>
      <c r="G50" s="40">
        <f>SUM(G49:I49)</f>
        <v>30199.889000000003</v>
      </c>
      <c r="H50" s="102" t="s">
        <v>72</v>
      </c>
      <c r="I50" s="40"/>
      <c r="K50"/>
      <c r="L50"/>
      <c r="M50"/>
      <c r="N50"/>
      <c r="O50"/>
      <c r="P50"/>
      <c r="Q50"/>
    </row>
    <row r="51" spans="1:26" ht="14.4" x14ac:dyDescent="0.3">
      <c r="B51" s="3"/>
      <c r="C51" s="3"/>
      <c r="D51" s="3"/>
      <c r="E51" s="40"/>
      <c r="F51" s="40"/>
      <c r="G51" s="40"/>
      <c r="H51" s="40"/>
      <c r="I51" s="40"/>
      <c r="K51"/>
      <c r="L51"/>
      <c r="M51"/>
      <c r="N51"/>
      <c r="O51"/>
      <c r="P51"/>
      <c r="Q51"/>
    </row>
    <row r="52" spans="1:26" ht="14.4" x14ac:dyDescent="0.3">
      <c r="B52" s="3"/>
      <c r="C52" s="3"/>
      <c r="D52" s="3"/>
      <c r="E52" s="40"/>
      <c r="F52" s="40"/>
      <c r="G52" s="40"/>
      <c r="H52" s="40"/>
      <c r="I52" s="40"/>
      <c r="K52"/>
      <c r="L52"/>
      <c r="M52"/>
      <c r="N52"/>
      <c r="O52"/>
      <c r="P52"/>
      <c r="Q52"/>
    </row>
    <row r="53" spans="1:26" ht="14.4" x14ac:dyDescent="0.3">
      <c r="B53" s="3"/>
      <c r="C53" s="3"/>
      <c r="D53" s="3"/>
      <c r="E53" s="40"/>
      <c r="F53" s="40"/>
      <c r="G53" s="40"/>
      <c r="H53" s="40"/>
      <c r="I53" s="40"/>
      <c r="K53"/>
      <c r="L53"/>
      <c r="M53"/>
      <c r="N53"/>
      <c r="O53"/>
      <c r="P53"/>
      <c r="Q53"/>
      <c r="X53"/>
    </row>
    <row r="54" spans="1:26" ht="14.4" x14ac:dyDescent="0.3">
      <c r="B54" s="3"/>
      <c r="C54" s="3"/>
      <c r="D54" s="3"/>
      <c r="E54" s="40"/>
      <c r="F54" s="40"/>
      <c r="G54" s="40"/>
      <c r="H54" s="40"/>
      <c r="I54" s="40"/>
      <c r="K54"/>
      <c r="L54"/>
      <c r="M54"/>
      <c r="N54"/>
      <c r="O54"/>
      <c r="P54"/>
      <c r="Q54"/>
      <c r="X54"/>
    </row>
    <row r="55" spans="1:26" ht="14.4" x14ac:dyDescent="0.3">
      <c r="B55" s="3"/>
      <c r="C55" s="3"/>
      <c r="D55" s="3"/>
      <c r="E55" s="40"/>
      <c r="F55" s="40"/>
      <c r="G55" s="40"/>
      <c r="H55" s="40"/>
      <c r="I55" s="40"/>
      <c r="K55"/>
      <c r="L55"/>
      <c r="M55"/>
      <c r="N55"/>
      <c r="O55"/>
      <c r="P55"/>
      <c r="Q55"/>
      <c r="X55"/>
    </row>
    <row r="56" spans="1:26" ht="14.4" x14ac:dyDescent="0.3">
      <c r="B56" s="3"/>
      <c r="C56" s="3"/>
      <c r="D56" s="3"/>
      <c r="E56" s="40"/>
      <c r="F56" s="40"/>
      <c r="G56" s="40"/>
      <c r="H56" s="40"/>
      <c r="I56" s="40"/>
      <c r="K56"/>
      <c r="L56"/>
      <c r="M56"/>
      <c r="N56"/>
      <c r="O56"/>
      <c r="P56"/>
      <c r="Q56"/>
      <c r="X56"/>
    </row>
    <row r="57" spans="1:26" ht="14.4" x14ac:dyDescent="0.3">
      <c r="B57" s="3">
        <v>1000</v>
      </c>
      <c r="C57" s="6"/>
      <c r="D57" s="6"/>
      <c r="E57" s="45"/>
      <c r="F57" s="45"/>
      <c r="G57" s="45"/>
      <c r="H57" s="45"/>
      <c r="I57" s="45"/>
      <c r="J57" s="45"/>
      <c r="K57"/>
      <c r="L57"/>
      <c r="M57"/>
      <c r="N57"/>
      <c r="O57"/>
      <c r="P57"/>
      <c r="Q57"/>
      <c r="Z57" s="3"/>
    </row>
    <row r="58" spans="1:26" x14ac:dyDescent="0.25">
      <c r="A58" s="63" t="s">
        <v>7</v>
      </c>
      <c r="B58" s="4" t="s">
        <v>27</v>
      </c>
      <c r="C58" s="4" t="s">
        <v>8</v>
      </c>
      <c r="D58" s="4" t="s">
        <v>28</v>
      </c>
      <c r="E58" s="1" t="s">
        <v>29</v>
      </c>
      <c r="F58" s="1"/>
      <c r="G58" s="4" t="s">
        <v>91</v>
      </c>
      <c r="H58" s="4" t="s">
        <v>92</v>
      </c>
      <c r="I58" s="4" t="s">
        <v>93</v>
      </c>
      <c r="K58" s="4" t="s">
        <v>1</v>
      </c>
      <c r="L58" s="4" t="s">
        <v>3</v>
      </c>
      <c r="M58" s="4" t="s">
        <v>29</v>
      </c>
      <c r="N58" s="4" t="s">
        <v>30</v>
      </c>
      <c r="O58" s="4" t="s">
        <v>31</v>
      </c>
      <c r="P58" s="4" t="s">
        <v>32</v>
      </c>
      <c r="Q58" s="4" t="s">
        <v>33</v>
      </c>
      <c r="Z58" s="3"/>
    </row>
    <row r="59" spans="1:26" x14ac:dyDescent="0.25">
      <c r="B59" s="3">
        <v>2024</v>
      </c>
      <c r="C59" s="40">
        <v>5.3520000000000003</v>
      </c>
      <c r="D59" s="40">
        <v>5.3520000000000003</v>
      </c>
      <c r="E59" s="40">
        <f>C59-D59</f>
        <v>0</v>
      </c>
      <c r="F59" s="40"/>
      <c r="G59" s="40" t="s">
        <v>94</v>
      </c>
      <c r="H59" s="40" t="s">
        <v>94</v>
      </c>
      <c r="I59" s="40" t="s">
        <v>94</v>
      </c>
      <c r="K59" s="3" t="s">
        <v>90</v>
      </c>
      <c r="L59" s="3" t="s">
        <v>7</v>
      </c>
      <c r="M59" s="3" t="s">
        <v>68</v>
      </c>
      <c r="N59" s="40">
        <f>SUM(E59:E64)</f>
        <v>11111.091</v>
      </c>
      <c r="O59" s="3" t="s">
        <v>35</v>
      </c>
      <c r="P59" s="3" t="s">
        <v>36</v>
      </c>
      <c r="Q59" s="3" t="s">
        <v>29</v>
      </c>
      <c r="S59" s="69" t="s">
        <v>50</v>
      </c>
      <c r="Z59" s="3"/>
    </row>
    <row r="60" spans="1:26" x14ac:dyDescent="0.25">
      <c r="B60" s="3">
        <v>2025</v>
      </c>
      <c r="C60" s="40">
        <v>212.566</v>
      </c>
      <c r="D60" s="40">
        <v>178.91300000000001</v>
      </c>
      <c r="E60" s="40">
        <f t="shared" ref="E60:E70" si="3">C60-D60</f>
        <v>33.652999999999992</v>
      </c>
      <c r="F60" s="40"/>
      <c r="G60" s="40">
        <v>33.070999999999998</v>
      </c>
      <c r="H60" s="40" t="s">
        <v>94</v>
      </c>
      <c r="I60" s="40">
        <v>0.58199999999999996</v>
      </c>
      <c r="K60" s="3" t="s">
        <v>90</v>
      </c>
      <c r="L60" s="3" t="s">
        <v>7</v>
      </c>
      <c r="M60" s="3" t="s">
        <v>39</v>
      </c>
      <c r="N60" s="40">
        <f>SUM(E65:E68)</f>
        <v>9270.969000000001</v>
      </c>
      <c r="O60" s="3" t="s">
        <v>35</v>
      </c>
      <c r="P60" s="3" t="s">
        <v>36</v>
      </c>
      <c r="Q60" s="3" t="s">
        <v>29</v>
      </c>
      <c r="S60" s="69" t="s">
        <v>51</v>
      </c>
      <c r="Z60" s="3"/>
    </row>
    <row r="61" spans="1:26" x14ac:dyDescent="0.25">
      <c r="B61" s="3">
        <v>2026</v>
      </c>
      <c r="C61" s="40">
        <v>2114.3820000000001</v>
      </c>
      <c r="D61" s="40">
        <v>3.98</v>
      </c>
      <c r="E61" s="40">
        <f t="shared" si="3"/>
        <v>2110.402</v>
      </c>
      <c r="F61" s="40"/>
      <c r="G61" s="40">
        <v>1305.7180000000001</v>
      </c>
      <c r="H61" s="40" t="s">
        <v>94</v>
      </c>
      <c r="I61" s="40">
        <v>804.68399999999997</v>
      </c>
      <c r="K61" s="3" t="s">
        <v>90</v>
      </c>
      <c r="L61" s="3" t="s">
        <v>7</v>
      </c>
      <c r="M61" s="3" t="s">
        <v>69</v>
      </c>
      <c r="N61" s="40">
        <f>SUM(E69:E70)</f>
        <v>9478.4510000000009</v>
      </c>
      <c r="O61" s="3" t="s">
        <v>35</v>
      </c>
      <c r="P61" s="3" t="s">
        <v>36</v>
      </c>
      <c r="Q61" s="3" t="s">
        <v>29</v>
      </c>
      <c r="S61" s="69" t="s">
        <v>26</v>
      </c>
      <c r="Z61" s="3"/>
    </row>
    <row r="62" spans="1:26" x14ac:dyDescent="0.25">
      <c r="B62" s="3">
        <v>2027</v>
      </c>
      <c r="C62" s="40">
        <v>2532.5390000000002</v>
      </c>
      <c r="D62" s="40">
        <v>4.1559999999999997</v>
      </c>
      <c r="E62" s="40">
        <f t="shared" si="3"/>
        <v>2528.3830000000003</v>
      </c>
      <c r="F62" s="40"/>
      <c r="G62" s="40">
        <v>1930.348</v>
      </c>
      <c r="H62" s="40">
        <v>329.74400000000003</v>
      </c>
      <c r="I62" s="40">
        <v>268.291</v>
      </c>
      <c r="K62" s="3" t="s">
        <v>90</v>
      </c>
      <c r="L62" s="3" t="s">
        <v>7</v>
      </c>
      <c r="M62" s="3" t="s">
        <v>41</v>
      </c>
      <c r="N62" s="40">
        <f>SUM(N59:N61)</f>
        <v>29860.511000000002</v>
      </c>
      <c r="O62" s="3" t="s">
        <v>35</v>
      </c>
      <c r="P62" s="3" t="s">
        <v>36</v>
      </c>
      <c r="Q62" s="3" t="s">
        <v>29</v>
      </c>
      <c r="Z62" s="3"/>
    </row>
    <row r="63" spans="1:26" ht="14.4" x14ac:dyDescent="0.3">
      <c r="B63" s="3">
        <v>2028</v>
      </c>
      <c r="C63" s="40">
        <v>3356.3510000000001</v>
      </c>
      <c r="D63" s="40">
        <v>3.0409999999999999</v>
      </c>
      <c r="E63" s="40">
        <f t="shared" si="3"/>
        <v>3353.31</v>
      </c>
      <c r="F63" s="40"/>
      <c r="G63" s="40">
        <v>2553.8969999999999</v>
      </c>
      <c r="H63" s="40">
        <v>701.52200000000005</v>
      </c>
      <c r="I63" s="40">
        <v>97.891000000000005</v>
      </c>
      <c r="K63"/>
      <c r="L63"/>
      <c r="M63"/>
      <c r="N63"/>
      <c r="O63"/>
      <c r="P63"/>
      <c r="Q63"/>
      <c r="Z63" s="3"/>
    </row>
    <row r="64" spans="1:26" ht="14.4" x14ac:dyDescent="0.3">
      <c r="B64" s="3">
        <v>2029</v>
      </c>
      <c r="C64" s="40">
        <v>3088.5340000000001</v>
      </c>
      <c r="D64" s="40">
        <v>3.1909999999999998</v>
      </c>
      <c r="E64" s="40">
        <f t="shared" si="3"/>
        <v>3085.3430000000003</v>
      </c>
      <c r="F64" s="40"/>
      <c r="G64" s="40">
        <v>3085.3429999999998</v>
      </c>
      <c r="H64" s="40" t="s">
        <v>94</v>
      </c>
      <c r="I64" s="40" t="s">
        <v>94</v>
      </c>
      <c r="K64"/>
      <c r="L64"/>
      <c r="M64"/>
      <c r="N64"/>
      <c r="O64"/>
      <c r="P64"/>
      <c r="Q64"/>
      <c r="Z64" s="3"/>
    </row>
    <row r="65" spans="1:27" ht="14.4" x14ac:dyDescent="0.3">
      <c r="B65" s="3">
        <v>2030</v>
      </c>
      <c r="C65" s="40">
        <v>2830.444</v>
      </c>
      <c r="D65" s="40">
        <v>3.3450000000000002</v>
      </c>
      <c r="E65" s="40">
        <f t="shared" si="3"/>
        <v>2827.0990000000002</v>
      </c>
      <c r="F65" s="40"/>
      <c r="G65" s="40">
        <v>2794.0279999999998</v>
      </c>
      <c r="H65" s="40" t="s">
        <v>94</v>
      </c>
      <c r="I65" s="40">
        <v>33.070999999999998</v>
      </c>
      <c r="K65"/>
      <c r="L65"/>
      <c r="M65"/>
      <c r="N65"/>
      <c r="O65"/>
      <c r="P65"/>
      <c r="Q65"/>
      <c r="Z65" s="3"/>
    </row>
    <row r="66" spans="1:27" ht="14.4" x14ac:dyDescent="0.3">
      <c r="B66" s="3">
        <v>2031</v>
      </c>
      <c r="C66" s="40">
        <v>2196.3220000000001</v>
      </c>
      <c r="D66" s="40">
        <v>17.606999999999999</v>
      </c>
      <c r="E66" s="40">
        <f t="shared" si="3"/>
        <v>2178.7150000000001</v>
      </c>
      <c r="F66" s="40"/>
      <c r="G66" s="40">
        <v>2046.43</v>
      </c>
      <c r="H66" s="40" t="s">
        <v>94</v>
      </c>
      <c r="I66" s="40">
        <v>132.285</v>
      </c>
      <c r="K66"/>
      <c r="L66"/>
      <c r="M66"/>
      <c r="N66"/>
      <c r="O66"/>
      <c r="P66"/>
      <c r="Q66"/>
      <c r="Z66" s="3"/>
    </row>
    <row r="67" spans="1:27" ht="14.4" x14ac:dyDescent="0.3">
      <c r="B67" s="3">
        <v>2032</v>
      </c>
      <c r="C67" s="40">
        <v>1821.787</v>
      </c>
      <c r="D67" s="40">
        <v>18.715</v>
      </c>
      <c r="E67" s="40">
        <f t="shared" si="3"/>
        <v>1803.0720000000001</v>
      </c>
      <c r="F67" s="40"/>
      <c r="G67" s="40">
        <v>1604.644</v>
      </c>
      <c r="H67" s="40" t="s">
        <v>94</v>
      </c>
      <c r="I67" s="40">
        <v>198.428</v>
      </c>
      <c r="K67"/>
      <c r="L67"/>
      <c r="M67"/>
      <c r="N67"/>
      <c r="O67"/>
      <c r="P67"/>
      <c r="Q67"/>
      <c r="Z67" s="3"/>
    </row>
    <row r="68" spans="1:27" ht="14.4" x14ac:dyDescent="0.3">
      <c r="B68" s="3">
        <v>2033</v>
      </c>
      <c r="C68" s="40">
        <v>2505.319</v>
      </c>
      <c r="D68" s="40">
        <v>43.235999999999997</v>
      </c>
      <c r="E68" s="40">
        <f t="shared" si="3"/>
        <v>2462.0830000000001</v>
      </c>
      <c r="F68" s="40"/>
      <c r="G68" s="40">
        <v>2289.2109999999998</v>
      </c>
      <c r="H68" s="40" t="s">
        <v>94</v>
      </c>
      <c r="I68" s="40">
        <v>172.87200000000001</v>
      </c>
      <c r="K68"/>
      <c r="L68"/>
      <c r="M68"/>
      <c r="N68"/>
      <c r="O68"/>
      <c r="P68"/>
      <c r="Q68"/>
      <c r="Z68" s="3"/>
    </row>
    <row r="69" spans="1:27" ht="14.4" x14ac:dyDescent="0.3">
      <c r="B69" s="3">
        <v>2034</v>
      </c>
      <c r="C69" s="40">
        <v>2393.8960000000002</v>
      </c>
      <c r="D69" s="3">
        <v>0</v>
      </c>
      <c r="E69" s="40">
        <f t="shared" si="3"/>
        <v>2393.8960000000002</v>
      </c>
      <c r="F69" s="40"/>
      <c r="G69" s="40">
        <v>2360.8249999999998</v>
      </c>
      <c r="H69" s="40" t="s">
        <v>94</v>
      </c>
      <c r="I69" s="40">
        <v>33.070999999999998</v>
      </c>
      <c r="K69"/>
      <c r="L69"/>
      <c r="M69"/>
      <c r="N69"/>
      <c r="O69"/>
      <c r="P69"/>
      <c r="Q69"/>
      <c r="Z69" s="3"/>
    </row>
    <row r="70" spans="1:27" ht="14.4" x14ac:dyDescent="0.3">
      <c r="B70" s="3" t="s">
        <v>26</v>
      </c>
      <c r="C70" s="40">
        <v>7084.5550000000003</v>
      </c>
      <c r="D70" s="3">
        <v>0</v>
      </c>
      <c r="E70" s="40">
        <f t="shared" si="3"/>
        <v>7084.5550000000003</v>
      </c>
      <c r="F70" s="40"/>
      <c r="G70" s="40">
        <v>7084.5550000000003</v>
      </c>
      <c r="H70" s="40" t="s">
        <v>94</v>
      </c>
      <c r="I70" s="40" t="s">
        <v>94</v>
      </c>
      <c r="K70"/>
      <c r="L70"/>
      <c r="M70"/>
      <c r="N70"/>
      <c r="O70"/>
      <c r="P70"/>
      <c r="Q70"/>
      <c r="Z70" s="3"/>
    </row>
    <row r="71" spans="1:27" x14ac:dyDescent="0.25">
      <c r="A71" s="15"/>
      <c r="B71" s="6" t="s">
        <v>8</v>
      </c>
      <c r="C71" s="45">
        <f>SUM(C59:C70)</f>
        <v>30142.046999999999</v>
      </c>
      <c r="D71" s="45">
        <f>SUM(D59:D70)</f>
        <v>281.536</v>
      </c>
      <c r="E71" s="45">
        <f>SUM(E59:E70)</f>
        <v>29860.510999999999</v>
      </c>
      <c r="F71" s="45"/>
      <c r="G71" s="45">
        <f>SUM(G59:G70)</f>
        <v>27088.070000000003</v>
      </c>
      <c r="H71" s="45">
        <f>SUM(H59:H70)</f>
        <v>1031.2660000000001</v>
      </c>
      <c r="I71" s="45">
        <f>SUM(I59:I70)</f>
        <v>1741.175</v>
      </c>
      <c r="Z71" s="3"/>
    </row>
    <row r="72" spans="1:27" ht="14.4" x14ac:dyDescent="0.3">
      <c r="A72" s="15"/>
      <c r="B72" s="3"/>
      <c r="C72" s="3"/>
      <c r="D72" s="3"/>
      <c r="E72" s="40"/>
      <c r="F72" s="40"/>
      <c r="G72" s="40">
        <f>SUM(G71:I71)</f>
        <v>29860.511000000002</v>
      </c>
      <c r="H72" s="102" t="s">
        <v>72</v>
      </c>
      <c r="I72" s="40"/>
      <c r="J72"/>
      <c r="K72"/>
      <c r="L72"/>
      <c r="M72"/>
      <c r="N72"/>
      <c r="O72"/>
      <c r="P72"/>
      <c r="Q72"/>
    </row>
    <row r="73" spans="1:27" ht="14.4" x14ac:dyDescent="0.3">
      <c r="A73" s="15"/>
      <c r="B73" s="3"/>
      <c r="C73" s="3"/>
      <c r="D73" s="3"/>
      <c r="E73" s="40"/>
      <c r="F73" s="40"/>
      <c r="G73" s="40"/>
      <c r="H73" s="40"/>
      <c r="I73" s="40"/>
      <c r="J73"/>
      <c r="K73"/>
      <c r="L73"/>
      <c r="M73"/>
      <c r="N73"/>
      <c r="O73"/>
      <c r="P73"/>
      <c r="Q73"/>
      <c r="Z73"/>
    </row>
    <row r="74" spans="1:27" ht="14.4" x14ac:dyDescent="0.3">
      <c r="A74" s="15"/>
      <c r="B74" s="3"/>
      <c r="C74" s="3"/>
      <c r="D74" s="3"/>
      <c r="E74" s="40"/>
      <c r="F74" s="40"/>
      <c r="G74" s="40"/>
      <c r="H74" s="40"/>
      <c r="I74" s="40"/>
      <c r="J74"/>
      <c r="K74"/>
      <c r="L74"/>
      <c r="M74"/>
      <c r="N74"/>
      <c r="O74"/>
      <c r="P74"/>
      <c r="Q74"/>
      <c r="Z74"/>
    </row>
    <row r="75" spans="1:27" ht="14.4" x14ac:dyDescent="0.3">
      <c r="B75" s="4"/>
      <c r="C75" s="4"/>
      <c r="D75" s="4"/>
      <c r="E75" s="1"/>
      <c r="F75" s="40"/>
      <c r="G75" s="40"/>
      <c r="H75" s="40"/>
      <c r="I75" s="40"/>
      <c r="J75"/>
      <c r="K75"/>
      <c r="L75"/>
      <c r="M75"/>
      <c r="N75"/>
      <c r="O75"/>
      <c r="P75"/>
      <c r="Q75"/>
      <c r="Z75"/>
    </row>
    <row r="76" spans="1:27" ht="14.4" x14ac:dyDescent="0.3">
      <c r="B76" s="3"/>
      <c r="C76" s="40"/>
      <c r="D76" s="40"/>
      <c r="E76" s="40"/>
      <c r="F76" s="40"/>
      <c r="G76" s="40"/>
      <c r="H76" s="40"/>
      <c r="I76" s="40"/>
      <c r="J76"/>
      <c r="K76"/>
      <c r="L76"/>
      <c r="M76"/>
      <c r="N76"/>
      <c r="O76"/>
      <c r="P76"/>
      <c r="Q76"/>
      <c r="Z76"/>
    </row>
    <row r="77" spans="1:27" ht="14.4" x14ac:dyDescent="0.3">
      <c r="B77" s="3"/>
      <c r="C77" s="40"/>
      <c r="D77" s="40"/>
      <c r="E77" s="40"/>
      <c r="F77" s="40"/>
      <c r="G77" s="40"/>
      <c r="H77" s="40"/>
      <c r="I77" s="40"/>
      <c r="J77"/>
      <c r="K77"/>
      <c r="L77"/>
      <c r="M77"/>
      <c r="N77"/>
      <c r="O77"/>
      <c r="P77"/>
      <c r="Q77"/>
      <c r="Z77"/>
      <c r="AA77"/>
    </row>
    <row r="78" spans="1:27" ht="14.4" x14ac:dyDescent="0.3">
      <c r="B78" s="3"/>
      <c r="C78" s="40"/>
      <c r="D78" s="40"/>
      <c r="E78" s="40"/>
      <c r="F78" s="40"/>
      <c r="G78" s="40"/>
      <c r="H78" s="40"/>
      <c r="I78" s="40"/>
      <c r="J78"/>
      <c r="K78"/>
      <c r="L78"/>
      <c r="M78"/>
      <c r="N78"/>
      <c r="O78"/>
      <c r="P78"/>
      <c r="Q78"/>
      <c r="Z78"/>
      <c r="AA78"/>
    </row>
    <row r="79" spans="1:27" ht="14.4" x14ac:dyDescent="0.3">
      <c r="B79" s="3"/>
      <c r="C79" s="40"/>
      <c r="D79" s="40"/>
      <c r="E79" s="40"/>
      <c r="F79" s="40"/>
      <c r="G79" s="40"/>
      <c r="H79" s="40"/>
      <c r="I79" s="40"/>
      <c r="J79"/>
      <c r="K79"/>
      <c r="L79"/>
      <c r="M79"/>
      <c r="N79"/>
      <c r="O79"/>
      <c r="P79"/>
      <c r="Q79"/>
      <c r="Z79"/>
      <c r="AA79"/>
    </row>
    <row r="80" spans="1:27" ht="14.4" x14ac:dyDescent="0.3">
      <c r="B80" s="3"/>
      <c r="C80" s="40"/>
      <c r="D80" s="40"/>
      <c r="E80" s="40"/>
      <c r="F80" s="40"/>
      <c r="G80" s="40"/>
      <c r="H80" s="40"/>
      <c r="I80" s="40"/>
      <c r="J80"/>
      <c r="K80" s="4"/>
      <c r="L80" s="4"/>
      <c r="M80" s="4"/>
      <c r="N80" s="4"/>
      <c r="O80" s="4"/>
      <c r="P80" s="4"/>
      <c r="Q80" s="4"/>
      <c r="Z80"/>
      <c r="AA80"/>
    </row>
    <row r="81" spans="2:27" ht="14.4" x14ac:dyDescent="0.3">
      <c r="B81" s="3"/>
      <c r="C81" s="40"/>
      <c r="D81" s="40"/>
      <c r="E81" s="40"/>
      <c r="F81" s="40"/>
      <c r="G81" s="40"/>
      <c r="H81" s="40"/>
      <c r="I81" s="40"/>
      <c r="J81"/>
      <c r="K81" s="3"/>
      <c r="L81" s="3"/>
      <c r="M81" s="3"/>
      <c r="N81" s="40"/>
      <c r="O81" s="3"/>
      <c r="P81" s="3"/>
      <c r="Q81" s="3"/>
      <c r="Z81"/>
      <c r="AA81"/>
    </row>
    <row r="82" spans="2:27" ht="14.4" x14ac:dyDescent="0.3">
      <c r="B82" s="3"/>
      <c r="C82" s="40"/>
      <c r="D82" s="40"/>
      <c r="E82" s="40"/>
      <c r="F82" s="40"/>
      <c r="G82" s="40"/>
      <c r="H82" s="40"/>
      <c r="I82" s="40"/>
      <c r="J82"/>
      <c r="K82" s="3"/>
      <c r="L82" s="3"/>
      <c r="M82" s="3"/>
      <c r="N82" s="40"/>
      <c r="O82" s="3"/>
      <c r="P82" s="3"/>
      <c r="Q82" s="3"/>
      <c r="Z82"/>
      <c r="AA82"/>
    </row>
    <row r="83" spans="2:27" ht="14.4" x14ac:dyDescent="0.3">
      <c r="B83" s="3"/>
      <c r="C83" s="40"/>
      <c r="D83" s="40"/>
      <c r="E83" s="40"/>
      <c r="F83" s="40"/>
      <c r="G83" s="40"/>
      <c r="H83" s="40"/>
      <c r="I83" s="40"/>
      <c r="J83"/>
      <c r="K83" s="3"/>
      <c r="L83" s="3"/>
      <c r="M83" s="3"/>
      <c r="N83" s="40"/>
      <c r="O83" s="3"/>
      <c r="P83" s="3"/>
      <c r="Q83" s="3"/>
      <c r="Z83"/>
      <c r="AA83"/>
    </row>
    <row r="84" spans="2:27" ht="14.4" x14ac:dyDescent="0.3">
      <c r="B84" s="3"/>
      <c r="C84" s="40"/>
      <c r="D84" s="40"/>
      <c r="E84" s="40"/>
      <c r="F84" s="40"/>
      <c r="G84" s="40"/>
      <c r="H84" s="40"/>
      <c r="I84" s="40"/>
      <c r="J84"/>
      <c r="K84" s="3"/>
      <c r="L84" s="3"/>
      <c r="M84" s="3"/>
      <c r="N84" s="40"/>
      <c r="O84" s="3"/>
      <c r="P84" s="3"/>
      <c r="Q84" s="3"/>
      <c r="Z84"/>
      <c r="AA84"/>
    </row>
    <row r="85" spans="2:27" ht="14.4" x14ac:dyDescent="0.3">
      <c r="B85" s="3"/>
      <c r="C85" s="40"/>
      <c r="D85" s="40"/>
      <c r="E85" s="40"/>
      <c r="F85" s="40"/>
      <c r="G85" s="40"/>
      <c r="H85" s="40"/>
      <c r="I85" s="40"/>
      <c r="Z85"/>
      <c r="AA85"/>
    </row>
    <row r="86" spans="2:27" ht="14.4" x14ac:dyDescent="0.3">
      <c r="B86" s="3"/>
      <c r="C86" s="40"/>
      <c r="D86" s="3"/>
      <c r="E86" s="40"/>
      <c r="F86" s="40"/>
      <c r="G86" s="40"/>
      <c r="H86" s="40"/>
      <c r="I86" s="40"/>
      <c r="AA86"/>
    </row>
    <row r="87" spans="2:27" ht="14.4" x14ac:dyDescent="0.3">
      <c r="B87" s="3"/>
      <c r="C87" s="40"/>
      <c r="D87" s="3"/>
      <c r="E87" s="40"/>
      <c r="F87" s="40"/>
      <c r="G87" s="40"/>
      <c r="H87" s="40"/>
      <c r="I87" s="40"/>
      <c r="AA87"/>
    </row>
    <row r="88" spans="2:27" ht="14.4" x14ac:dyDescent="0.3">
      <c r="B88" s="6"/>
      <c r="C88" s="45"/>
      <c r="D88" s="45"/>
      <c r="E88" s="45"/>
      <c r="F88" s="40"/>
      <c r="G88" s="40"/>
      <c r="H88" s="40"/>
      <c r="I88" s="40"/>
      <c r="AA88"/>
    </row>
    <row r="89" spans="2:27" ht="14.4" x14ac:dyDescent="0.3">
      <c r="E89" s="40"/>
      <c r="F89" s="40"/>
      <c r="G89" s="40"/>
      <c r="H89" s="40"/>
      <c r="I89" s="40"/>
      <c r="AA89"/>
    </row>
    <row r="90" spans="2:27" x14ac:dyDescent="0.25">
      <c r="B90" s="4"/>
      <c r="C90" s="4"/>
      <c r="D90" s="4"/>
      <c r="E90" s="1"/>
      <c r="F90" s="1"/>
      <c r="G90" s="1"/>
      <c r="H90" s="1"/>
      <c r="I90" s="1"/>
      <c r="K90" s="4"/>
      <c r="L90" s="4"/>
      <c r="M90" s="4"/>
      <c r="N90" s="4"/>
      <c r="O90" s="4"/>
      <c r="P90" s="4"/>
      <c r="Q90" s="4"/>
    </row>
    <row r="91" spans="2:27" x14ac:dyDescent="0.25">
      <c r="B91" s="3"/>
      <c r="C91" s="3"/>
      <c r="D91" s="3"/>
      <c r="E91" s="40"/>
      <c r="F91" s="40"/>
      <c r="G91" s="40"/>
      <c r="H91" s="40"/>
      <c r="I91" s="40"/>
      <c r="K91" s="3"/>
      <c r="L91" s="3"/>
      <c r="M91" s="3"/>
      <c r="N91" s="40"/>
      <c r="O91" s="3"/>
      <c r="P91" s="3"/>
      <c r="Q91" s="3"/>
    </row>
    <row r="92" spans="2:27" x14ac:dyDescent="0.25">
      <c r="B92" s="3"/>
      <c r="C92" s="3"/>
      <c r="D92" s="3"/>
      <c r="E92" s="40"/>
      <c r="F92" s="40"/>
      <c r="G92" s="40"/>
      <c r="H92" s="40"/>
      <c r="I92" s="40"/>
      <c r="K92" s="3"/>
      <c r="L92" s="3"/>
      <c r="M92" s="3"/>
      <c r="N92" s="40"/>
      <c r="O92" s="3"/>
      <c r="P92" s="3"/>
      <c r="Q92" s="3"/>
    </row>
    <row r="93" spans="2:27" x14ac:dyDescent="0.25">
      <c r="B93" s="3"/>
      <c r="C93" s="3"/>
      <c r="D93" s="3"/>
      <c r="E93" s="40"/>
      <c r="F93" s="40"/>
      <c r="G93" s="40"/>
      <c r="H93" s="40"/>
      <c r="I93" s="40"/>
      <c r="K93" s="3"/>
      <c r="L93" s="3"/>
      <c r="M93" s="40"/>
      <c r="N93" s="40"/>
      <c r="O93" s="3"/>
      <c r="P93" s="3"/>
      <c r="Q93" s="3"/>
    </row>
    <row r="94" spans="2:27" x14ac:dyDescent="0.25">
      <c r="B94" s="3"/>
      <c r="C94" s="3"/>
      <c r="D94" s="3"/>
      <c r="E94" s="40"/>
      <c r="F94" s="40"/>
      <c r="G94" s="40"/>
      <c r="H94" s="40"/>
      <c r="I94" s="40"/>
      <c r="K94" s="3"/>
      <c r="L94" s="3"/>
      <c r="M94" s="3"/>
      <c r="N94" s="40"/>
      <c r="O94" s="3"/>
      <c r="P94" s="3"/>
      <c r="Q94" s="3"/>
    </row>
    <row r="95" spans="2:27" x14ac:dyDescent="0.25">
      <c r="B95" s="3"/>
      <c r="C95" s="3"/>
      <c r="D95" s="3"/>
      <c r="E95" s="3"/>
      <c r="F95" s="3"/>
      <c r="G95" s="3"/>
      <c r="H95" s="3"/>
      <c r="I95" s="3"/>
    </row>
    <row r="96" spans="2:27" x14ac:dyDescent="0.25">
      <c r="B96" s="3"/>
      <c r="C96" s="3"/>
      <c r="D96" s="3"/>
      <c r="E96" s="3"/>
      <c r="F96" s="3"/>
      <c r="G96" s="3"/>
      <c r="H96" s="3"/>
      <c r="I96" s="3"/>
    </row>
    <row r="97" spans="2:9" x14ac:dyDescent="0.25">
      <c r="B97" s="3"/>
      <c r="C97" s="3"/>
      <c r="D97" s="3"/>
      <c r="E97" s="3"/>
      <c r="F97" s="3"/>
      <c r="G97" s="3"/>
      <c r="H97" s="3"/>
      <c r="I97" s="3"/>
    </row>
    <row r="98" spans="2:9" x14ac:dyDescent="0.25">
      <c r="B98" s="3"/>
      <c r="C98" s="3"/>
      <c r="D98" s="3"/>
      <c r="E98" s="40"/>
      <c r="F98" s="40"/>
      <c r="G98" s="40"/>
      <c r="H98" s="40"/>
      <c r="I98" s="40"/>
    </row>
    <row r="99" spans="2:9" x14ac:dyDescent="0.25">
      <c r="B99" s="3"/>
      <c r="C99" s="3"/>
      <c r="D99" s="3"/>
      <c r="E99" s="3"/>
      <c r="F99" s="3"/>
      <c r="G99" s="3"/>
      <c r="H99" s="3"/>
      <c r="I99" s="3"/>
    </row>
    <row r="100" spans="2:9" x14ac:dyDescent="0.25">
      <c r="B100" s="3"/>
      <c r="C100" s="3"/>
      <c r="D100" s="3"/>
      <c r="E100" s="3"/>
      <c r="F100" s="3"/>
      <c r="G100" s="3"/>
      <c r="H100" s="3"/>
      <c r="I100" s="3"/>
    </row>
    <row r="101" spans="2:9" x14ac:dyDescent="0.25">
      <c r="B101" s="3"/>
      <c r="C101" s="3"/>
      <c r="D101" s="3"/>
      <c r="E101" s="40"/>
      <c r="F101" s="40"/>
      <c r="G101" s="40"/>
      <c r="H101" s="40"/>
      <c r="I101" s="40"/>
    </row>
    <row r="102" spans="2:9" x14ac:dyDescent="0.25">
      <c r="B102" s="3"/>
      <c r="C102" s="3"/>
      <c r="D102" s="3"/>
      <c r="E102" s="40"/>
      <c r="F102" s="40"/>
      <c r="G102" s="40"/>
      <c r="H102" s="40"/>
      <c r="I102" s="40"/>
    </row>
    <row r="103" spans="2:9" x14ac:dyDescent="0.25">
      <c r="B103" s="3"/>
      <c r="C103" s="3"/>
      <c r="D103" s="3"/>
      <c r="E103" s="40"/>
      <c r="F103" s="40"/>
      <c r="G103" s="40"/>
      <c r="H103" s="40"/>
      <c r="I103" s="40"/>
    </row>
    <row r="104" spans="2:9" x14ac:dyDescent="0.25">
      <c r="B104" s="3"/>
      <c r="C104" s="3"/>
      <c r="D104" s="3"/>
      <c r="E104" s="3"/>
      <c r="F104" s="3"/>
      <c r="G104" s="3"/>
      <c r="H104" s="3"/>
      <c r="I104" s="3"/>
    </row>
    <row r="105" spans="2:9" x14ac:dyDescent="0.25">
      <c r="B105" s="3"/>
      <c r="C105" s="3"/>
      <c r="D105" s="3"/>
      <c r="E105" s="3"/>
      <c r="F105" s="3"/>
      <c r="G105" s="3"/>
      <c r="H105" s="3"/>
      <c r="I105" s="3"/>
    </row>
    <row r="106" spans="2:9" x14ac:dyDescent="0.25">
      <c r="B106" s="3"/>
      <c r="C106" s="3"/>
      <c r="D106" s="3"/>
      <c r="E106" s="3"/>
      <c r="F106" s="3"/>
      <c r="G106" s="3"/>
      <c r="H106" s="3"/>
      <c r="I106" s="3"/>
    </row>
    <row r="107" spans="2:9" x14ac:dyDescent="0.25">
      <c r="B107" s="3"/>
      <c r="C107" s="3"/>
      <c r="D107" s="3"/>
      <c r="E107" s="3"/>
      <c r="F107" s="3"/>
      <c r="G107" s="3"/>
      <c r="H107" s="3"/>
      <c r="I107" s="3"/>
    </row>
    <row r="108" spans="2:9" x14ac:dyDescent="0.25">
      <c r="B108" s="3"/>
      <c r="C108" s="3"/>
      <c r="D108" s="3"/>
      <c r="E108" s="3"/>
      <c r="F108" s="3"/>
      <c r="G108" s="3"/>
      <c r="H108" s="3"/>
      <c r="I108" s="3"/>
    </row>
    <row r="109" spans="2:9" x14ac:dyDescent="0.25">
      <c r="B109" s="3"/>
      <c r="C109" s="3"/>
      <c r="D109" s="3"/>
      <c r="E109" s="40"/>
      <c r="F109" s="40"/>
      <c r="G109" s="40"/>
      <c r="H109" s="40"/>
      <c r="I109" s="40"/>
    </row>
    <row r="110" spans="2:9" x14ac:dyDescent="0.25">
      <c r="B110" s="3"/>
      <c r="C110" s="3"/>
      <c r="D110" s="3"/>
      <c r="E110" s="40"/>
      <c r="F110" s="40"/>
      <c r="G110" s="40"/>
      <c r="H110" s="40"/>
      <c r="I110" s="40"/>
    </row>
    <row r="111" spans="2:9" x14ac:dyDescent="0.25">
      <c r="B111" s="3"/>
      <c r="C111" s="3"/>
      <c r="D111" s="3"/>
      <c r="E111" s="3"/>
      <c r="F111" s="3"/>
      <c r="G111" s="3"/>
      <c r="H111" s="3"/>
      <c r="I111" s="3"/>
    </row>
    <row r="112" spans="2:9" x14ac:dyDescent="0.25">
      <c r="B112" s="3"/>
      <c r="C112" s="3"/>
      <c r="D112" s="3"/>
      <c r="E112" s="3"/>
      <c r="F112" s="3"/>
      <c r="G112" s="3"/>
      <c r="H112" s="3"/>
      <c r="I112" s="3"/>
    </row>
    <row r="113" spans="2:10" x14ac:dyDescent="0.25">
      <c r="B113" s="3"/>
      <c r="C113" s="3"/>
      <c r="D113" s="3"/>
      <c r="E113" s="3"/>
      <c r="F113" s="3"/>
      <c r="G113" s="3"/>
      <c r="H113" s="3"/>
      <c r="I113" s="3"/>
    </row>
    <row r="114" spans="2:10" x14ac:dyDescent="0.25">
      <c r="B114" s="3"/>
      <c r="C114" s="3"/>
      <c r="D114" s="3"/>
      <c r="E114" s="40"/>
      <c r="F114" s="40"/>
      <c r="G114" s="40"/>
      <c r="H114" s="40"/>
      <c r="I114" s="40"/>
    </row>
    <row r="115" spans="2:10" x14ac:dyDescent="0.25">
      <c r="B115" s="3"/>
      <c r="C115" s="3"/>
      <c r="D115" s="3"/>
      <c r="E115" s="3"/>
      <c r="F115" s="3"/>
      <c r="G115" s="3"/>
      <c r="H115" s="3"/>
      <c r="I115" s="3"/>
    </row>
    <row r="116" spans="2:10" x14ac:dyDescent="0.25">
      <c r="B116" s="3"/>
      <c r="C116" s="3"/>
      <c r="D116" s="3"/>
      <c r="E116" s="3"/>
      <c r="F116" s="3"/>
      <c r="G116" s="3"/>
      <c r="H116" s="3"/>
      <c r="I116" s="3"/>
    </row>
    <row r="117" spans="2:10" x14ac:dyDescent="0.25">
      <c r="B117" s="3"/>
      <c r="C117" s="3"/>
      <c r="D117" s="3"/>
      <c r="E117" s="3"/>
      <c r="F117" s="3"/>
      <c r="G117" s="3"/>
      <c r="H117" s="3"/>
      <c r="I117" s="3"/>
    </row>
    <row r="118" spans="2:10" x14ac:dyDescent="0.25">
      <c r="B118" s="3"/>
      <c r="C118" s="3"/>
      <c r="D118" s="3"/>
      <c r="E118" s="3"/>
      <c r="F118" s="3"/>
      <c r="G118" s="3"/>
      <c r="H118" s="3"/>
      <c r="I118" s="3"/>
    </row>
    <row r="119" spans="2:10" x14ac:dyDescent="0.25">
      <c r="B119" s="3"/>
      <c r="C119" s="3"/>
      <c r="D119" s="3"/>
      <c r="E119" s="3"/>
      <c r="F119" s="3"/>
      <c r="G119" s="3"/>
      <c r="H119" s="3"/>
      <c r="I119" s="3"/>
    </row>
    <row r="121" spans="2:10" x14ac:dyDescent="0.25">
      <c r="B121" s="1"/>
      <c r="C121" s="1"/>
      <c r="D121" s="1"/>
      <c r="E121" s="4"/>
      <c r="F121" s="4"/>
      <c r="G121" s="4"/>
      <c r="H121" s="4"/>
      <c r="I121" s="4"/>
      <c r="J121" s="4"/>
    </row>
    <row r="122" spans="2:10" x14ac:dyDescent="0.25">
      <c r="E122" s="40"/>
      <c r="F122" s="40"/>
      <c r="G122" s="40"/>
      <c r="H122" s="40"/>
      <c r="I122" s="40"/>
    </row>
    <row r="123" spans="2:10" x14ac:dyDescent="0.25">
      <c r="E123" s="40"/>
      <c r="F123" s="40"/>
      <c r="G123" s="40"/>
      <c r="H123" s="40"/>
      <c r="I123" s="40"/>
    </row>
    <row r="124" spans="2:10" x14ac:dyDescent="0.25">
      <c r="E124" s="40"/>
      <c r="F124" s="40"/>
      <c r="G124" s="40"/>
      <c r="H124" s="40"/>
      <c r="I124" s="40"/>
    </row>
    <row r="125" spans="2:10" x14ac:dyDescent="0.25">
      <c r="E125" s="40"/>
      <c r="F125" s="40"/>
      <c r="G125" s="40"/>
      <c r="H125" s="40"/>
      <c r="I125" s="40"/>
    </row>
    <row r="126" spans="2:10" x14ac:dyDescent="0.25">
      <c r="E126" s="40"/>
      <c r="F126" s="40"/>
      <c r="G126" s="40"/>
      <c r="H126" s="40"/>
      <c r="I126" s="40"/>
    </row>
    <row r="127" spans="2:10" x14ac:dyDescent="0.25">
      <c r="E127" s="40"/>
      <c r="F127" s="40"/>
      <c r="G127" s="40"/>
      <c r="H127" s="40"/>
      <c r="I127" s="40"/>
    </row>
    <row r="128" spans="2:10" x14ac:dyDescent="0.25">
      <c r="B128" s="7"/>
      <c r="C128" s="7"/>
      <c r="D128" s="7"/>
      <c r="E128" s="45"/>
      <c r="F128" s="45"/>
      <c r="G128" s="45"/>
      <c r="H128" s="45"/>
      <c r="I128" s="45"/>
    </row>
    <row r="129" spans="2:9" x14ac:dyDescent="0.25">
      <c r="E129" s="40"/>
      <c r="F129" s="40"/>
      <c r="G129" s="40"/>
      <c r="H129" s="40"/>
      <c r="I129" s="40"/>
    </row>
    <row r="130" spans="2:9" x14ac:dyDescent="0.25">
      <c r="E130" s="40"/>
      <c r="F130" s="40"/>
      <c r="G130" s="40"/>
      <c r="H130" s="40"/>
      <c r="I130" s="40"/>
    </row>
    <row r="131" spans="2:9" x14ac:dyDescent="0.25">
      <c r="B131" s="7"/>
      <c r="C131" s="7"/>
      <c r="D131" s="7"/>
      <c r="E131" s="45"/>
      <c r="F131" s="45"/>
      <c r="G131" s="45"/>
      <c r="H131" s="45"/>
      <c r="I131" s="45"/>
    </row>
    <row r="133" spans="2:9" x14ac:dyDescent="0.25">
      <c r="B133" s="9"/>
      <c r="C133" s="9"/>
      <c r="D133" s="9"/>
    </row>
    <row r="146" spans="1:9" x14ac:dyDescent="0.25">
      <c r="A146" s="8"/>
      <c r="B146" s="9"/>
      <c r="C146" s="9"/>
      <c r="D146" s="9"/>
    </row>
    <row r="147" spans="1:9" x14ac:dyDescent="0.25">
      <c r="A147" s="15"/>
      <c r="B147" s="3"/>
      <c r="C147" s="3"/>
      <c r="D147" s="3"/>
    </row>
    <row r="148" spans="1:9" x14ac:dyDescent="0.25">
      <c r="A148" s="15"/>
      <c r="B148" s="3"/>
      <c r="C148" s="3"/>
      <c r="D148" s="3"/>
    </row>
    <row r="149" spans="1:9" x14ac:dyDescent="0.25">
      <c r="A149" s="15"/>
      <c r="B149" s="3"/>
      <c r="C149" s="3"/>
      <c r="D149" s="3"/>
    </row>
    <row r="150" spans="1:9" x14ac:dyDescent="0.25">
      <c r="A150" s="15"/>
      <c r="B150" s="3"/>
      <c r="C150" s="3"/>
      <c r="D150" s="3"/>
    </row>
    <row r="151" spans="1:9" x14ac:dyDescent="0.25">
      <c r="A151" s="15"/>
      <c r="B151" s="3"/>
      <c r="C151" s="3"/>
      <c r="D151" s="3"/>
    </row>
    <row r="152" spans="1:9" x14ac:dyDescent="0.25">
      <c r="A152" s="15"/>
      <c r="B152" s="3"/>
      <c r="C152" s="3"/>
      <c r="D152" s="3"/>
    </row>
    <row r="153" spans="1:9" x14ac:dyDescent="0.25">
      <c r="A153" s="15"/>
      <c r="B153" s="7"/>
      <c r="C153" s="7"/>
      <c r="D153" s="7"/>
      <c r="E153" s="3"/>
      <c r="F153" s="3"/>
      <c r="G153" s="3"/>
      <c r="H153" s="3"/>
      <c r="I153" s="3"/>
    </row>
    <row r="154" spans="1:9" x14ac:dyDescent="0.25">
      <c r="A154" s="15"/>
    </row>
    <row r="155" spans="1:9" x14ac:dyDescent="0.25">
      <c r="A155" s="15"/>
      <c r="B155" s="1"/>
      <c r="C155" s="1"/>
      <c r="D155" s="1"/>
      <c r="E155" s="4"/>
      <c r="F155" s="4"/>
      <c r="G155" s="4"/>
      <c r="H155" s="4"/>
      <c r="I155" s="4"/>
    </row>
    <row r="156" spans="1:9" x14ac:dyDescent="0.25">
      <c r="A156" s="15"/>
      <c r="E156" s="40"/>
      <c r="F156" s="40"/>
      <c r="G156" s="40"/>
      <c r="H156" s="40"/>
      <c r="I156" s="40"/>
    </row>
    <row r="157" spans="1:9" x14ac:dyDescent="0.25">
      <c r="A157" s="15"/>
      <c r="E157" s="40"/>
      <c r="F157" s="40"/>
      <c r="G157" s="40"/>
      <c r="H157" s="40"/>
      <c r="I157" s="40"/>
    </row>
    <row r="158" spans="1:9" x14ac:dyDescent="0.25">
      <c r="A158" s="15"/>
      <c r="E158" s="40"/>
      <c r="F158" s="40"/>
      <c r="G158" s="40"/>
      <c r="H158" s="40"/>
      <c r="I158" s="40"/>
    </row>
    <row r="159" spans="1:9" x14ac:dyDescent="0.25">
      <c r="A159" s="15"/>
      <c r="E159" s="40"/>
      <c r="F159" s="40"/>
      <c r="G159" s="40"/>
      <c r="H159" s="40"/>
      <c r="I159" s="40"/>
    </row>
    <row r="160" spans="1:9" x14ac:dyDescent="0.25">
      <c r="A160" s="15"/>
      <c r="E160" s="40"/>
      <c r="F160" s="40"/>
      <c r="G160" s="40"/>
      <c r="H160" s="40"/>
      <c r="I160" s="40"/>
    </row>
    <row r="161" spans="1:9" x14ac:dyDescent="0.25">
      <c r="A161" s="15"/>
      <c r="E161" s="40"/>
      <c r="F161" s="40"/>
      <c r="G161" s="40"/>
      <c r="H161" s="40"/>
      <c r="I161" s="40"/>
    </row>
    <row r="162" spans="1:9" x14ac:dyDescent="0.25">
      <c r="A162" s="15"/>
      <c r="E162" s="40"/>
      <c r="F162" s="40"/>
      <c r="G162" s="40"/>
      <c r="H162" s="40"/>
      <c r="I162" s="40"/>
    </row>
    <row r="163" spans="1:9" x14ac:dyDescent="0.25">
      <c r="A163" s="15"/>
      <c r="E163" s="40"/>
      <c r="F163" s="40"/>
      <c r="G163" s="40"/>
      <c r="H163" s="40"/>
      <c r="I163" s="40"/>
    </row>
    <row r="164" spans="1:9" x14ac:dyDescent="0.25">
      <c r="A164" s="15"/>
      <c r="E164" s="40"/>
      <c r="F164" s="40"/>
      <c r="G164" s="40"/>
      <c r="H164" s="40"/>
      <c r="I164" s="40"/>
    </row>
    <row r="165" spans="1:9" x14ac:dyDescent="0.25">
      <c r="A165" s="15"/>
    </row>
    <row r="166" spans="1:9" x14ac:dyDescent="0.25">
      <c r="A166" s="15"/>
    </row>
    <row r="167" spans="1:9" x14ac:dyDescent="0.25">
      <c r="A167" s="15"/>
      <c r="B167" s="3"/>
      <c r="C167" s="3"/>
      <c r="D167" s="3"/>
    </row>
    <row r="168" spans="1:9" x14ac:dyDescent="0.25">
      <c r="A168" s="15"/>
      <c r="B168" s="3"/>
      <c r="C168" s="3"/>
      <c r="D168" s="3"/>
    </row>
    <row r="169" spans="1:9" x14ac:dyDescent="0.25">
      <c r="A169" s="15"/>
      <c r="B169" s="3"/>
      <c r="C169" s="3"/>
      <c r="D169" s="3"/>
    </row>
    <row r="170" spans="1:9" x14ac:dyDescent="0.25">
      <c r="A170" s="15"/>
      <c r="B170" s="3"/>
      <c r="C170" s="3"/>
      <c r="D170" s="3"/>
    </row>
    <row r="171" spans="1:9" x14ac:dyDescent="0.25">
      <c r="A171" s="15"/>
      <c r="B171" s="3"/>
      <c r="C171" s="3"/>
      <c r="D171" s="3"/>
    </row>
    <row r="172" spans="1:9" x14ac:dyDescent="0.25">
      <c r="A172" s="15"/>
      <c r="B172" s="3"/>
      <c r="C172" s="3"/>
      <c r="D172" s="3"/>
    </row>
    <row r="173" spans="1:9" x14ac:dyDescent="0.25">
      <c r="A173" s="15"/>
      <c r="B173" s="3"/>
      <c r="C173" s="3"/>
      <c r="D173" s="3"/>
    </row>
    <row r="174" spans="1:9" x14ac:dyDescent="0.25">
      <c r="A174" s="15"/>
      <c r="B174" s="3"/>
      <c r="C174" s="3"/>
      <c r="D174" s="3"/>
    </row>
    <row r="175" spans="1:9" x14ac:dyDescent="0.25">
      <c r="A175" s="15"/>
      <c r="B175" s="3"/>
      <c r="C175" s="3"/>
      <c r="D175" s="3"/>
    </row>
    <row r="176" spans="1:9" x14ac:dyDescent="0.25">
      <c r="A176" s="15"/>
      <c r="B176" s="3"/>
      <c r="C176" s="3"/>
      <c r="D176" s="3"/>
    </row>
    <row r="177" spans="1:10" x14ac:dyDescent="0.25">
      <c r="A177" s="15"/>
      <c r="B177" s="3"/>
      <c r="C177" s="3"/>
      <c r="D177" s="3"/>
    </row>
    <row r="180" spans="1:10" x14ac:dyDescent="0.25">
      <c r="B180" s="9"/>
      <c r="C180" s="9"/>
      <c r="D180" s="9"/>
    </row>
    <row r="182" spans="1:10" x14ac:dyDescent="0.25">
      <c r="B182" s="1"/>
      <c r="C182" s="1"/>
      <c r="D182" s="1"/>
      <c r="E182" s="4"/>
      <c r="F182" s="4"/>
      <c r="G182" s="4"/>
      <c r="H182" s="4"/>
      <c r="I182" s="4"/>
      <c r="J182" s="4"/>
    </row>
    <row r="183" spans="1:10" x14ac:dyDescent="0.25">
      <c r="E183" s="40"/>
      <c r="F183" s="40"/>
      <c r="G183" s="40"/>
      <c r="H183" s="40"/>
      <c r="I183" s="40"/>
    </row>
    <row r="184" spans="1:10" x14ac:dyDescent="0.25">
      <c r="E184" s="40"/>
      <c r="F184" s="40"/>
      <c r="G184" s="40"/>
      <c r="H184" s="40"/>
      <c r="I184" s="40"/>
    </row>
    <row r="185" spans="1:10" x14ac:dyDescent="0.25">
      <c r="E185" s="40"/>
      <c r="F185" s="40"/>
      <c r="G185" s="40"/>
      <c r="H185" s="40"/>
      <c r="I185" s="40"/>
    </row>
    <row r="186" spans="1:10" x14ac:dyDescent="0.25">
      <c r="E186" s="40"/>
      <c r="F186" s="40"/>
      <c r="G186" s="40"/>
      <c r="H186" s="40"/>
      <c r="I186" s="40"/>
    </row>
    <row r="187" spans="1:10" x14ac:dyDescent="0.25">
      <c r="E187" s="40"/>
      <c r="F187" s="40"/>
      <c r="G187" s="40"/>
      <c r="H187" s="40"/>
      <c r="I187" s="40"/>
    </row>
    <row r="188" spans="1:10" x14ac:dyDescent="0.25">
      <c r="E188" s="40"/>
      <c r="F188" s="40"/>
      <c r="G188" s="40"/>
      <c r="H188" s="40"/>
      <c r="I188" s="40"/>
    </row>
    <row r="189" spans="1:10" x14ac:dyDescent="0.25">
      <c r="B189" s="7"/>
      <c r="C189" s="7"/>
      <c r="D189" s="7"/>
      <c r="E189" s="45"/>
      <c r="F189" s="45"/>
      <c r="G189" s="45"/>
      <c r="H189" s="45"/>
      <c r="I189" s="45"/>
    </row>
    <row r="190" spans="1:10" x14ac:dyDescent="0.25">
      <c r="E190" s="40"/>
      <c r="F190" s="40"/>
      <c r="G190" s="40"/>
      <c r="H190" s="40"/>
      <c r="I190" s="40"/>
    </row>
    <row r="191" spans="1:10" x14ac:dyDescent="0.25">
      <c r="E191" s="40"/>
      <c r="F191" s="40"/>
      <c r="G191" s="40"/>
      <c r="H191" s="40"/>
      <c r="I191" s="40"/>
    </row>
    <row r="192" spans="1:10" x14ac:dyDescent="0.25">
      <c r="B192" s="7"/>
      <c r="C192" s="7"/>
      <c r="D192" s="7"/>
      <c r="E192" s="45"/>
      <c r="F192" s="45"/>
      <c r="G192" s="45"/>
      <c r="H192" s="45"/>
      <c r="I192" s="45"/>
    </row>
    <row r="194" spans="1:4" x14ac:dyDescent="0.25">
      <c r="B194" s="9"/>
      <c r="C194" s="9"/>
      <c r="D194" s="9"/>
    </row>
    <row r="206" spans="1:4" x14ac:dyDescent="0.25">
      <c r="A206" s="8"/>
      <c r="B206" s="9"/>
      <c r="C206" s="9"/>
      <c r="D206" s="9"/>
    </row>
    <row r="207" spans="1:4" x14ac:dyDescent="0.25">
      <c r="A207" s="15"/>
      <c r="B207" s="3"/>
      <c r="C207" s="3"/>
      <c r="D207" s="3"/>
    </row>
    <row r="208" spans="1:4" x14ac:dyDescent="0.25">
      <c r="A208" s="15"/>
      <c r="B208" s="3"/>
      <c r="C208" s="3"/>
      <c r="D208" s="3"/>
    </row>
    <row r="209" spans="1:9" x14ac:dyDescent="0.25">
      <c r="A209" s="15"/>
      <c r="B209" s="3"/>
      <c r="C209" s="3"/>
      <c r="D209" s="3"/>
    </row>
    <row r="210" spans="1:9" x14ac:dyDescent="0.25">
      <c r="A210" s="15"/>
      <c r="B210" s="3"/>
      <c r="C210" s="3"/>
      <c r="D210" s="3"/>
    </row>
    <row r="211" spans="1:9" x14ac:dyDescent="0.25">
      <c r="A211" s="15"/>
      <c r="B211" s="3"/>
      <c r="C211" s="3"/>
      <c r="D211" s="3"/>
    </row>
    <row r="212" spans="1:9" x14ac:dyDescent="0.25">
      <c r="A212" s="15"/>
      <c r="B212" s="3"/>
      <c r="C212" s="3"/>
      <c r="D212" s="3"/>
    </row>
    <row r="213" spans="1:9" x14ac:dyDescent="0.25">
      <c r="A213" s="15"/>
      <c r="B213" s="3"/>
      <c r="C213" s="3"/>
      <c r="D213" s="3"/>
    </row>
    <row r="214" spans="1:9" x14ac:dyDescent="0.25">
      <c r="A214" s="15"/>
      <c r="B214" s="7"/>
      <c r="C214" s="7"/>
      <c r="D214" s="7"/>
      <c r="E214" s="3"/>
      <c r="F214" s="3"/>
      <c r="G214" s="3"/>
      <c r="H214" s="3"/>
      <c r="I214" s="3"/>
    </row>
    <row r="215" spans="1:9" x14ac:dyDescent="0.25">
      <c r="A215" s="15"/>
    </row>
    <row r="216" spans="1:9" x14ac:dyDescent="0.25">
      <c r="A216" s="15"/>
      <c r="B216" s="1"/>
      <c r="C216" s="1"/>
      <c r="D216" s="1"/>
      <c r="E216" s="4"/>
      <c r="F216" s="4"/>
      <c r="G216" s="4"/>
      <c r="H216" s="4"/>
      <c r="I216" s="4"/>
    </row>
    <row r="217" spans="1:9" x14ac:dyDescent="0.25">
      <c r="A217" s="15"/>
      <c r="E217" s="40"/>
      <c r="F217" s="40"/>
      <c r="G217" s="40"/>
      <c r="H217" s="40"/>
      <c r="I217" s="40"/>
    </row>
    <row r="218" spans="1:9" x14ac:dyDescent="0.25">
      <c r="A218" s="15"/>
      <c r="E218" s="40"/>
      <c r="F218" s="40"/>
      <c r="G218" s="40"/>
      <c r="H218" s="40"/>
      <c r="I218" s="40"/>
    </row>
    <row r="219" spans="1:9" x14ac:dyDescent="0.25">
      <c r="A219" s="15"/>
      <c r="E219" s="40"/>
      <c r="F219" s="40"/>
      <c r="G219" s="40"/>
      <c r="H219" s="40"/>
      <c r="I219" s="40"/>
    </row>
    <row r="220" spans="1:9" x14ac:dyDescent="0.25">
      <c r="A220" s="15"/>
      <c r="E220" s="40"/>
      <c r="F220" s="40"/>
      <c r="G220" s="40"/>
      <c r="H220" s="40"/>
      <c r="I220" s="40"/>
    </row>
    <row r="221" spans="1:9" x14ac:dyDescent="0.25">
      <c r="A221" s="15"/>
      <c r="E221" s="40"/>
      <c r="F221" s="40"/>
      <c r="G221" s="40"/>
      <c r="H221" s="40"/>
      <c r="I221" s="40"/>
    </row>
    <row r="222" spans="1:9" x14ac:dyDescent="0.25">
      <c r="A222" s="15"/>
      <c r="E222" s="40"/>
      <c r="F222" s="40"/>
      <c r="G222" s="40"/>
      <c r="H222" s="40"/>
      <c r="I222" s="40"/>
    </row>
    <row r="223" spans="1:9" x14ac:dyDescent="0.25">
      <c r="A223" s="15"/>
      <c r="E223" s="40"/>
      <c r="F223" s="40"/>
      <c r="G223" s="40"/>
      <c r="H223" s="40"/>
      <c r="I223" s="40"/>
    </row>
    <row r="224" spans="1:9" x14ac:dyDescent="0.25">
      <c r="A224" s="15"/>
      <c r="E224" s="40"/>
      <c r="F224" s="40"/>
      <c r="G224" s="40"/>
      <c r="H224" s="40"/>
      <c r="I224" s="40"/>
    </row>
    <row r="225" spans="1:9" x14ac:dyDescent="0.25">
      <c r="A225" s="15"/>
      <c r="E225" s="40"/>
      <c r="F225" s="40"/>
      <c r="G225" s="40"/>
      <c r="H225" s="40"/>
      <c r="I225" s="40"/>
    </row>
    <row r="226" spans="1:9" x14ac:dyDescent="0.25">
      <c r="A226" s="15"/>
    </row>
    <row r="227" spans="1:9" x14ac:dyDescent="0.25">
      <c r="A227" s="15"/>
    </row>
    <row r="228" spans="1:9" x14ac:dyDescent="0.25">
      <c r="A228" s="15"/>
      <c r="B228" s="3"/>
      <c r="C228" s="3"/>
      <c r="D228" s="3"/>
    </row>
    <row r="229" spans="1:9" x14ac:dyDescent="0.25">
      <c r="A229" s="15"/>
      <c r="B229" s="3"/>
      <c r="C229" s="3"/>
      <c r="D229" s="3"/>
    </row>
    <row r="230" spans="1:9" x14ac:dyDescent="0.25">
      <c r="A230" s="15"/>
      <c r="B230" s="3"/>
      <c r="C230" s="3"/>
      <c r="D230" s="3"/>
    </row>
    <row r="231" spans="1:9" x14ac:dyDescent="0.25">
      <c r="A231" s="15"/>
      <c r="B231" s="3"/>
      <c r="C231" s="3"/>
      <c r="D231" s="3"/>
    </row>
    <row r="232" spans="1:9" x14ac:dyDescent="0.25">
      <c r="A232" s="15"/>
      <c r="B232" s="3"/>
      <c r="C232" s="3"/>
      <c r="D232" s="3"/>
    </row>
    <row r="233" spans="1:9" x14ac:dyDescent="0.25">
      <c r="A233" s="15"/>
      <c r="B233" s="3"/>
      <c r="C233" s="3"/>
      <c r="D233" s="3"/>
    </row>
    <row r="234" spans="1:9" x14ac:dyDescent="0.25">
      <c r="A234" s="15"/>
      <c r="B234" s="3"/>
      <c r="C234" s="3"/>
      <c r="D234" s="3"/>
    </row>
    <row r="235" spans="1:9" x14ac:dyDescent="0.25">
      <c r="A235" s="15"/>
      <c r="B235" s="3"/>
      <c r="C235" s="3"/>
      <c r="D235" s="3"/>
    </row>
    <row r="236" spans="1:9" x14ac:dyDescent="0.25">
      <c r="A236" s="15"/>
      <c r="B236" s="3"/>
      <c r="C236" s="3"/>
      <c r="D236" s="3"/>
    </row>
    <row r="237" spans="1:9" x14ac:dyDescent="0.25">
      <c r="A237" s="15"/>
      <c r="B237" s="3"/>
      <c r="C237" s="3"/>
      <c r="D237" s="3"/>
    </row>
    <row r="238" spans="1:9" x14ac:dyDescent="0.25">
      <c r="A238" s="15"/>
      <c r="B238" s="3"/>
      <c r="C238" s="3"/>
      <c r="D238" s="3"/>
    </row>
    <row r="239" spans="1:9" x14ac:dyDescent="0.25">
      <c r="A239" s="15"/>
      <c r="B239" s="3"/>
      <c r="C239" s="3"/>
      <c r="D239" s="3"/>
    </row>
    <row r="242" spans="2:10" x14ac:dyDescent="0.25">
      <c r="B242" s="9"/>
      <c r="C242" s="9"/>
      <c r="D242" s="9"/>
    </row>
    <row r="245" spans="2:10" x14ac:dyDescent="0.25">
      <c r="B245" s="1"/>
      <c r="C245" s="1"/>
      <c r="D245" s="1"/>
      <c r="E245" s="4"/>
      <c r="F245" s="4"/>
      <c r="G245" s="4"/>
      <c r="H245" s="4"/>
      <c r="I245" s="4"/>
      <c r="J245" s="4"/>
    </row>
    <row r="246" spans="2:10" x14ac:dyDescent="0.25">
      <c r="E246" s="40"/>
      <c r="F246" s="40"/>
      <c r="G246" s="40"/>
      <c r="H246" s="40"/>
      <c r="I246" s="40"/>
    </row>
    <row r="247" spans="2:10" x14ac:dyDescent="0.25">
      <c r="E247" s="40"/>
      <c r="F247" s="40"/>
      <c r="G247" s="40"/>
      <c r="H247" s="40"/>
      <c r="I247" s="40"/>
    </row>
    <row r="248" spans="2:10" x14ac:dyDescent="0.25">
      <c r="E248" s="40"/>
      <c r="F248" s="40"/>
      <c r="G248" s="40"/>
      <c r="H248" s="40"/>
      <c r="I248" s="40"/>
    </row>
    <row r="249" spans="2:10" x14ac:dyDescent="0.25">
      <c r="E249" s="40"/>
      <c r="F249" s="40"/>
      <c r="G249" s="40"/>
      <c r="H249" s="40"/>
      <c r="I249" s="40"/>
    </row>
    <row r="250" spans="2:10" x14ac:dyDescent="0.25">
      <c r="E250" s="40"/>
      <c r="F250" s="40"/>
      <c r="G250" s="40"/>
      <c r="H250" s="40"/>
      <c r="I250" s="40"/>
    </row>
    <row r="251" spans="2:10" x14ac:dyDescent="0.25">
      <c r="E251" s="40"/>
      <c r="F251" s="40"/>
      <c r="G251" s="40"/>
      <c r="H251" s="40"/>
      <c r="I251" s="40"/>
    </row>
    <row r="252" spans="2:10" x14ac:dyDescent="0.25">
      <c r="B252" s="7"/>
      <c r="C252" s="7"/>
      <c r="D252" s="7"/>
      <c r="E252" s="45"/>
      <c r="F252" s="45"/>
      <c r="G252" s="45"/>
      <c r="H252" s="45"/>
      <c r="I252" s="45"/>
    </row>
    <row r="253" spans="2:10" x14ac:dyDescent="0.25">
      <c r="E253" s="40"/>
      <c r="F253" s="40"/>
      <c r="G253" s="40"/>
      <c r="H253" s="40"/>
      <c r="I253" s="40"/>
    </row>
    <row r="254" spans="2:10" x14ac:dyDescent="0.25">
      <c r="E254" s="40"/>
      <c r="F254" s="40"/>
      <c r="G254" s="40"/>
      <c r="H254" s="40"/>
      <c r="I254" s="40"/>
    </row>
    <row r="255" spans="2:10" x14ac:dyDescent="0.25">
      <c r="B255" s="7"/>
      <c r="C255" s="7"/>
      <c r="D255" s="7"/>
      <c r="E255" s="45"/>
      <c r="F255" s="45"/>
      <c r="G255" s="45"/>
      <c r="H255" s="45"/>
      <c r="I255" s="45"/>
    </row>
    <row r="257" spans="1:4" x14ac:dyDescent="0.25">
      <c r="B257" s="9"/>
      <c r="C257" s="9"/>
      <c r="D257" s="9"/>
    </row>
    <row r="270" spans="1:4" x14ac:dyDescent="0.25">
      <c r="A270" s="8"/>
      <c r="B270" s="9"/>
      <c r="C270" s="9"/>
      <c r="D270" s="9"/>
    </row>
    <row r="271" spans="1:4" x14ac:dyDescent="0.25">
      <c r="A271" s="15"/>
      <c r="B271" s="3"/>
      <c r="C271" s="3"/>
      <c r="D271" s="3"/>
    </row>
    <row r="272" spans="1:4" x14ac:dyDescent="0.25">
      <c r="A272" s="15"/>
      <c r="B272" s="3"/>
      <c r="C272" s="3"/>
      <c r="D272" s="3"/>
    </row>
    <row r="273" spans="1:9" x14ac:dyDescent="0.25">
      <c r="A273" s="15"/>
      <c r="B273" s="3"/>
      <c r="C273" s="3"/>
      <c r="D273" s="3"/>
    </row>
    <row r="274" spans="1:9" x14ac:dyDescent="0.25">
      <c r="A274" s="15"/>
      <c r="B274" s="3"/>
      <c r="C274" s="3"/>
      <c r="D274" s="3"/>
    </row>
    <row r="275" spans="1:9" x14ac:dyDescent="0.25">
      <c r="A275" s="15"/>
      <c r="B275" s="3"/>
      <c r="C275" s="3"/>
      <c r="D275" s="3"/>
    </row>
    <row r="278" spans="1:9" x14ac:dyDescent="0.25">
      <c r="B278" s="7"/>
      <c r="C278" s="7"/>
      <c r="D278" s="7"/>
      <c r="E278" s="3"/>
      <c r="F278" s="3"/>
      <c r="G278" s="3"/>
      <c r="H278" s="3"/>
      <c r="I278" s="3"/>
    </row>
    <row r="280" spans="1:9" x14ac:dyDescent="0.25">
      <c r="B280" s="1"/>
      <c r="C280" s="1"/>
      <c r="D280" s="1"/>
      <c r="E280" s="4"/>
      <c r="F280" s="4"/>
      <c r="G280" s="4"/>
      <c r="H280" s="4"/>
      <c r="I280" s="4"/>
    </row>
    <row r="281" spans="1:9" x14ac:dyDescent="0.25">
      <c r="E281" s="40"/>
      <c r="F281" s="40"/>
      <c r="G281" s="40"/>
      <c r="H281" s="40"/>
      <c r="I281" s="40"/>
    </row>
    <row r="282" spans="1:9" x14ac:dyDescent="0.25">
      <c r="E282" s="40"/>
      <c r="F282" s="40"/>
      <c r="G282" s="40"/>
      <c r="H282" s="40"/>
      <c r="I282" s="40"/>
    </row>
    <row r="283" spans="1:9" x14ac:dyDescent="0.25">
      <c r="E283" s="40"/>
      <c r="F283" s="40"/>
      <c r="G283" s="40"/>
      <c r="H283" s="40"/>
      <c r="I283" s="40"/>
    </row>
    <row r="284" spans="1:9" x14ac:dyDescent="0.25">
      <c r="E284" s="40"/>
      <c r="F284" s="40"/>
      <c r="G284" s="40"/>
      <c r="H284" s="40"/>
      <c r="I284" s="40"/>
    </row>
    <row r="285" spans="1:9" x14ac:dyDescent="0.25">
      <c r="E285" s="40"/>
      <c r="F285" s="40"/>
      <c r="G285" s="40"/>
      <c r="H285" s="40"/>
      <c r="I285" s="40"/>
    </row>
    <row r="286" spans="1:9" x14ac:dyDescent="0.25">
      <c r="E286" s="40"/>
      <c r="F286" s="40"/>
      <c r="G286" s="40"/>
      <c r="H286" s="40"/>
      <c r="I286" s="40"/>
    </row>
    <row r="287" spans="1:9" x14ac:dyDescent="0.25">
      <c r="E287" s="40"/>
      <c r="F287" s="40"/>
      <c r="G287" s="40"/>
      <c r="H287" s="40"/>
      <c r="I287" s="40"/>
    </row>
    <row r="288" spans="1:9" x14ac:dyDescent="0.25">
      <c r="E288" s="40"/>
      <c r="F288" s="40"/>
      <c r="G288" s="40"/>
      <c r="H288" s="40"/>
      <c r="I288" s="40"/>
    </row>
    <row r="289" spans="5:9" x14ac:dyDescent="0.25">
      <c r="E289" s="40"/>
      <c r="F289" s="40"/>
      <c r="G289" s="40"/>
      <c r="H289" s="40"/>
      <c r="I289" s="4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5C63-B00A-4783-9036-C40E9B7B2BB4}">
  <dimension ref="A1:Y93"/>
  <sheetViews>
    <sheetView showGridLines="0" workbookViewId="0">
      <selection activeCell="H3" sqref="H3"/>
    </sheetView>
  </sheetViews>
  <sheetFormatPr defaultRowHeight="13.8" x14ac:dyDescent="0.3"/>
  <cols>
    <col min="1" max="1" width="8.88671875" style="60"/>
    <col min="2" max="2" width="8.77734375" style="60" customWidth="1"/>
    <col min="3" max="3" width="7.88671875" style="60" bestFit="1" customWidth="1"/>
    <col min="4" max="4" width="9.33203125" style="60" bestFit="1" customWidth="1"/>
    <col min="5" max="5" width="13.6640625" style="60" bestFit="1" customWidth="1"/>
    <col min="6" max="6" width="10.44140625" style="60" bestFit="1" customWidth="1"/>
    <col min="7" max="7" width="16.33203125" style="60" bestFit="1" customWidth="1"/>
    <col min="8" max="8" width="14.77734375" style="60" bestFit="1" customWidth="1"/>
    <col min="9" max="9" width="16.109375" style="60" bestFit="1" customWidth="1"/>
    <col min="10" max="10" width="16.33203125" style="60" bestFit="1" customWidth="1"/>
    <col min="11" max="11" width="13.44140625" style="60" bestFit="1" customWidth="1"/>
    <col min="12" max="12" width="7.5546875" style="60" customWidth="1"/>
    <col min="13" max="14" width="13.44140625" style="60" bestFit="1" customWidth="1"/>
    <col min="15" max="15" width="8.5546875" style="60" bestFit="1" customWidth="1"/>
    <col min="16" max="16" width="12.88671875" style="60" bestFit="1" customWidth="1"/>
    <col min="17" max="17" width="17.77734375" style="60" customWidth="1"/>
    <col min="18" max="18" width="20" style="60" bestFit="1" customWidth="1"/>
    <col min="19" max="19" width="5.5546875" style="60" bestFit="1" customWidth="1"/>
    <col min="20" max="20" width="6.77734375" style="60" bestFit="1" customWidth="1"/>
    <col min="21" max="21" width="13.44140625" style="60" bestFit="1" customWidth="1"/>
    <col min="22" max="22" width="6.88671875" style="60" bestFit="1" customWidth="1"/>
    <col min="23" max="23" width="4" style="60" bestFit="1" customWidth="1"/>
    <col min="24" max="24" width="8" style="60" bestFit="1" customWidth="1"/>
    <col min="25" max="25" width="12.33203125" style="60" bestFit="1" customWidth="1"/>
    <col min="26" max="16384" width="8.88671875" style="60"/>
  </cols>
  <sheetData>
    <row r="1" spans="1:25" ht="14.4" x14ac:dyDescent="0.3">
      <c r="B1" s="2"/>
      <c r="C1" s="40"/>
      <c r="D1" s="2"/>
      <c r="E1" s="2"/>
      <c r="F1" s="40"/>
      <c r="G1" s="2"/>
      <c r="H1" s="2"/>
      <c r="I1" s="2"/>
    </row>
    <row r="2" spans="1:25" ht="14.4" x14ac:dyDescent="0.3">
      <c r="A2" s="65" t="s">
        <v>43</v>
      </c>
      <c r="B2" s="8" t="s">
        <v>44</v>
      </c>
      <c r="C2" s="40"/>
      <c r="D2" s="2"/>
      <c r="E2" s="2"/>
      <c r="F2" s="40"/>
      <c r="G2" s="2"/>
      <c r="H2" s="2"/>
      <c r="I2" s="2"/>
    </row>
    <row r="3" spans="1:25" ht="14.4" x14ac:dyDescent="0.3">
      <c r="A3"/>
      <c r="B3" s="8"/>
      <c r="C3" s="40"/>
      <c r="D3" s="2"/>
      <c r="E3" s="2"/>
      <c r="F3" s="40"/>
      <c r="G3" s="2"/>
      <c r="H3" s="2"/>
      <c r="I3" s="2"/>
    </row>
    <row r="4" spans="1:25" ht="14.4" x14ac:dyDescent="0.3">
      <c r="A4"/>
      <c r="B4" s="8"/>
      <c r="C4" s="40"/>
      <c r="D4" s="2"/>
      <c r="E4" s="2"/>
      <c r="G4" s="8" t="s">
        <v>52</v>
      </c>
      <c r="H4" s="77"/>
      <c r="I4" s="77"/>
      <c r="J4" s="8" t="s">
        <v>0</v>
      </c>
    </row>
    <row r="5" spans="1:25" ht="14.4" x14ac:dyDescent="0.3">
      <c r="A5" s="65" t="s">
        <v>5</v>
      </c>
      <c r="B5" s="2"/>
      <c r="C5" s="2"/>
      <c r="D5" s="2"/>
      <c r="E5" s="2"/>
      <c r="G5" s="66"/>
      <c r="H5" s="66"/>
    </row>
    <row r="6" spans="1:25" ht="14.4" x14ac:dyDescent="0.3">
      <c r="B6" s="2"/>
      <c r="C6" s="2"/>
      <c r="D6" s="2"/>
      <c r="E6" s="4"/>
      <c r="G6" s="9" t="s">
        <v>27</v>
      </c>
      <c r="H6" s="9" t="s">
        <v>29</v>
      </c>
      <c r="J6" s="9" t="s">
        <v>27</v>
      </c>
      <c r="K6" s="9" t="s">
        <v>29</v>
      </c>
      <c r="L6" s="4"/>
      <c r="M6" s="60" t="b">
        <f>G6=J6</f>
        <v>1</v>
      </c>
      <c r="N6" s="60" t="b">
        <f>H6=K6</f>
        <v>1</v>
      </c>
    </row>
    <row r="7" spans="1:25" ht="14.4" x14ac:dyDescent="0.3">
      <c r="B7" s="5"/>
      <c r="C7" s="21"/>
      <c r="D7" s="2"/>
      <c r="E7" s="5"/>
      <c r="G7" s="5">
        <v>2025</v>
      </c>
      <c r="H7" s="103">
        <v>32</v>
      </c>
      <c r="J7" s="5">
        <v>2025</v>
      </c>
      <c r="K7" s="40">
        <v>32</v>
      </c>
      <c r="L7" s="40"/>
      <c r="M7" s="60" t="b">
        <f t="shared" ref="M7:M19" si="0">G7=J7</f>
        <v>1</v>
      </c>
      <c r="N7" s="60" t="b">
        <f t="shared" ref="N7:N19" si="1">H7=K7</f>
        <v>1</v>
      </c>
    </row>
    <row r="8" spans="1:25" ht="14.4" x14ac:dyDescent="0.3">
      <c r="B8" s="5"/>
      <c r="C8" s="21"/>
      <c r="D8" s="2"/>
      <c r="E8" s="5"/>
      <c r="G8" s="5">
        <v>2026</v>
      </c>
      <c r="H8" s="103">
        <v>2065</v>
      </c>
      <c r="J8" s="5">
        <v>2026</v>
      </c>
      <c r="K8" s="40">
        <v>2065</v>
      </c>
      <c r="L8" s="40"/>
      <c r="M8" s="60" t="b">
        <f t="shared" si="0"/>
        <v>1</v>
      </c>
      <c r="N8" s="60" t="b">
        <f t="shared" si="1"/>
        <v>1</v>
      </c>
      <c r="O8" s="104"/>
    </row>
    <row r="9" spans="1:25" ht="14.4" x14ac:dyDescent="0.3">
      <c r="B9" s="5"/>
      <c r="C9" s="21"/>
      <c r="D9" s="2"/>
      <c r="E9" s="5"/>
      <c r="G9" s="5">
        <v>2027</v>
      </c>
      <c r="H9" s="103">
        <v>2315</v>
      </c>
      <c r="J9" s="5">
        <v>2027</v>
      </c>
      <c r="K9" s="40">
        <v>2315</v>
      </c>
      <c r="L9" s="40"/>
      <c r="M9" s="60" t="b">
        <f t="shared" si="0"/>
        <v>1</v>
      </c>
      <c r="N9" s="60" t="b">
        <f t="shared" si="1"/>
        <v>1</v>
      </c>
    </row>
    <row r="10" spans="1:25" ht="14.4" x14ac:dyDescent="0.3">
      <c r="B10" s="5"/>
      <c r="C10" s="21"/>
      <c r="D10" s="2"/>
      <c r="E10" s="5"/>
      <c r="G10" s="5">
        <v>2028</v>
      </c>
      <c r="H10" s="103">
        <v>2675</v>
      </c>
      <c r="J10" s="5">
        <v>2028</v>
      </c>
      <c r="K10" s="40">
        <v>2675</v>
      </c>
      <c r="L10" s="40"/>
      <c r="M10" s="60" t="b">
        <f t="shared" si="0"/>
        <v>1</v>
      </c>
      <c r="N10" s="60" t="b">
        <f t="shared" si="1"/>
        <v>1</v>
      </c>
    </row>
    <row r="11" spans="1:25" ht="14.4" x14ac:dyDescent="0.3">
      <c r="B11" s="5"/>
      <c r="C11" s="21"/>
      <c r="D11" s="2"/>
      <c r="E11" s="5"/>
      <c r="G11" s="5">
        <v>2029</v>
      </c>
      <c r="H11" s="103">
        <v>3193</v>
      </c>
      <c r="J11" s="5">
        <v>2029</v>
      </c>
      <c r="K11" s="40">
        <v>3193</v>
      </c>
      <c r="L11" s="40"/>
      <c r="M11" s="60" t="b">
        <f t="shared" si="0"/>
        <v>1</v>
      </c>
      <c r="N11" s="60" t="b">
        <f t="shared" si="1"/>
        <v>1</v>
      </c>
    </row>
    <row r="12" spans="1:25" ht="14.4" x14ac:dyDescent="0.3">
      <c r="B12" s="5"/>
      <c r="C12" s="21"/>
      <c r="D12" s="2"/>
      <c r="E12" s="5"/>
      <c r="G12" s="5">
        <v>2030</v>
      </c>
      <c r="H12" s="103">
        <v>2798</v>
      </c>
      <c r="J12" s="5">
        <v>2030</v>
      </c>
      <c r="K12" s="40">
        <v>2798</v>
      </c>
      <c r="L12" s="40"/>
      <c r="M12" s="60" t="b">
        <f t="shared" si="0"/>
        <v>1</v>
      </c>
      <c r="N12" s="60" t="b">
        <f t="shared" si="1"/>
        <v>1</v>
      </c>
    </row>
    <row r="13" spans="1:25" ht="14.4" x14ac:dyDescent="0.3">
      <c r="B13" s="5"/>
      <c r="C13" s="21"/>
      <c r="D13" s="2"/>
      <c r="E13" s="5"/>
      <c r="G13" s="5">
        <v>2031</v>
      </c>
      <c r="H13" s="103">
        <v>2121</v>
      </c>
      <c r="J13" s="5">
        <v>2031</v>
      </c>
      <c r="K13" s="40">
        <v>2792</v>
      </c>
      <c r="L13" s="40"/>
      <c r="M13" s="60" t="b">
        <f t="shared" si="0"/>
        <v>1</v>
      </c>
      <c r="N13" s="70" t="b">
        <f t="shared" si="1"/>
        <v>0</v>
      </c>
      <c r="S13" s="4" t="s">
        <v>1</v>
      </c>
      <c r="T13" s="4" t="s">
        <v>3</v>
      </c>
      <c r="U13" s="4" t="s">
        <v>29</v>
      </c>
      <c r="V13" s="4" t="s">
        <v>30</v>
      </c>
      <c r="W13" s="4" t="s">
        <v>31</v>
      </c>
      <c r="X13" s="4" t="s">
        <v>32</v>
      </c>
      <c r="Y13" s="4" t="s">
        <v>33</v>
      </c>
    </row>
    <row r="14" spans="1:25" ht="14.4" x14ac:dyDescent="0.3">
      <c r="B14" s="5"/>
      <c r="C14" s="21"/>
      <c r="D14" s="2"/>
      <c r="E14" s="5"/>
      <c r="G14" s="5">
        <v>2032</v>
      </c>
      <c r="H14" s="103">
        <v>1753</v>
      </c>
      <c r="J14" s="5">
        <v>2032</v>
      </c>
      <c r="K14" s="40">
        <v>1460</v>
      </c>
      <c r="L14" s="40"/>
      <c r="M14" s="60" t="b">
        <f t="shared" si="0"/>
        <v>1</v>
      </c>
      <c r="N14" s="70" t="b">
        <f t="shared" si="1"/>
        <v>0</v>
      </c>
      <c r="S14" s="3" t="s">
        <v>90</v>
      </c>
      <c r="T14" s="3" t="s">
        <v>5</v>
      </c>
      <c r="U14" s="3" t="s">
        <v>68</v>
      </c>
      <c r="V14" s="40">
        <f>SUM(H7:H11)</f>
        <v>10280</v>
      </c>
      <c r="W14" s="3" t="s">
        <v>35</v>
      </c>
      <c r="X14" s="3" t="s">
        <v>36</v>
      </c>
      <c r="Y14" s="3" t="s">
        <v>29</v>
      </c>
    </row>
    <row r="15" spans="1:25" ht="14.4" x14ac:dyDescent="0.3">
      <c r="B15" s="2"/>
      <c r="C15" s="2"/>
      <c r="D15" s="2"/>
      <c r="E15" s="2"/>
      <c r="G15" s="5">
        <v>2033</v>
      </c>
      <c r="H15" s="103">
        <v>2423</v>
      </c>
      <c r="J15" s="5">
        <v>2033</v>
      </c>
      <c r="K15" s="40">
        <v>2222</v>
      </c>
      <c r="L15" s="40"/>
      <c r="M15" s="60" t="b">
        <f t="shared" si="0"/>
        <v>1</v>
      </c>
      <c r="N15" s="70" t="b">
        <f t="shared" si="1"/>
        <v>0</v>
      </c>
      <c r="S15" s="3" t="s">
        <v>90</v>
      </c>
      <c r="T15" s="3" t="s">
        <v>5</v>
      </c>
      <c r="U15" s="3" t="s">
        <v>39</v>
      </c>
      <c r="V15" s="40">
        <f>SUM(H12:H15)</f>
        <v>9095</v>
      </c>
      <c r="W15" s="3" t="s">
        <v>35</v>
      </c>
      <c r="X15" s="3" t="s">
        <v>36</v>
      </c>
      <c r="Y15" s="3" t="s">
        <v>29</v>
      </c>
    </row>
    <row r="16" spans="1:25" ht="14.4" x14ac:dyDescent="0.3">
      <c r="B16" s="2"/>
      <c r="C16" s="2"/>
      <c r="D16" s="2"/>
      <c r="E16" s="17"/>
      <c r="G16" s="5">
        <v>2034</v>
      </c>
      <c r="H16" s="103">
        <v>3270</v>
      </c>
      <c r="J16" s="5">
        <v>2034</v>
      </c>
      <c r="K16" s="40">
        <v>2900</v>
      </c>
      <c r="L16" s="40"/>
      <c r="M16" s="60" t="b">
        <f t="shared" si="0"/>
        <v>1</v>
      </c>
      <c r="N16" s="70" t="b">
        <f t="shared" si="1"/>
        <v>0</v>
      </c>
      <c r="S16" s="3" t="s">
        <v>90</v>
      </c>
      <c r="T16" s="3" t="s">
        <v>5</v>
      </c>
      <c r="U16" s="3" t="s">
        <v>69</v>
      </c>
      <c r="V16" s="40">
        <f>SUM(H16:H18)</f>
        <v>11761</v>
      </c>
      <c r="W16" s="3" t="s">
        <v>35</v>
      </c>
      <c r="X16" s="3" t="s">
        <v>36</v>
      </c>
      <c r="Y16" s="3" t="s">
        <v>29</v>
      </c>
    </row>
    <row r="17" spans="1:25" ht="14.4" x14ac:dyDescent="0.3">
      <c r="G17" s="5">
        <v>2035</v>
      </c>
      <c r="H17" s="103">
        <v>1771</v>
      </c>
      <c r="J17" s="5">
        <v>2035</v>
      </c>
      <c r="K17" s="40">
        <v>1771</v>
      </c>
      <c r="L17" s="45"/>
      <c r="M17" s="60" t="b">
        <f t="shared" si="0"/>
        <v>1</v>
      </c>
      <c r="N17" s="60" t="b">
        <f t="shared" si="1"/>
        <v>1</v>
      </c>
      <c r="S17" s="3" t="s">
        <v>90</v>
      </c>
      <c r="T17" s="3" t="s">
        <v>5</v>
      </c>
      <c r="U17" s="3" t="s">
        <v>41</v>
      </c>
      <c r="V17" s="40">
        <f>SUM(V14:V16)</f>
        <v>31136</v>
      </c>
      <c r="W17" s="3" t="s">
        <v>35</v>
      </c>
      <c r="X17" s="3" t="s">
        <v>36</v>
      </c>
      <c r="Y17" s="3" t="s">
        <v>29</v>
      </c>
    </row>
    <row r="18" spans="1:25" ht="14.4" x14ac:dyDescent="0.3">
      <c r="G18" s="5" t="s">
        <v>26</v>
      </c>
      <c r="H18" s="103">
        <v>6720</v>
      </c>
      <c r="J18" s="5" t="s">
        <v>26</v>
      </c>
      <c r="K18" s="40">
        <v>7270</v>
      </c>
      <c r="M18" s="60" t="b">
        <f t="shared" si="0"/>
        <v>1</v>
      </c>
      <c r="N18" s="70" t="b">
        <f t="shared" si="1"/>
        <v>0</v>
      </c>
    </row>
    <row r="19" spans="1:25" ht="14.4" x14ac:dyDescent="0.3">
      <c r="G19" s="8" t="s">
        <v>8</v>
      </c>
      <c r="H19" s="45">
        <f>SUM(H7:H18)</f>
        <v>31136</v>
      </c>
      <c r="J19" s="8" t="s">
        <v>8</v>
      </c>
      <c r="K19" s="45">
        <v>33493</v>
      </c>
      <c r="M19" s="60" t="b">
        <f t="shared" si="0"/>
        <v>1</v>
      </c>
      <c r="N19" s="70" t="b">
        <f t="shared" si="1"/>
        <v>0</v>
      </c>
    </row>
    <row r="20" spans="1:25" ht="14.4" x14ac:dyDescent="0.3">
      <c r="G20" s="3"/>
      <c r="H20" s="40"/>
    </row>
    <row r="21" spans="1:25" ht="14.4" x14ac:dyDescent="0.3">
      <c r="G21" s="78" t="s">
        <v>2</v>
      </c>
      <c r="H21" s="13">
        <f>22/28</f>
        <v>0.7857142857142857</v>
      </c>
    </row>
    <row r="22" spans="1:25" ht="14.4" x14ac:dyDescent="0.3">
      <c r="A22"/>
      <c r="B22" s="8"/>
      <c r="C22" s="40"/>
      <c r="D22" s="2"/>
      <c r="E22" s="2"/>
      <c r="G22" s="2"/>
    </row>
    <row r="23" spans="1:25" ht="14.4" x14ac:dyDescent="0.3">
      <c r="B23" s="2"/>
      <c r="C23" s="40"/>
      <c r="D23" s="2"/>
      <c r="E23" s="2"/>
      <c r="G23" s="8" t="s">
        <v>52</v>
      </c>
      <c r="H23" s="66"/>
      <c r="J23" s="8" t="s">
        <v>0</v>
      </c>
    </row>
    <row r="24" spans="1:25" ht="14.4" x14ac:dyDescent="0.3">
      <c r="A24" s="65" t="s">
        <v>4</v>
      </c>
      <c r="B24" s="2"/>
      <c r="C24" s="2"/>
      <c r="D24" s="2"/>
      <c r="E24" s="2"/>
      <c r="G24" s="66"/>
      <c r="H24" s="66"/>
    </row>
    <row r="25" spans="1:25" ht="14.4" x14ac:dyDescent="0.3">
      <c r="B25" s="2"/>
      <c r="C25" s="2"/>
      <c r="D25" s="2"/>
      <c r="E25" s="4"/>
      <c r="G25" s="9" t="s">
        <v>27</v>
      </c>
      <c r="H25" s="4" t="s">
        <v>29</v>
      </c>
      <c r="J25" s="9" t="s">
        <v>27</v>
      </c>
      <c r="K25" s="4" t="s">
        <v>29</v>
      </c>
      <c r="L25" s="4"/>
      <c r="M25" s="60" t="b">
        <f>G25=J25</f>
        <v>1</v>
      </c>
      <c r="N25" s="60" t="b">
        <f>H25=K25</f>
        <v>1</v>
      </c>
      <c r="Q25"/>
    </row>
    <row r="26" spans="1:25" ht="14.4" x14ac:dyDescent="0.3">
      <c r="B26" s="5"/>
      <c r="C26" s="21"/>
      <c r="D26" s="2"/>
      <c r="E26" s="5"/>
      <c r="G26" s="5">
        <v>2024</v>
      </c>
      <c r="H26" s="40">
        <v>0</v>
      </c>
      <c r="J26" s="5">
        <v>2024</v>
      </c>
      <c r="K26" s="40">
        <v>0</v>
      </c>
      <c r="L26" s="40"/>
      <c r="M26" s="60" t="b">
        <f t="shared" ref="M26:M38" si="2">G26=J26</f>
        <v>1</v>
      </c>
      <c r="N26" s="60" t="b">
        <f t="shared" ref="N26:N38" si="3">H26=K26</f>
        <v>1</v>
      </c>
      <c r="Q26"/>
    </row>
    <row r="27" spans="1:25" ht="14.4" x14ac:dyDescent="0.3">
      <c r="B27" s="5"/>
      <c r="C27" s="21"/>
      <c r="D27" s="2"/>
      <c r="E27" s="5"/>
      <c r="G27" s="5">
        <v>2025</v>
      </c>
      <c r="H27" s="40">
        <v>35</v>
      </c>
      <c r="J27" s="5">
        <v>2025</v>
      </c>
      <c r="K27" s="40">
        <v>35</v>
      </c>
      <c r="L27" s="40"/>
      <c r="M27" s="60" t="b">
        <f t="shared" si="2"/>
        <v>1</v>
      </c>
      <c r="N27" s="60" t="b">
        <f t="shared" si="3"/>
        <v>1</v>
      </c>
      <c r="Q27"/>
    </row>
    <row r="28" spans="1:25" ht="14.4" x14ac:dyDescent="0.3">
      <c r="B28" s="5"/>
      <c r="C28" s="21"/>
      <c r="D28" s="2"/>
      <c r="E28" s="5"/>
      <c r="G28" s="5">
        <v>2026</v>
      </c>
      <c r="H28" s="40">
        <v>2166</v>
      </c>
      <c r="J28" s="5">
        <v>2026</v>
      </c>
      <c r="K28" s="40">
        <v>2166</v>
      </c>
      <c r="L28" s="40"/>
      <c r="M28" s="60" t="b">
        <f t="shared" si="2"/>
        <v>1</v>
      </c>
      <c r="N28" s="60" t="b">
        <f t="shared" si="3"/>
        <v>1</v>
      </c>
      <c r="Q28"/>
    </row>
    <row r="29" spans="1:25" ht="14.4" x14ac:dyDescent="0.3">
      <c r="B29" s="5"/>
      <c r="C29" s="21"/>
      <c r="D29" s="2"/>
      <c r="E29" s="5"/>
      <c r="G29" s="5">
        <v>2027</v>
      </c>
      <c r="H29" s="40">
        <v>2235</v>
      </c>
      <c r="J29" s="5">
        <v>2027</v>
      </c>
      <c r="K29" s="40">
        <v>2235</v>
      </c>
      <c r="L29" s="40"/>
      <c r="M29" s="60" t="b">
        <f t="shared" si="2"/>
        <v>1</v>
      </c>
      <c r="N29" s="60" t="b">
        <f t="shared" si="3"/>
        <v>1</v>
      </c>
      <c r="Q29"/>
    </row>
    <row r="30" spans="1:25" ht="14.4" x14ac:dyDescent="0.3">
      <c r="B30" s="5"/>
      <c r="C30" s="21"/>
      <c r="D30" s="2"/>
      <c r="E30" s="5"/>
      <c r="G30" s="5">
        <v>2028</v>
      </c>
      <c r="H30" s="40">
        <v>3359</v>
      </c>
      <c r="J30" s="5">
        <v>2028</v>
      </c>
      <c r="K30" s="40">
        <v>3359</v>
      </c>
      <c r="L30" s="40"/>
      <c r="M30" s="60" t="b">
        <f t="shared" si="2"/>
        <v>1</v>
      </c>
      <c r="N30" s="60" t="b">
        <f t="shared" si="3"/>
        <v>1</v>
      </c>
      <c r="Q30"/>
      <c r="S30" s="4" t="s">
        <v>1</v>
      </c>
      <c r="T30" s="4" t="s">
        <v>3</v>
      </c>
      <c r="U30" s="4" t="s">
        <v>29</v>
      </c>
      <c r="V30" s="4" t="s">
        <v>30</v>
      </c>
      <c r="W30" s="4" t="s">
        <v>31</v>
      </c>
      <c r="X30" s="4" t="s">
        <v>32</v>
      </c>
      <c r="Y30" s="4" t="s">
        <v>33</v>
      </c>
    </row>
    <row r="31" spans="1:25" ht="14.4" x14ac:dyDescent="0.3">
      <c r="B31" s="5"/>
      <c r="C31" s="21"/>
      <c r="D31" s="2"/>
      <c r="E31" s="5"/>
      <c r="G31" s="5">
        <v>2029</v>
      </c>
      <c r="H31" s="40">
        <v>3365</v>
      </c>
      <c r="J31" s="5">
        <v>2029</v>
      </c>
      <c r="K31" s="40">
        <v>3865</v>
      </c>
      <c r="L31" s="40"/>
      <c r="M31" s="60" t="b">
        <f t="shared" si="2"/>
        <v>1</v>
      </c>
      <c r="N31" s="70" t="b">
        <f t="shared" si="3"/>
        <v>0</v>
      </c>
      <c r="Q31"/>
      <c r="S31" s="3" t="s">
        <v>90</v>
      </c>
      <c r="T31" s="3" t="s">
        <v>4</v>
      </c>
      <c r="U31" s="3" t="s">
        <v>68</v>
      </c>
      <c r="V31" s="40">
        <f>SUM(H26:H31)</f>
        <v>11160</v>
      </c>
      <c r="W31" s="3" t="s">
        <v>35</v>
      </c>
      <c r="X31" s="3" t="s">
        <v>36</v>
      </c>
      <c r="Y31" s="3" t="s">
        <v>29</v>
      </c>
    </row>
    <row r="32" spans="1:25" ht="14.4" x14ac:dyDescent="0.3">
      <c r="B32" s="5"/>
      <c r="C32" s="21"/>
      <c r="D32" s="2"/>
      <c r="E32" s="5"/>
      <c r="G32" s="5">
        <v>2030</v>
      </c>
      <c r="H32" s="40">
        <v>2856</v>
      </c>
      <c r="J32" s="5">
        <v>2030</v>
      </c>
      <c r="K32" s="40">
        <v>2818</v>
      </c>
      <c r="L32" s="40"/>
      <c r="M32" s="60" t="b">
        <f t="shared" si="2"/>
        <v>1</v>
      </c>
      <c r="N32" s="70" t="b">
        <f t="shared" si="3"/>
        <v>0</v>
      </c>
      <c r="Q32"/>
      <c r="S32" s="3" t="s">
        <v>90</v>
      </c>
      <c r="T32" s="3" t="s">
        <v>4</v>
      </c>
      <c r="U32" s="3" t="s">
        <v>39</v>
      </c>
      <c r="V32" s="40">
        <f>SUM(H32:H35)</f>
        <v>9440</v>
      </c>
      <c r="W32" s="3" t="s">
        <v>35</v>
      </c>
      <c r="X32" s="3" t="s">
        <v>36</v>
      </c>
      <c r="Y32" s="3" t="s">
        <v>29</v>
      </c>
    </row>
    <row r="33" spans="1:25" ht="14.4" x14ac:dyDescent="0.3">
      <c r="B33" s="2"/>
      <c r="C33" s="2"/>
      <c r="D33" s="2"/>
      <c r="E33" s="2"/>
      <c r="G33" s="5">
        <v>2031</v>
      </c>
      <c r="H33" s="40">
        <v>2220</v>
      </c>
      <c r="J33" s="5">
        <v>2031</v>
      </c>
      <c r="K33" s="40">
        <v>2220</v>
      </c>
      <c r="L33" s="40"/>
      <c r="M33" s="60" t="b">
        <f t="shared" si="2"/>
        <v>1</v>
      </c>
      <c r="N33" s="60" t="b">
        <f t="shared" si="3"/>
        <v>1</v>
      </c>
      <c r="Q33"/>
      <c r="S33" s="3" t="s">
        <v>90</v>
      </c>
      <c r="T33" s="3" t="s">
        <v>4</v>
      </c>
      <c r="U33" s="3" t="s">
        <v>69</v>
      </c>
      <c r="V33" s="40">
        <f>SUM(H36:H37)</f>
        <v>12005</v>
      </c>
      <c r="W33" s="3" t="s">
        <v>35</v>
      </c>
      <c r="X33" s="3" t="s">
        <v>36</v>
      </c>
      <c r="Y33" s="3" t="s">
        <v>29</v>
      </c>
    </row>
    <row r="34" spans="1:25" ht="14.4" x14ac:dyDescent="0.3">
      <c r="B34" s="2"/>
      <c r="C34" s="2"/>
      <c r="D34" s="2"/>
      <c r="E34" s="17"/>
      <c r="G34" s="5">
        <v>2032</v>
      </c>
      <c r="H34" s="40">
        <v>1859</v>
      </c>
      <c r="J34" s="5">
        <v>2032</v>
      </c>
      <c r="K34" s="40">
        <v>2862</v>
      </c>
      <c r="L34" s="40"/>
      <c r="M34" s="60" t="b">
        <f t="shared" si="2"/>
        <v>1</v>
      </c>
      <c r="N34" s="70" t="b">
        <f t="shared" si="3"/>
        <v>0</v>
      </c>
      <c r="Q34"/>
      <c r="S34" s="3" t="s">
        <v>90</v>
      </c>
      <c r="T34" s="3" t="s">
        <v>4</v>
      </c>
      <c r="U34" s="3" t="s">
        <v>41</v>
      </c>
      <c r="V34" s="40">
        <f>SUM(V31:V33)</f>
        <v>32605</v>
      </c>
      <c r="W34" s="3" t="s">
        <v>35</v>
      </c>
      <c r="X34" s="3" t="s">
        <v>36</v>
      </c>
      <c r="Y34" s="3" t="s">
        <v>29</v>
      </c>
    </row>
    <row r="35" spans="1:25" ht="14.4" x14ac:dyDescent="0.3">
      <c r="G35" s="5">
        <v>2033</v>
      </c>
      <c r="H35" s="40">
        <v>2505</v>
      </c>
      <c r="J35" s="5">
        <v>2033</v>
      </c>
      <c r="K35" s="40">
        <v>2505</v>
      </c>
      <c r="L35" s="45"/>
      <c r="M35" s="60" t="b">
        <f t="shared" si="2"/>
        <v>1</v>
      </c>
      <c r="N35" s="60" t="b">
        <f t="shared" si="3"/>
        <v>1</v>
      </c>
      <c r="Q35"/>
    </row>
    <row r="36" spans="1:25" ht="14.4" x14ac:dyDescent="0.3">
      <c r="G36" s="5">
        <v>2034</v>
      </c>
      <c r="H36" s="40">
        <v>3181</v>
      </c>
      <c r="J36" s="5">
        <v>2034</v>
      </c>
      <c r="K36" s="40">
        <v>3004</v>
      </c>
      <c r="M36" s="60" t="b">
        <f t="shared" si="2"/>
        <v>1</v>
      </c>
      <c r="N36" s="70" t="b">
        <f t="shared" si="3"/>
        <v>0</v>
      </c>
      <c r="Q36"/>
    </row>
    <row r="37" spans="1:25" ht="14.4" x14ac:dyDescent="0.3">
      <c r="G37" s="5" t="s">
        <v>26</v>
      </c>
      <c r="H37" s="40">
        <v>8824</v>
      </c>
      <c r="J37" s="5" t="s">
        <v>26</v>
      </c>
      <c r="K37" s="40">
        <v>0</v>
      </c>
      <c r="M37" s="60" t="b">
        <f t="shared" si="2"/>
        <v>1</v>
      </c>
      <c r="N37" s="70" t="b">
        <f t="shared" si="3"/>
        <v>0</v>
      </c>
      <c r="Q37"/>
    </row>
    <row r="38" spans="1:25" ht="14.4" x14ac:dyDescent="0.3">
      <c r="G38" s="8" t="s">
        <v>8</v>
      </c>
      <c r="H38" s="45">
        <f>SUM(H26:H37)</f>
        <v>32605</v>
      </c>
      <c r="J38" s="8" t="s">
        <v>8</v>
      </c>
      <c r="K38" s="45">
        <v>25069</v>
      </c>
      <c r="M38" s="60" t="b">
        <f t="shared" si="2"/>
        <v>1</v>
      </c>
      <c r="N38" s="70" t="b">
        <f t="shared" si="3"/>
        <v>0</v>
      </c>
      <c r="Q38"/>
    </row>
    <row r="39" spans="1:25" ht="14.4" x14ac:dyDescent="0.3">
      <c r="Q39"/>
    </row>
    <row r="40" spans="1:25" ht="14.4" x14ac:dyDescent="0.3">
      <c r="G40" s="78" t="s">
        <v>2</v>
      </c>
      <c r="H40" s="13">
        <f>22/28</f>
        <v>0.7857142857142857</v>
      </c>
      <c r="J40" s="3"/>
      <c r="K40" s="40"/>
      <c r="N40"/>
      <c r="Q40"/>
    </row>
    <row r="41" spans="1:25" x14ac:dyDescent="0.3">
      <c r="G41" s="64"/>
    </row>
    <row r="43" spans="1:25" ht="14.4" x14ac:dyDescent="0.3">
      <c r="G43" s="8" t="s">
        <v>52</v>
      </c>
      <c r="H43" s="77"/>
      <c r="I43" s="77"/>
      <c r="J43" s="8" t="s">
        <v>0</v>
      </c>
    </row>
    <row r="44" spans="1:25" ht="14.4" x14ac:dyDescent="0.3">
      <c r="A44" s="65" t="s">
        <v>6</v>
      </c>
      <c r="B44" s="2"/>
      <c r="C44" s="2"/>
      <c r="D44" s="2"/>
      <c r="E44" s="2"/>
      <c r="G44" s="66"/>
      <c r="H44" s="66"/>
    </row>
    <row r="45" spans="1:25" ht="14.4" x14ac:dyDescent="0.3">
      <c r="B45" s="2"/>
      <c r="C45" s="2"/>
      <c r="D45" s="2"/>
      <c r="E45" s="4"/>
      <c r="G45" s="4"/>
      <c r="H45" s="4"/>
      <c r="J45" s="4"/>
      <c r="K45" s="4"/>
      <c r="L45" s="4"/>
    </row>
    <row r="46" spans="1:25" ht="14.4" x14ac:dyDescent="0.3">
      <c r="B46" s="2"/>
      <c r="C46" s="43"/>
      <c r="D46" s="2"/>
      <c r="E46" s="2"/>
      <c r="G46" s="9" t="s">
        <v>27</v>
      </c>
      <c r="H46" s="9" t="s">
        <v>29</v>
      </c>
      <c r="J46" s="9" t="s">
        <v>27</v>
      </c>
      <c r="K46" s="9" t="s">
        <v>29</v>
      </c>
      <c r="L46" s="40"/>
      <c r="M46" s="60" t="b">
        <f t="shared" ref="M46:M59" si="4">G46=J46</f>
        <v>1</v>
      </c>
      <c r="N46" s="60" t="b">
        <f t="shared" ref="N46:N59" si="5">H46=K46</f>
        <v>1</v>
      </c>
    </row>
    <row r="47" spans="1:25" ht="14.4" x14ac:dyDescent="0.3">
      <c r="B47" s="5"/>
      <c r="C47" s="21"/>
      <c r="D47" s="2"/>
      <c r="E47" s="5"/>
      <c r="G47" s="77">
        <v>2024</v>
      </c>
      <c r="H47" s="66">
        <v>0</v>
      </c>
      <c r="J47" s="77">
        <v>2024</v>
      </c>
      <c r="K47" s="66">
        <v>0</v>
      </c>
      <c r="M47" s="60" t="b">
        <f t="shared" si="4"/>
        <v>1</v>
      </c>
      <c r="N47" s="60" t="b">
        <f t="shared" si="5"/>
        <v>1</v>
      </c>
    </row>
    <row r="48" spans="1:25" ht="14.4" x14ac:dyDescent="0.3">
      <c r="B48" s="5"/>
      <c r="C48" s="21"/>
      <c r="D48" s="2"/>
      <c r="E48" s="5"/>
      <c r="G48" s="5">
        <v>2025</v>
      </c>
      <c r="H48" s="40">
        <v>39</v>
      </c>
      <c r="J48" s="5">
        <v>2025</v>
      </c>
      <c r="K48" s="40">
        <v>39</v>
      </c>
      <c r="L48" s="40"/>
      <c r="M48" s="60" t="b">
        <f t="shared" si="4"/>
        <v>1</v>
      </c>
      <c r="N48" s="60" t="b">
        <f t="shared" si="5"/>
        <v>1</v>
      </c>
    </row>
    <row r="49" spans="2:25" ht="14.4" x14ac:dyDescent="0.3">
      <c r="B49" s="5"/>
      <c r="C49" s="21"/>
      <c r="D49" s="2"/>
      <c r="E49" s="5"/>
      <c r="G49" s="5">
        <v>2026</v>
      </c>
      <c r="H49" s="40">
        <v>2071</v>
      </c>
      <c r="J49" s="5">
        <v>2026</v>
      </c>
      <c r="K49" s="40">
        <v>2071</v>
      </c>
      <c r="L49" s="40"/>
      <c r="M49" s="60" t="b">
        <f t="shared" si="4"/>
        <v>1</v>
      </c>
      <c r="N49" s="60" t="b">
        <f t="shared" si="5"/>
        <v>1</v>
      </c>
    </row>
    <row r="50" spans="2:25" ht="14.4" x14ac:dyDescent="0.3">
      <c r="B50" s="5"/>
      <c r="C50" s="21"/>
      <c r="D50" s="2"/>
      <c r="E50" s="5"/>
      <c r="G50" s="5">
        <v>2027</v>
      </c>
      <c r="H50" s="40">
        <v>2381</v>
      </c>
      <c r="J50" s="5">
        <v>2027</v>
      </c>
      <c r="K50" s="40">
        <v>2381</v>
      </c>
      <c r="L50" s="40"/>
      <c r="M50" s="60" t="b">
        <f t="shared" si="4"/>
        <v>1</v>
      </c>
      <c r="N50" s="60" t="b">
        <f t="shared" si="5"/>
        <v>1</v>
      </c>
    </row>
    <row r="51" spans="2:25" ht="14.4" x14ac:dyDescent="0.3">
      <c r="B51" s="5"/>
      <c r="C51" s="21"/>
      <c r="D51" s="2"/>
      <c r="E51" s="5"/>
      <c r="G51" s="5">
        <v>2028</v>
      </c>
      <c r="H51" s="40">
        <v>2902</v>
      </c>
      <c r="J51" s="5">
        <v>2028</v>
      </c>
      <c r="K51" s="40">
        <v>2092</v>
      </c>
      <c r="L51" s="40"/>
      <c r="M51" s="60" t="b">
        <f t="shared" si="4"/>
        <v>1</v>
      </c>
      <c r="N51" s="70" t="b">
        <f t="shared" si="5"/>
        <v>0</v>
      </c>
    </row>
    <row r="52" spans="2:25" ht="14.4" x14ac:dyDescent="0.3">
      <c r="B52" s="5"/>
      <c r="C52" s="21"/>
      <c r="D52" s="2"/>
      <c r="E52" s="5"/>
      <c r="G52" s="5">
        <v>2029</v>
      </c>
      <c r="H52" s="40">
        <v>3068</v>
      </c>
      <c r="J52" s="5">
        <v>2029</v>
      </c>
      <c r="K52" s="40">
        <v>3068</v>
      </c>
      <c r="L52" s="40"/>
      <c r="M52" s="60" t="b">
        <f t="shared" si="4"/>
        <v>1</v>
      </c>
      <c r="N52" s="60" t="b">
        <f t="shared" si="5"/>
        <v>1</v>
      </c>
      <c r="S52" s="4" t="s">
        <v>1</v>
      </c>
      <c r="T52" s="4" t="s">
        <v>3</v>
      </c>
      <c r="U52" s="4" t="s">
        <v>29</v>
      </c>
      <c r="V52" s="4" t="s">
        <v>30</v>
      </c>
      <c r="W52" s="4" t="s">
        <v>31</v>
      </c>
      <c r="X52" s="4" t="s">
        <v>32</v>
      </c>
      <c r="Y52" s="4" t="s">
        <v>33</v>
      </c>
    </row>
    <row r="53" spans="2:25" ht="14.4" x14ac:dyDescent="0.3">
      <c r="B53" s="5"/>
      <c r="C53" s="21"/>
      <c r="D53" s="2"/>
      <c r="E53" s="5"/>
      <c r="G53" s="5">
        <v>2030</v>
      </c>
      <c r="H53" s="40">
        <v>2815</v>
      </c>
      <c r="J53" s="5">
        <v>2030</v>
      </c>
      <c r="K53" s="40">
        <v>2815</v>
      </c>
      <c r="L53" s="40"/>
      <c r="M53" s="60" t="b">
        <f t="shared" si="4"/>
        <v>1</v>
      </c>
      <c r="N53" s="60" t="b">
        <f t="shared" si="5"/>
        <v>1</v>
      </c>
      <c r="S53" s="3" t="s">
        <v>90</v>
      </c>
      <c r="T53" s="3" t="s">
        <v>6</v>
      </c>
      <c r="U53" s="3" t="s">
        <v>68</v>
      </c>
      <c r="V53" s="40">
        <f>SUM(H47:H52)</f>
        <v>10461</v>
      </c>
      <c r="W53" s="3" t="s">
        <v>35</v>
      </c>
      <c r="X53" s="3" t="s">
        <v>36</v>
      </c>
      <c r="Y53" s="3" t="s">
        <v>29</v>
      </c>
    </row>
    <row r="54" spans="2:25" ht="14.4" x14ac:dyDescent="0.3">
      <c r="B54" s="2"/>
      <c r="C54" s="2"/>
      <c r="D54" s="2"/>
      <c r="E54" s="2"/>
      <c r="G54" s="5">
        <v>2031</v>
      </c>
      <c r="H54" s="40">
        <v>2155</v>
      </c>
      <c r="J54" s="5">
        <v>2031</v>
      </c>
      <c r="K54" s="40">
        <v>2156</v>
      </c>
      <c r="L54" s="40"/>
      <c r="M54" s="60" t="b">
        <f t="shared" si="4"/>
        <v>1</v>
      </c>
      <c r="N54" s="70" t="b">
        <f t="shared" si="5"/>
        <v>0</v>
      </c>
      <c r="S54" s="3" t="s">
        <v>90</v>
      </c>
      <c r="T54" s="3" t="s">
        <v>6</v>
      </c>
      <c r="U54" s="3" t="s">
        <v>39</v>
      </c>
      <c r="V54" s="40">
        <f>SUM(H53:H56)</f>
        <v>9185</v>
      </c>
      <c r="W54" s="3" t="s">
        <v>35</v>
      </c>
      <c r="X54" s="3" t="s">
        <v>36</v>
      </c>
      <c r="Y54" s="3" t="s">
        <v>29</v>
      </c>
    </row>
    <row r="55" spans="2:25" ht="14.4" x14ac:dyDescent="0.3">
      <c r="B55" s="2"/>
      <c r="C55" s="2"/>
      <c r="D55" s="2"/>
      <c r="E55" s="17"/>
      <c r="G55" s="5">
        <v>2032</v>
      </c>
      <c r="H55" s="40">
        <v>1771</v>
      </c>
      <c r="J55" s="5">
        <v>2032</v>
      </c>
      <c r="K55" s="40">
        <v>1771</v>
      </c>
      <c r="L55" s="40"/>
      <c r="M55" s="60" t="b">
        <f t="shared" si="4"/>
        <v>1</v>
      </c>
      <c r="N55" s="60" t="b">
        <f t="shared" si="5"/>
        <v>1</v>
      </c>
      <c r="S55" s="3" t="s">
        <v>90</v>
      </c>
      <c r="T55" s="3" t="s">
        <v>6</v>
      </c>
      <c r="U55" s="3" t="s">
        <v>69</v>
      </c>
      <c r="V55" s="40">
        <f>SUM(H57:H58)</f>
        <v>10554</v>
      </c>
      <c r="W55" s="3" t="s">
        <v>35</v>
      </c>
      <c r="X55" s="3" t="s">
        <v>36</v>
      </c>
      <c r="Y55" s="3" t="s">
        <v>29</v>
      </c>
    </row>
    <row r="56" spans="2:25" ht="14.4" x14ac:dyDescent="0.3">
      <c r="G56" s="5">
        <v>2033</v>
      </c>
      <c r="H56" s="40">
        <v>2444</v>
      </c>
      <c r="J56" s="5">
        <v>2033</v>
      </c>
      <c r="K56" s="40">
        <v>2444</v>
      </c>
      <c r="L56" s="40"/>
      <c r="M56" s="60" t="b">
        <f t="shared" si="4"/>
        <v>1</v>
      </c>
      <c r="N56" s="60" t="b">
        <f t="shared" si="5"/>
        <v>1</v>
      </c>
      <c r="S56" s="3" t="s">
        <v>90</v>
      </c>
      <c r="T56" s="3" t="s">
        <v>6</v>
      </c>
      <c r="U56" s="3" t="s">
        <v>41</v>
      </c>
      <c r="V56" s="40">
        <f>SUM(V53:V55)</f>
        <v>30200</v>
      </c>
      <c r="W56" s="3" t="s">
        <v>35</v>
      </c>
      <c r="X56" s="3" t="s">
        <v>36</v>
      </c>
      <c r="Y56" s="3" t="s">
        <v>29</v>
      </c>
    </row>
    <row r="57" spans="2:25" ht="14.4" x14ac:dyDescent="0.3">
      <c r="G57" s="5">
        <v>2034</v>
      </c>
      <c r="H57" s="40">
        <v>3097</v>
      </c>
      <c r="J57" s="5">
        <v>2034</v>
      </c>
      <c r="K57" s="40">
        <v>2942</v>
      </c>
      <c r="L57" s="45"/>
      <c r="M57" s="60" t="b">
        <f t="shared" si="4"/>
        <v>1</v>
      </c>
      <c r="N57" s="70" t="b">
        <f t="shared" si="5"/>
        <v>0</v>
      </c>
    </row>
    <row r="58" spans="2:25" ht="14.4" x14ac:dyDescent="0.3">
      <c r="G58" s="5" t="s">
        <v>26</v>
      </c>
      <c r="H58" s="40">
        <v>7457</v>
      </c>
      <c r="J58" s="5" t="s">
        <v>26</v>
      </c>
      <c r="K58" s="40">
        <v>7457</v>
      </c>
      <c r="M58" s="60" t="b">
        <f t="shared" si="4"/>
        <v>1</v>
      </c>
      <c r="N58" s="60" t="b">
        <f t="shared" si="5"/>
        <v>1</v>
      </c>
    </row>
    <row r="59" spans="2:25" ht="14.4" x14ac:dyDescent="0.3">
      <c r="G59" s="8" t="s">
        <v>8</v>
      </c>
      <c r="H59" s="45">
        <f>SUM(H48:H58)</f>
        <v>30200</v>
      </c>
      <c r="J59" s="8" t="s">
        <v>8</v>
      </c>
      <c r="K59" s="45">
        <v>29236</v>
      </c>
      <c r="M59" s="60" t="b">
        <f t="shared" si="4"/>
        <v>1</v>
      </c>
      <c r="N59" s="70" t="b">
        <f t="shared" si="5"/>
        <v>0</v>
      </c>
    </row>
    <row r="60" spans="2:25" ht="14.4" x14ac:dyDescent="0.3">
      <c r="G60" s="3"/>
      <c r="H60" s="40"/>
    </row>
    <row r="61" spans="2:25" ht="14.4" x14ac:dyDescent="0.3">
      <c r="G61" s="78" t="s">
        <v>2</v>
      </c>
      <c r="H61" s="13">
        <f>24/28</f>
        <v>0.8571428571428571</v>
      </c>
    </row>
    <row r="62" spans="2:25" ht="14.4" x14ac:dyDescent="0.3">
      <c r="G62" s="3"/>
      <c r="H62" s="40"/>
    </row>
    <row r="64" spans="2:25" ht="14.4" x14ac:dyDescent="0.3">
      <c r="G64" s="8" t="s">
        <v>52</v>
      </c>
      <c r="H64" s="77"/>
      <c r="I64" s="77"/>
      <c r="J64" s="8" t="s">
        <v>0</v>
      </c>
    </row>
    <row r="65" spans="1:25" ht="14.4" x14ac:dyDescent="0.3">
      <c r="A65" s="65" t="s">
        <v>7</v>
      </c>
      <c r="B65" s="2"/>
      <c r="C65" s="2"/>
      <c r="D65" s="2"/>
      <c r="E65" s="2"/>
      <c r="G65" s="66"/>
      <c r="H65" s="66"/>
    </row>
    <row r="66" spans="1:25" ht="14.4" x14ac:dyDescent="0.3">
      <c r="B66" s="2"/>
      <c r="C66" s="2"/>
      <c r="D66" s="2"/>
      <c r="E66" s="4"/>
      <c r="G66" s="9" t="s">
        <v>27</v>
      </c>
      <c r="H66" s="9" t="s">
        <v>29</v>
      </c>
      <c r="J66" s="9" t="s">
        <v>27</v>
      </c>
      <c r="K66" s="9" t="s">
        <v>29</v>
      </c>
      <c r="L66" s="4"/>
      <c r="M66" s="60" t="b">
        <f>G66=J66</f>
        <v>1</v>
      </c>
      <c r="N66" s="60" t="b">
        <f>H66=K66</f>
        <v>1</v>
      </c>
    </row>
    <row r="67" spans="1:25" ht="14.4" x14ac:dyDescent="0.3">
      <c r="B67" s="5"/>
      <c r="C67" s="21"/>
      <c r="D67" s="2"/>
      <c r="E67" s="5"/>
      <c r="G67" s="5">
        <v>2024</v>
      </c>
      <c r="H67" s="40">
        <v>0</v>
      </c>
      <c r="J67" s="5">
        <v>2024</v>
      </c>
      <c r="K67" s="40">
        <v>0</v>
      </c>
      <c r="L67" s="40"/>
      <c r="M67" s="60" t="b">
        <f t="shared" ref="M67:M79" si="6">G67=J67</f>
        <v>1</v>
      </c>
      <c r="N67" s="60" t="b">
        <f t="shared" ref="N67:N79" si="7">H67=K67</f>
        <v>1</v>
      </c>
    </row>
    <row r="68" spans="1:25" ht="14.4" x14ac:dyDescent="0.3">
      <c r="B68" s="5"/>
      <c r="C68" s="21"/>
      <c r="D68" s="2"/>
      <c r="E68" s="5"/>
      <c r="G68" s="5">
        <v>2025</v>
      </c>
      <c r="H68" s="40">
        <v>34</v>
      </c>
      <c r="J68" s="5">
        <v>2025</v>
      </c>
      <c r="K68" s="40">
        <v>34</v>
      </c>
      <c r="L68" s="40"/>
      <c r="M68" s="60" t="b">
        <f t="shared" si="6"/>
        <v>1</v>
      </c>
      <c r="N68" s="60" t="b">
        <f t="shared" si="7"/>
        <v>1</v>
      </c>
    </row>
    <row r="69" spans="1:25" ht="14.4" x14ac:dyDescent="0.3">
      <c r="B69" s="5"/>
      <c r="C69" s="21"/>
      <c r="D69" s="2"/>
      <c r="E69" s="5"/>
      <c r="G69" s="5">
        <v>2026</v>
      </c>
      <c r="H69" s="40">
        <v>2110</v>
      </c>
      <c r="J69" s="5">
        <v>2026</v>
      </c>
      <c r="K69" s="40">
        <v>1931</v>
      </c>
      <c r="L69" s="40"/>
      <c r="M69" s="60" t="b">
        <f t="shared" si="6"/>
        <v>1</v>
      </c>
      <c r="N69" s="70" t="b">
        <f t="shared" si="7"/>
        <v>0</v>
      </c>
    </row>
    <row r="70" spans="1:25" ht="14.4" x14ac:dyDescent="0.3">
      <c r="B70" s="5"/>
      <c r="C70" s="21"/>
      <c r="D70" s="2"/>
      <c r="E70" s="5"/>
      <c r="G70" s="5">
        <v>2027</v>
      </c>
      <c r="H70" s="40">
        <v>2528</v>
      </c>
      <c r="J70" s="5">
        <v>2027</v>
      </c>
      <c r="K70" s="40">
        <v>2528</v>
      </c>
      <c r="L70" s="40"/>
      <c r="M70" s="60" t="b">
        <f t="shared" si="6"/>
        <v>1</v>
      </c>
      <c r="N70" s="60" t="b">
        <f t="shared" si="7"/>
        <v>1</v>
      </c>
    </row>
    <row r="71" spans="1:25" ht="14.4" x14ac:dyDescent="0.3">
      <c r="B71" s="5"/>
      <c r="C71" s="21"/>
      <c r="D71" s="2"/>
      <c r="E71" s="5"/>
      <c r="G71" s="5">
        <v>2028</v>
      </c>
      <c r="H71" s="40">
        <v>3353</v>
      </c>
      <c r="J71" s="5">
        <v>2028</v>
      </c>
      <c r="K71" s="40">
        <v>3350</v>
      </c>
      <c r="L71" s="40"/>
      <c r="M71" s="60" t="b">
        <f t="shared" si="6"/>
        <v>1</v>
      </c>
      <c r="N71" s="70" t="b">
        <f t="shared" si="7"/>
        <v>0</v>
      </c>
    </row>
    <row r="72" spans="1:25" ht="14.4" x14ac:dyDescent="0.3">
      <c r="B72" s="5"/>
      <c r="C72" s="21"/>
      <c r="D72" s="2"/>
      <c r="E72" s="5"/>
      <c r="G72" s="5">
        <v>2029</v>
      </c>
      <c r="H72" s="40">
        <v>3085</v>
      </c>
      <c r="J72" s="5">
        <v>2029</v>
      </c>
      <c r="K72" s="40">
        <v>3085</v>
      </c>
      <c r="L72" s="40"/>
      <c r="M72" s="60" t="b">
        <f t="shared" si="6"/>
        <v>1</v>
      </c>
      <c r="N72" s="60" t="b">
        <f t="shared" si="7"/>
        <v>1</v>
      </c>
      <c r="S72" s="4" t="s">
        <v>1</v>
      </c>
      <c r="T72" s="4" t="s">
        <v>3</v>
      </c>
      <c r="U72" s="4" t="s">
        <v>29</v>
      </c>
      <c r="V72" s="4" t="s">
        <v>30</v>
      </c>
      <c r="W72" s="4" t="s">
        <v>31</v>
      </c>
      <c r="X72" s="4" t="s">
        <v>32</v>
      </c>
      <c r="Y72" s="4" t="s">
        <v>33</v>
      </c>
    </row>
    <row r="73" spans="1:25" ht="14.4" x14ac:dyDescent="0.3">
      <c r="B73" s="5"/>
      <c r="C73" s="21"/>
      <c r="D73" s="2"/>
      <c r="E73" s="5"/>
      <c r="G73" s="5">
        <v>2030</v>
      </c>
      <c r="H73" s="40">
        <v>2827</v>
      </c>
      <c r="J73" s="5">
        <v>2030</v>
      </c>
      <c r="K73" s="40">
        <v>2831</v>
      </c>
      <c r="L73" s="40"/>
      <c r="M73" s="60" t="b">
        <f t="shared" si="6"/>
        <v>1</v>
      </c>
      <c r="N73" s="70" t="b">
        <f t="shared" si="7"/>
        <v>0</v>
      </c>
      <c r="S73" s="3" t="s">
        <v>90</v>
      </c>
      <c r="T73" s="3" t="s">
        <v>7</v>
      </c>
      <c r="U73" s="3" t="s">
        <v>68</v>
      </c>
      <c r="V73" s="40">
        <f>SUM(H67:H72)</f>
        <v>11110</v>
      </c>
      <c r="W73" s="3" t="s">
        <v>35</v>
      </c>
      <c r="X73" s="3" t="s">
        <v>36</v>
      </c>
      <c r="Y73" s="3" t="s">
        <v>29</v>
      </c>
    </row>
    <row r="74" spans="1:25" ht="14.4" x14ac:dyDescent="0.3">
      <c r="B74" s="5"/>
      <c r="C74" s="21"/>
      <c r="D74" s="2"/>
      <c r="E74" s="5"/>
      <c r="G74" s="5">
        <v>2031</v>
      </c>
      <c r="H74" s="40">
        <v>2179</v>
      </c>
      <c r="J74" s="5">
        <v>2031</v>
      </c>
      <c r="K74" s="40">
        <v>2029</v>
      </c>
      <c r="L74" s="40"/>
      <c r="M74" s="60" t="b">
        <f t="shared" si="6"/>
        <v>1</v>
      </c>
      <c r="N74" s="70" t="b">
        <f t="shared" si="7"/>
        <v>0</v>
      </c>
      <c r="S74" s="3" t="s">
        <v>90</v>
      </c>
      <c r="T74" s="3" t="s">
        <v>7</v>
      </c>
      <c r="U74" s="3" t="s">
        <v>39</v>
      </c>
      <c r="V74" s="40">
        <f>SUM(H73:H76)</f>
        <v>9271</v>
      </c>
      <c r="W74" s="3" t="s">
        <v>35</v>
      </c>
      <c r="X74" s="3" t="s">
        <v>36</v>
      </c>
      <c r="Y74" s="3" t="s">
        <v>29</v>
      </c>
    </row>
    <row r="75" spans="1:25" ht="14.4" x14ac:dyDescent="0.3">
      <c r="B75" s="5"/>
      <c r="C75" s="21"/>
      <c r="D75" s="2"/>
      <c r="E75" s="5"/>
      <c r="G75" s="5">
        <v>2032</v>
      </c>
      <c r="H75" s="40">
        <v>1803</v>
      </c>
      <c r="J75" s="5">
        <v>2032</v>
      </c>
      <c r="K75" s="40">
        <v>1803</v>
      </c>
      <c r="L75" s="40"/>
      <c r="M75" s="60" t="b">
        <f t="shared" si="6"/>
        <v>1</v>
      </c>
      <c r="N75" s="60" t="b">
        <f t="shared" si="7"/>
        <v>1</v>
      </c>
      <c r="S75" s="3" t="s">
        <v>90</v>
      </c>
      <c r="T75" s="3" t="s">
        <v>7</v>
      </c>
      <c r="U75" s="3" t="s">
        <v>69</v>
      </c>
      <c r="V75" s="40">
        <f>SUM(H77:H78)</f>
        <v>9479</v>
      </c>
      <c r="W75" s="3" t="s">
        <v>35</v>
      </c>
      <c r="X75" s="3" t="s">
        <v>36</v>
      </c>
      <c r="Y75" s="3" t="s">
        <v>29</v>
      </c>
    </row>
    <row r="76" spans="1:25" ht="14.4" x14ac:dyDescent="0.3">
      <c r="B76" s="2"/>
      <c r="C76" s="2"/>
      <c r="D76" s="2"/>
      <c r="E76" s="2"/>
      <c r="G76" s="5">
        <v>2033</v>
      </c>
      <c r="H76" s="40">
        <v>2462</v>
      </c>
      <c r="J76" s="5">
        <v>2033</v>
      </c>
      <c r="K76" s="40">
        <v>2462</v>
      </c>
      <c r="L76" s="40"/>
      <c r="M76" s="60" t="b">
        <f t="shared" si="6"/>
        <v>1</v>
      </c>
      <c r="N76" s="60" t="b">
        <f t="shared" si="7"/>
        <v>1</v>
      </c>
      <c r="S76" s="3" t="s">
        <v>90</v>
      </c>
      <c r="T76" s="3" t="s">
        <v>7</v>
      </c>
      <c r="U76" s="3" t="s">
        <v>41</v>
      </c>
      <c r="V76" s="40">
        <f>SUM(V73:V75)</f>
        <v>29860</v>
      </c>
      <c r="W76" s="3" t="s">
        <v>35</v>
      </c>
      <c r="X76" s="3" t="s">
        <v>36</v>
      </c>
      <c r="Y76" s="3" t="s">
        <v>29</v>
      </c>
    </row>
    <row r="77" spans="1:25" ht="14.4" x14ac:dyDescent="0.3">
      <c r="B77" s="2"/>
      <c r="C77" s="2"/>
      <c r="D77" s="2"/>
      <c r="E77" s="17"/>
      <c r="G77" s="5">
        <v>2034</v>
      </c>
      <c r="H77" s="40">
        <v>2394</v>
      </c>
      <c r="J77" s="5">
        <v>2034</v>
      </c>
      <c r="K77" s="40">
        <v>2318</v>
      </c>
      <c r="L77" s="40"/>
      <c r="M77" s="60" t="b">
        <f t="shared" si="6"/>
        <v>1</v>
      </c>
      <c r="N77" s="70" t="b">
        <f t="shared" si="7"/>
        <v>0</v>
      </c>
    </row>
    <row r="78" spans="1:25" ht="14.4" x14ac:dyDescent="0.3">
      <c r="G78" s="5" t="s">
        <v>26</v>
      </c>
      <c r="H78" s="40">
        <v>7085</v>
      </c>
      <c r="J78" s="5" t="s">
        <v>26</v>
      </c>
      <c r="K78" s="40">
        <v>7085</v>
      </c>
      <c r="L78" s="45"/>
      <c r="M78" s="60" t="b">
        <f t="shared" si="6"/>
        <v>1</v>
      </c>
      <c r="N78" s="60" t="b">
        <f t="shared" si="7"/>
        <v>1</v>
      </c>
    </row>
    <row r="79" spans="1:25" ht="14.4" x14ac:dyDescent="0.3">
      <c r="G79" s="8" t="s">
        <v>8</v>
      </c>
      <c r="H79" s="45">
        <f>SUM(H67:H78)</f>
        <v>29860</v>
      </c>
      <c r="J79" s="8" t="s">
        <v>8</v>
      </c>
      <c r="K79" s="45">
        <f>SUM(K67:K78)</f>
        <v>29456</v>
      </c>
      <c r="M79" s="60" t="b">
        <f t="shared" si="6"/>
        <v>1</v>
      </c>
      <c r="N79" s="70" t="b">
        <f t="shared" si="7"/>
        <v>0</v>
      </c>
    </row>
    <row r="80" spans="1:25" ht="14.4" x14ac:dyDescent="0.3">
      <c r="G80" s="3"/>
      <c r="H80" s="40"/>
    </row>
    <row r="81" spans="7:10" ht="14.4" x14ac:dyDescent="0.3">
      <c r="G81" s="78" t="s">
        <v>2</v>
      </c>
      <c r="H81" s="13">
        <f>22/28</f>
        <v>0.7857142857142857</v>
      </c>
    </row>
    <row r="82" spans="7:10" ht="14.4" x14ac:dyDescent="0.3">
      <c r="I82" s="3"/>
      <c r="J82" s="40"/>
    </row>
    <row r="83" spans="7:10" ht="14.4" x14ac:dyDescent="0.3">
      <c r="I83" s="3"/>
      <c r="J83" s="40"/>
    </row>
    <row r="84" spans="7:10" ht="14.4" x14ac:dyDescent="0.3">
      <c r="I84" s="3"/>
      <c r="J84" s="40"/>
    </row>
    <row r="85" spans="7:10" ht="14.4" x14ac:dyDescent="0.3">
      <c r="I85" s="3"/>
      <c r="J85" s="40"/>
    </row>
    <row r="86" spans="7:10" ht="14.4" x14ac:dyDescent="0.3">
      <c r="I86" s="3"/>
      <c r="J86" s="40"/>
    </row>
    <row r="87" spans="7:10" ht="14.4" x14ac:dyDescent="0.3">
      <c r="I87" s="3"/>
      <c r="J87" s="40"/>
    </row>
    <row r="88" spans="7:10" ht="14.4" x14ac:dyDescent="0.3">
      <c r="I88" s="3"/>
      <c r="J88" s="40"/>
    </row>
    <row r="89" spans="7:10" ht="14.4" x14ac:dyDescent="0.3">
      <c r="I89" s="3"/>
      <c r="J89" s="40"/>
    </row>
    <row r="90" spans="7:10" ht="14.4" x14ac:dyDescent="0.3">
      <c r="I90" s="66"/>
      <c r="J90" s="40"/>
    </row>
    <row r="91" spans="7:10" ht="14.4" x14ac:dyDescent="0.3">
      <c r="I91" s="66"/>
      <c r="J91" s="40"/>
    </row>
    <row r="92" spans="7:10" x14ac:dyDescent="0.3">
      <c r="I92" s="66"/>
    </row>
    <row r="93" spans="7:10" x14ac:dyDescent="0.3">
      <c r="I93" s="64"/>
    </row>
  </sheetData>
  <pageMargins left="0.7" right="0.7" top="0.75" bottom="0.75" header="0.3" footer="0.3"/>
  <ignoredErrors>
    <ignoredError sqref="V14:V16 V53 V55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82CD-B6AB-4FB8-A052-F47DB21A3383}">
  <dimension ref="B2:AK66"/>
  <sheetViews>
    <sheetView showGridLines="0" topLeftCell="A14" workbookViewId="0">
      <selection activeCell="C37" sqref="C37"/>
    </sheetView>
  </sheetViews>
  <sheetFormatPr defaultRowHeight="14.4" x14ac:dyDescent="0.3"/>
  <cols>
    <col min="1" max="1" width="3.5546875" customWidth="1"/>
    <col min="27" max="27" width="11.77734375" bestFit="1" customWidth="1"/>
    <col min="28" max="28" width="9" bestFit="1" customWidth="1"/>
    <col min="29" max="29" width="14" bestFit="1" customWidth="1"/>
    <col min="31" max="31" width="5.5546875" bestFit="1" customWidth="1"/>
    <col min="32" max="32" width="6.77734375" bestFit="1" customWidth="1"/>
    <col min="33" max="33" width="13.44140625" bestFit="1" customWidth="1"/>
    <col min="34" max="34" width="6.88671875" bestFit="1" customWidth="1"/>
    <col min="35" max="35" width="4" bestFit="1" customWidth="1"/>
    <col min="36" max="36" width="8" bestFit="1" customWidth="1"/>
    <col min="37" max="37" width="12.33203125" bestFit="1" customWidth="1"/>
  </cols>
  <sheetData>
    <row r="2" spans="2:37" x14ac:dyDescent="0.3">
      <c r="B2" s="63" t="s">
        <v>5</v>
      </c>
    </row>
    <row r="6" spans="2:37" x14ac:dyDescent="0.3">
      <c r="Z6" s="2">
        <v>1000</v>
      </c>
    </row>
    <row r="7" spans="2:37" x14ac:dyDescent="0.3">
      <c r="Z7" s="2"/>
      <c r="AA7" s="105" t="s">
        <v>28</v>
      </c>
      <c r="AB7" s="105" t="s">
        <v>37</v>
      </c>
      <c r="AC7" s="105" t="s">
        <v>29</v>
      </c>
      <c r="AE7" s="4" t="s">
        <v>1</v>
      </c>
      <c r="AF7" s="4" t="s">
        <v>3</v>
      </c>
      <c r="AG7" s="4" t="s">
        <v>29</v>
      </c>
      <c r="AH7" s="4" t="s">
        <v>30</v>
      </c>
      <c r="AI7" s="4" t="s">
        <v>31</v>
      </c>
      <c r="AJ7" s="4" t="s">
        <v>32</v>
      </c>
      <c r="AK7" s="4" t="s">
        <v>33</v>
      </c>
    </row>
    <row r="8" spans="2:37" x14ac:dyDescent="0.3">
      <c r="Z8" s="7">
        <v>2024</v>
      </c>
      <c r="AA8" s="48">
        <v>173.38900000000001</v>
      </c>
      <c r="AB8" s="48">
        <v>514.22299999999996</v>
      </c>
      <c r="AC8" s="48">
        <f>AB8-AA8</f>
        <v>340.83399999999995</v>
      </c>
      <c r="AE8" s="3" t="s">
        <v>90</v>
      </c>
      <c r="AF8" s="3" t="s">
        <v>5</v>
      </c>
      <c r="AG8" s="3" t="s">
        <v>68</v>
      </c>
      <c r="AH8" s="40">
        <f>SUM(AC8:AC12)</f>
        <v>10281.179</v>
      </c>
      <c r="AI8" s="3" t="s">
        <v>35</v>
      </c>
      <c r="AJ8" s="3" t="s">
        <v>36</v>
      </c>
      <c r="AK8" s="3" t="s">
        <v>29</v>
      </c>
    </row>
    <row r="9" spans="2:37" x14ac:dyDescent="0.3">
      <c r="Z9" s="7">
        <v>2025</v>
      </c>
      <c r="AA9" s="48">
        <v>45.542000000000002</v>
      </c>
      <c r="AB9" s="48">
        <v>2173.4920000000002</v>
      </c>
      <c r="AC9" s="48">
        <f t="shared" ref="AC9:AC13" si="0">AB9-AA9</f>
        <v>2127.9500000000003</v>
      </c>
      <c r="AE9" s="3" t="s">
        <v>90</v>
      </c>
      <c r="AF9" s="3" t="s">
        <v>5</v>
      </c>
      <c r="AG9" s="3" t="s">
        <v>69</v>
      </c>
      <c r="AH9" s="40">
        <f>SUM(AC13)</f>
        <v>20856.508000000002</v>
      </c>
      <c r="AI9" s="3" t="s">
        <v>35</v>
      </c>
      <c r="AJ9" s="3" t="s">
        <v>36</v>
      </c>
      <c r="AK9" s="3" t="s">
        <v>29</v>
      </c>
    </row>
    <row r="10" spans="2:37" x14ac:dyDescent="0.3">
      <c r="Z10" s="7">
        <v>2026</v>
      </c>
      <c r="AA10" s="48">
        <v>4.1559999999999997</v>
      </c>
      <c r="AB10" s="48">
        <v>2010.4179999999999</v>
      </c>
      <c r="AC10" s="48">
        <f t="shared" si="0"/>
        <v>2006.2619999999999</v>
      </c>
      <c r="AE10" s="3" t="s">
        <v>90</v>
      </c>
      <c r="AF10" s="3" t="s">
        <v>5</v>
      </c>
      <c r="AG10" s="3" t="s">
        <v>41</v>
      </c>
      <c r="AH10" s="40">
        <f>SUM(AH8:AH9)</f>
        <v>31137.687000000002</v>
      </c>
      <c r="AI10" s="3" t="s">
        <v>35</v>
      </c>
      <c r="AJ10" s="3" t="s">
        <v>36</v>
      </c>
      <c r="AK10" s="3" t="s">
        <v>29</v>
      </c>
    </row>
    <row r="11" spans="2:37" x14ac:dyDescent="0.3">
      <c r="Z11" s="7">
        <v>2027</v>
      </c>
      <c r="AA11" s="48">
        <v>3.0409999999999999</v>
      </c>
      <c r="AB11" s="48">
        <v>2616.0439999999999</v>
      </c>
      <c r="AC11" s="48">
        <f t="shared" si="0"/>
        <v>2613.0029999999997</v>
      </c>
    </row>
    <row r="12" spans="2:37" x14ac:dyDescent="0.3">
      <c r="Z12" s="7">
        <v>2028</v>
      </c>
      <c r="AA12" s="48">
        <v>3.1909999999999998</v>
      </c>
      <c r="AB12" s="48">
        <v>3196.3209999999999</v>
      </c>
      <c r="AC12" s="48">
        <f t="shared" si="0"/>
        <v>3193.13</v>
      </c>
    </row>
    <row r="13" spans="2:37" x14ac:dyDescent="0.3">
      <c r="Z13" s="10" t="s">
        <v>26</v>
      </c>
      <c r="AA13" s="48">
        <v>82.903000000000006</v>
      </c>
      <c r="AB13" s="48">
        <v>20939.411</v>
      </c>
      <c r="AC13" s="48">
        <f t="shared" si="0"/>
        <v>20856.508000000002</v>
      </c>
    </row>
    <row r="14" spans="2:37" x14ac:dyDescent="0.3">
      <c r="Z14" s="10" t="s">
        <v>8</v>
      </c>
      <c r="AA14" s="106">
        <f>SUM(AA8:AA13)</f>
        <v>312.22200000000004</v>
      </c>
      <c r="AB14" s="106">
        <f>SUM(AB8:AB13)</f>
        <v>31449.909</v>
      </c>
      <c r="AC14" s="106">
        <f>SUM(AC8:AC13)</f>
        <v>31137.687000000002</v>
      </c>
    </row>
    <row r="20" spans="2:37" x14ac:dyDescent="0.3">
      <c r="B20" s="63" t="s">
        <v>4</v>
      </c>
      <c r="C20" s="109" t="s">
        <v>97</v>
      </c>
    </row>
    <row r="25" spans="2:37" x14ac:dyDescent="0.3">
      <c r="Z25" s="2">
        <v>1000</v>
      </c>
    </row>
    <row r="26" spans="2:37" x14ac:dyDescent="0.3">
      <c r="Z26" s="2"/>
      <c r="AA26" s="105" t="s">
        <v>28</v>
      </c>
      <c r="AB26" s="105" t="s">
        <v>37</v>
      </c>
      <c r="AC26" s="105" t="s">
        <v>29</v>
      </c>
      <c r="AE26" s="4" t="s">
        <v>1</v>
      </c>
      <c r="AF26" s="4" t="s">
        <v>3</v>
      </c>
      <c r="AG26" s="4" t="s">
        <v>29</v>
      </c>
      <c r="AH26" s="4" t="s">
        <v>30</v>
      </c>
      <c r="AI26" s="4" t="s">
        <v>31</v>
      </c>
      <c r="AJ26" s="4" t="s">
        <v>32</v>
      </c>
      <c r="AK26" s="4" t="s">
        <v>33</v>
      </c>
    </row>
    <row r="27" spans="2:37" x14ac:dyDescent="0.3">
      <c r="Z27" s="7">
        <v>2024</v>
      </c>
      <c r="AA27" s="48">
        <v>1.962</v>
      </c>
      <c r="AB27" s="48">
        <v>1.962</v>
      </c>
      <c r="AC27" s="48">
        <f>AB27-AA27</f>
        <v>0</v>
      </c>
      <c r="AE27" s="3" t="s">
        <v>90</v>
      </c>
      <c r="AF27" s="3" t="s">
        <v>4</v>
      </c>
      <c r="AG27" s="3" t="s">
        <v>68</v>
      </c>
      <c r="AH27" s="40">
        <f>SUM(AC27:AC31)</f>
        <v>7795.4259999999995</v>
      </c>
      <c r="AI27" s="3" t="s">
        <v>35</v>
      </c>
      <c r="AJ27" s="3" t="s">
        <v>36</v>
      </c>
      <c r="AK27" s="3" t="s">
        <v>29</v>
      </c>
    </row>
    <row r="28" spans="2:37" x14ac:dyDescent="0.3">
      <c r="Z28" s="7">
        <v>2025</v>
      </c>
      <c r="AA28" s="48">
        <v>179.93799999999999</v>
      </c>
      <c r="AB28" s="48">
        <v>540.08900000000006</v>
      </c>
      <c r="AC28" s="48">
        <f t="shared" ref="AC28:AC32" si="1">AB28-AA28</f>
        <v>360.15100000000007</v>
      </c>
      <c r="AE28" s="3" t="s">
        <v>90</v>
      </c>
      <c r="AF28" s="3" t="s">
        <v>4</v>
      </c>
      <c r="AG28" s="3" t="s">
        <v>69</v>
      </c>
      <c r="AH28" s="40">
        <f>SUM(AC32)</f>
        <v>24809.828999999998</v>
      </c>
      <c r="AI28" s="3" t="s">
        <v>35</v>
      </c>
      <c r="AJ28" s="3" t="s">
        <v>36</v>
      </c>
      <c r="AK28" s="3" t="s">
        <v>29</v>
      </c>
    </row>
    <row r="29" spans="2:37" x14ac:dyDescent="0.3">
      <c r="Z29" s="7">
        <v>2026</v>
      </c>
      <c r="AA29" s="48">
        <v>3.98</v>
      </c>
      <c r="AB29" s="48">
        <v>2067.15</v>
      </c>
      <c r="AC29" s="48">
        <f t="shared" si="1"/>
        <v>2063.17</v>
      </c>
      <c r="AE29" s="3" t="s">
        <v>90</v>
      </c>
      <c r="AF29" s="3" t="s">
        <v>4</v>
      </c>
      <c r="AG29" s="3" t="s">
        <v>41</v>
      </c>
      <c r="AH29" s="40">
        <f>SUM(AH27:AH28)</f>
        <v>32605.254999999997</v>
      </c>
      <c r="AI29" s="3" t="s">
        <v>35</v>
      </c>
      <c r="AJ29" s="3" t="s">
        <v>36</v>
      </c>
      <c r="AK29" s="3" t="s">
        <v>29</v>
      </c>
    </row>
    <row r="30" spans="2:37" x14ac:dyDescent="0.3">
      <c r="Z30" s="7">
        <v>2027</v>
      </c>
      <c r="AA30" s="48">
        <v>4.1559999999999997</v>
      </c>
      <c r="AB30" s="48">
        <v>2678.2269999999999</v>
      </c>
      <c r="AC30" s="48">
        <f t="shared" si="1"/>
        <v>2674.0709999999999</v>
      </c>
    </row>
    <row r="31" spans="2:37" x14ac:dyDescent="0.3">
      <c r="Z31" s="7">
        <v>2028</v>
      </c>
      <c r="AA31" s="48">
        <v>3.0409999999999999</v>
      </c>
      <c r="AB31" s="48">
        <v>2701.0749999999998</v>
      </c>
      <c r="AC31" s="48">
        <f t="shared" si="1"/>
        <v>2698.0339999999997</v>
      </c>
    </row>
    <row r="32" spans="2:37" x14ac:dyDescent="0.3">
      <c r="Z32" s="10" t="s">
        <v>26</v>
      </c>
      <c r="AA32" s="48">
        <v>86.093999999999994</v>
      </c>
      <c r="AB32" s="48">
        <v>24895.922999999999</v>
      </c>
      <c r="AC32" s="48">
        <f t="shared" si="1"/>
        <v>24809.828999999998</v>
      </c>
    </row>
    <row r="33" spans="2:37" x14ac:dyDescent="0.3">
      <c r="Z33" s="10" t="s">
        <v>8</v>
      </c>
      <c r="AA33" s="106">
        <f>SUM(AA27:AA32)</f>
        <v>279.17099999999994</v>
      </c>
      <c r="AB33" s="106">
        <f>SUM(AB27:AB32)</f>
        <v>32884.425999999999</v>
      </c>
      <c r="AC33" s="106">
        <f>SUM(AC27:AC32)</f>
        <v>32605.254999999997</v>
      </c>
    </row>
    <row r="37" spans="2:37" x14ac:dyDescent="0.3">
      <c r="B37" s="63" t="s">
        <v>6</v>
      </c>
      <c r="C37" s="109" t="s">
        <v>97</v>
      </c>
    </row>
    <row r="38" spans="2:37" x14ac:dyDescent="0.3">
      <c r="Z38" s="2">
        <v>1000</v>
      </c>
    </row>
    <row r="39" spans="2:37" x14ac:dyDescent="0.3">
      <c r="Z39" s="2"/>
      <c r="AA39" s="105" t="s">
        <v>28</v>
      </c>
      <c r="AB39" s="105" t="s">
        <v>37</v>
      </c>
      <c r="AC39" s="105" t="s">
        <v>29</v>
      </c>
      <c r="AE39" s="4" t="s">
        <v>1</v>
      </c>
      <c r="AF39" s="4" t="s">
        <v>3</v>
      </c>
      <c r="AG39" s="4" t="s">
        <v>29</v>
      </c>
      <c r="AH39" s="4" t="s">
        <v>30</v>
      </c>
      <c r="AI39" s="4" t="s">
        <v>31</v>
      </c>
      <c r="AJ39" s="4" t="s">
        <v>32</v>
      </c>
      <c r="AK39" s="4" t="s">
        <v>33</v>
      </c>
    </row>
    <row r="40" spans="2:37" x14ac:dyDescent="0.3">
      <c r="Z40" s="7">
        <v>2024</v>
      </c>
      <c r="AA40" s="48">
        <v>4.1130000000000004</v>
      </c>
      <c r="AB40" s="48">
        <v>105.14</v>
      </c>
      <c r="AC40" s="48">
        <f>AB40-AA40</f>
        <v>101.027</v>
      </c>
      <c r="AE40" s="3" t="s">
        <v>90</v>
      </c>
      <c r="AF40" s="3" t="s">
        <v>6</v>
      </c>
      <c r="AG40" s="3" t="s">
        <v>68</v>
      </c>
      <c r="AH40" s="40">
        <f>SUM(AC40:AC44)</f>
        <v>7392.7359999999999</v>
      </c>
      <c r="AI40" s="3" t="s">
        <v>35</v>
      </c>
      <c r="AJ40" s="3" t="s">
        <v>36</v>
      </c>
      <c r="AK40" s="3" t="s">
        <v>29</v>
      </c>
    </row>
    <row r="41" spans="2:37" x14ac:dyDescent="0.3">
      <c r="Z41" s="7">
        <v>2025</v>
      </c>
      <c r="AA41" s="48">
        <v>177.41200000000001</v>
      </c>
      <c r="AB41" s="48">
        <v>435.423</v>
      </c>
      <c r="AC41" s="48">
        <f t="shared" ref="AC41:AC45" si="2">AB41-AA41</f>
        <v>258.01099999999997</v>
      </c>
      <c r="AE41" s="3" t="s">
        <v>90</v>
      </c>
      <c r="AF41" s="3" t="s">
        <v>6</v>
      </c>
      <c r="AG41" s="3" t="s">
        <v>69</v>
      </c>
      <c r="AH41" s="40">
        <f>SUM(AC45)</f>
        <v>22807.152999999998</v>
      </c>
      <c r="AI41" s="3" t="s">
        <v>35</v>
      </c>
      <c r="AJ41" s="3" t="s">
        <v>36</v>
      </c>
      <c r="AK41" s="3" t="s">
        <v>29</v>
      </c>
    </row>
    <row r="42" spans="2:37" x14ac:dyDescent="0.3">
      <c r="Z42" s="7">
        <v>2026</v>
      </c>
      <c r="AA42" s="48">
        <v>3.98</v>
      </c>
      <c r="AB42" s="48">
        <v>2174.9690000000001</v>
      </c>
      <c r="AC42" s="48">
        <f t="shared" si="2"/>
        <v>2170.989</v>
      </c>
      <c r="AE42" s="3" t="s">
        <v>90</v>
      </c>
      <c r="AF42" s="3" t="s">
        <v>6</v>
      </c>
      <c r="AG42" s="3" t="s">
        <v>41</v>
      </c>
      <c r="AH42" s="40">
        <f>SUM(AH40:AH41)</f>
        <v>30199.888999999999</v>
      </c>
      <c r="AI42" s="3" t="s">
        <v>35</v>
      </c>
      <c r="AJ42" s="3" t="s">
        <v>36</v>
      </c>
      <c r="AK42" s="3" t="s">
        <v>29</v>
      </c>
    </row>
    <row r="43" spans="2:37" x14ac:dyDescent="0.3">
      <c r="Z43" s="7">
        <v>2027</v>
      </c>
      <c r="AA43" s="48">
        <v>4.1559999999999997</v>
      </c>
      <c r="AB43" s="48">
        <v>2245.7939999999999</v>
      </c>
      <c r="AC43" s="48">
        <f t="shared" si="2"/>
        <v>2241.6379999999999</v>
      </c>
    </row>
    <row r="44" spans="2:37" x14ac:dyDescent="0.3">
      <c r="Z44" s="7">
        <v>2028</v>
      </c>
      <c r="AA44" s="48">
        <v>3.0409999999999999</v>
      </c>
      <c r="AB44" s="48">
        <v>2624.1120000000001</v>
      </c>
      <c r="AC44" s="48">
        <f t="shared" si="2"/>
        <v>2621.0709999999999</v>
      </c>
    </row>
    <row r="45" spans="2:37" x14ac:dyDescent="0.3">
      <c r="Z45" s="10" t="s">
        <v>26</v>
      </c>
      <c r="AA45" s="48">
        <v>86.093999999999994</v>
      </c>
      <c r="AB45" s="48">
        <v>22893.246999999999</v>
      </c>
      <c r="AC45" s="48">
        <f t="shared" si="2"/>
        <v>22807.152999999998</v>
      </c>
    </row>
    <row r="46" spans="2:37" x14ac:dyDescent="0.3">
      <c r="Z46" s="10" t="s">
        <v>8</v>
      </c>
      <c r="AA46" s="106">
        <f>SUM(AA40:AA45)</f>
        <v>278.79599999999999</v>
      </c>
      <c r="AB46" s="106">
        <f>SUM(AB40:AB45)</f>
        <v>30478.684999999998</v>
      </c>
      <c r="AC46" s="106">
        <f>SUM(AC40:AC45)</f>
        <v>30199.888999999999</v>
      </c>
    </row>
    <row r="55" spans="2:37" x14ac:dyDescent="0.3">
      <c r="B55" s="63" t="s">
        <v>7</v>
      </c>
      <c r="C55" s="109" t="s">
        <v>97</v>
      </c>
    </row>
    <row r="58" spans="2:37" x14ac:dyDescent="0.3">
      <c r="Z58" s="2">
        <v>1000</v>
      </c>
    </row>
    <row r="59" spans="2:37" x14ac:dyDescent="0.3">
      <c r="Z59" s="2"/>
      <c r="AA59" s="105" t="s">
        <v>28</v>
      </c>
      <c r="AB59" s="105" t="s">
        <v>37</v>
      </c>
      <c r="AC59" s="105" t="s">
        <v>29</v>
      </c>
      <c r="AE59" s="4" t="s">
        <v>1</v>
      </c>
      <c r="AF59" s="4" t="s">
        <v>3</v>
      </c>
      <c r="AG59" s="4" t="s">
        <v>29</v>
      </c>
      <c r="AH59" s="4" t="s">
        <v>30</v>
      </c>
      <c r="AI59" s="4" t="s">
        <v>31</v>
      </c>
      <c r="AJ59" s="4" t="s">
        <v>32</v>
      </c>
      <c r="AK59" s="4" t="s">
        <v>33</v>
      </c>
    </row>
    <row r="60" spans="2:37" x14ac:dyDescent="0.3">
      <c r="Z60" s="7">
        <v>2024</v>
      </c>
      <c r="AA60" s="48">
        <v>5.3520000000000003</v>
      </c>
      <c r="AB60" s="48">
        <v>106.83199999999999</v>
      </c>
      <c r="AC60" s="48">
        <f>AB60-AA60</f>
        <v>101.47999999999999</v>
      </c>
      <c r="AE60" s="3" t="s">
        <v>90</v>
      </c>
      <c r="AF60" s="3" t="s">
        <v>7</v>
      </c>
      <c r="AG60" s="3" t="s">
        <v>68</v>
      </c>
      <c r="AH60" s="40">
        <f>SUM(AC60:AC64)</f>
        <v>8025.7479999999996</v>
      </c>
      <c r="AI60" s="3" t="s">
        <v>35</v>
      </c>
      <c r="AJ60" s="3" t="s">
        <v>36</v>
      </c>
      <c r="AK60" s="3" t="s">
        <v>29</v>
      </c>
    </row>
    <row r="61" spans="2:37" x14ac:dyDescent="0.3">
      <c r="Z61" s="7">
        <v>2025</v>
      </c>
      <c r="AA61" s="48">
        <v>178.91300000000001</v>
      </c>
      <c r="AB61" s="48">
        <v>433.62</v>
      </c>
      <c r="AC61" s="48">
        <f t="shared" ref="AC61:AC65" si="3">AB61-AA61</f>
        <v>254.70699999999999</v>
      </c>
      <c r="AE61" s="3" t="s">
        <v>90</v>
      </c>
      <c r="AF61" s="3" t="s">
        <v>7</v>
      </c>
      <c r="AG61" s="3" t="s">
        <v>69</v>
      </c>
      <c r="AH61" s="40">
        <f>SUM(AC65)</f>
        <v>21834.762999999999</v>
      </c>
      <c r="AI61" s="3" t="s">
        <v>35</v>
      </c>
      <c r="AJ61" s="3" t="s">
        <v>36</v>
      </c>
      <c r="AK61" s="3" t="s">
        <v>29</v>
      </c>
    </row>
    <row r="62" spans="2:37" x14ac:dyDescent="0.3">
      <c r="Z62" s="7">
        <v>2026</v>
      </c>
      <c r="AA62" s="48">
        <v>3.98</v>
      </c>
      <c r="AB62" s="48">
        <v>2342.6460000000002</v>
      </c>
      <c r="AC62" s="48">
        <f t="shared" si="3"/>
        <v>2338.6660000000002</v>
      </c>
      <c r="AE62" s="3" t="s">
        <v>90</v>
      </c>
      <c r="AF62" s="3" t="s">
        <v>7</v>
      </c>
      <c r="AG62" s="3" t="s">
        <v>41</v>
      </c>
      <c r="AH62" s="40">
        <f>SUM(AH60:AH61)</f>
        <v>29860.510999999999</v>
      </c>
      <c r="AI62" s="3" t="s">
        <v>35</v>
      </c>
      <c r="AJ62" s="3" t="s">
        <v>36</v>
      </c>
      <c r="AK62" s="3" t="s">
        <v>29</v>
      </c>
    </row>
    <row r="63" spans="2:37" x14ac:dyDescent="0.3">
      <c r="Z63" s="7">
        <v>2027</v>
      </c>
      <c r="AA63" s="48">
        <v>4.1559999999999997</v>
      </c>
      <c r="AB63" s="48">
        <v>2683.2629999999999</v>
      </c>
      <c r="AC63" s="48">
        <f t="shared" si="3"/>
        <v>2679.107</v>
      </c>
    </row>
    <row r="64" spans="2:37" x14ac:dyDescent="0.3">
      <c r="Z64" s="7">
        <v>2028</v>
      </c>
      <c r="AA64" s="48">
        <v>3.0409999999999999</v>
      </c>
      <c r="AB64" s="48">
        <v>2654.8290000000002</v>
      </c>
      <c r="AC64" s="48">
        <f t="shared" si="3"/>
        <v>2651.788</v>
      </c>
    </row>
    <row r="65" spans="26:29" x14ac:dyDescent="0.3">
      <c r="Z65" s="10" t="s">
        <v>26</v>
      </c>
      <c r="AA65" s="48">
        <v>86.093999999999994</v>
      </c>
      <c r="AB65" s="48">
        <v>21920.857</v>
      </c>
      <c r="AC65" s="48">
        <f t="shared" si="3"/>
        <v>21834.762999999999</v>
      </c>
    </row>
    <row r="66" spans="26:29" x14ac:dyDescent="0.3">
      <c r="Z66" s="10" t="s">
        <v>8</v>
      </c>
      <c r="AA66" s="106">
        <f>SUM(AA60:AA65)</f>
        <v>281.536</v>
      </c>
      <c r="AB66" s="106">
        <f>SUM(AB60:AB65)</f>
        <v>30142.046999999999</v>
      </c>
      <c r="AC66" s="106">
        <f>SUM(AC60:AC65)</f>
        <v>29860.510999999999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C37D-7E20-45EE-9B25-5BF82D2DE3CC}">
  <sheetPr>
    <tabColor rgb="FF00B0F0"/>
  </sheetPr>
  <dimension ref="A1"/>
  <sheetViews>
    <sheetView workbookViewId="0">
      <selection activeCell="I32" sqref="I32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BBF0-6382-4E31-BBF0-7B7670F4B52B}">
  <dimension ref="A1:W330"/>
  <sheetViews>
    <sheetView showGridLines="0" workbookViewId="0">
      <selection activeCell="C7" sqref="C7"/>
    </sheetView>
  </sheetViews>
  <sheetFormatPr defaultRowHeight="13.8" x14ac:dyDescent="0.25"/>
  <cols>
    <col min="1" max="1" width="4.77734375" style="2" bestFit="1" customWidth="1"/>
    <col min="2" max="2" width="8" style="2" bestFit="1" customWidth="1"/>
    <col min="3" max="3" width="11.33203125" style="2" bestFit="1" customWidth="1"/>
    <col min="4" max="4" width="13.44140625" style="2" bestFit="1" customWidth="1"/>
    <col min="5" max="5" width="5.5546875" style="2" bestFit="1" customWidth="1"/>
    <col min="6" max="6" width="6.77734375" style="2" bestFit="1" customWidth="1"/>
    <col min="7" max="7" width="13.44140625" style="2" bestFit="1" customWidth="1"/>
    <col min="8" max="8" width="7.88671875" style="2" bestFit="1" customWidth="1"/>
    <col min="9" max="9" width="4" style="2" bestFit="1" customWidth="1"/>
    <col min="10" max="10" width="8" style="2" bestFit="1" customWidth="1"/>
    <col min="11" max="11" width="12.33203125" style="2" bestFit="1" customWidth="1"/>
    <col min="12" max="12" width="1.77734375" style="2" customWidth="1"/>
    <col min="13" max="13" width="4.6640625" style="2" customWidth="1"/>
    <col min="14" max="14" width="11.21875" style="2" bestFit="1" customWidth="1"/>
    <col min="15" max="15" width="9.6640625" style="2" customWidth="1"/>
    <col min="16" max="16" width="8" style="2" bestFit="1" customWidth="1"/>
    <col min="17" max="17" width="16.109375" style="2" bestFit="1" customWidth="1"/>
    <col min="18" max="18" width="13.44140625" style="2" bestFit="1" customWidth="1"/>
    <col min="19" max="16384" width="8.88671875" style="2"/>
  </cols>
  <sheetData>
    <row r="1" spans="1:18" x14ac:dyDescent="0.25">
      <c r="B1" s="101" t="s">
        <v>89</v>
      </c>
    </row>
    <row r="2" spans="1:18" ht="14.4" x14ac:dyDescent="0.3">
      <c r="E2"/>
      <c r="F2"/>
      <c r="G2"/>
      <c r="H2"/>
      <c r="I2"/>
      <c r="J2"/>
      <c r="K2"/>
    </row>
    <row r="3" spans="1:18" x14ac:dyDescent="0.25">
      <c r="A3" s="63" t="s">
        <v>5</v>
      </c>
      <c r="B3" s="4" t="s">
        <v>64</v>
      </c>
      <c r="C3" s="1" t="s">
        <v>65</v>
      </c>
      <c r="D3" s="1"/>
      <c r="E3" s="4" t="s">
        <v>1</v>
      </c>
      <c r="F3" s="4" t="s">
        <v>3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</row>
    <row r="4" spans="1:18" x14ac:dyDescent="0.25">
      <c r="A4" s="14"/>
      <c r="B4" s="3">
        <v>2027</v>
      </c>
      <c r="C4" s="40">
        <v>1117</v>
      </c>
      <c r="D4" s="40"/>
      <c r="E4" s="3" t="s">
        <v>66</v>
      </c>
      <c r="F4" s="3" t="s">
        <v>5</v>
      </c>
      <c r="G4" s="3" t="s">
        <v>68</v>
      </c>
      <c r="H4" s="40">
        <f>SUM(C6:C19,C4)</f>
        <v>11567</v>
      </c>
      <c r="I4" s="3" t="s">
        <v>35</v>
      </c>
      <c r="J4" s="3" t="s">
        <v>36</v>
      </c>
      <c r="K4" s="3" t="s">
        <v>29</v>
      </c>
      <c r="M4" s="69" t="s">
        <v>50</v>
      </c>
    </row>
    <row r="5" spans="1:18" x14ac:dyDescent="0.25">
      <c r="A5" s="14"/>
      <c r="B5" s="3" t="s">
        <v>26</v>
      </c>
      <c r="C5" s="40">
        <v>1341</v>
      </c>
      <c r="D5" s="40"/>
      <c r="E5" s="3" t="s">
        <v>66</v>
      </c>
      <c r="F5" s="3" t="s">
        <v>5</v>
      </c>
      <c r="G5" s="3" t="s">
        <v>39</v>
      </c>
      <c r="H5" s="40">
        <f>SUM(C20:C24)</f>
        <v>4350</v>
      </c>
      <c r="I5" s="3" t="s">
        <v>35</v>
      </c>
      <c r="J5" s="3" t="s">
        <v>36</v>
      </c>
      <c r="K5" s="3" t="s">
        <v>29</v>
      </c>
      <c r="M5" s="69" t="s">
        <v>51</v>
      </c>
    </row>
    <row r="6" spans="1:18" x14ac:dyDescent="0.25">
      <c r="B6" s="3">
        <v>2025</v>
      </c>
      <c r="C6" s="40">
        <v>500</v>
      </c>
      <c r="D6" s="40"/>
      <c r="E6" s="3" t="s">
        <v>66</v>
      </c>
      <c r="F6" s="3" t="s">
        <v>5</v>
      </c>
      <c r="G6" s="3" t="s">
        <v>69</v>
      </c>
      <c r="H6" s="40">
        <f>SUM(C5,C25:C32)</f>
        <v>6541</v>
      </c>
      <c r="I6" s="3" t="s">
        <v>35</v>
      </c>
      <c r="J6" s="3" t="s">
        <v>36</v>
      </c>
      <c r="K6" s="3" t="s">
        <v>29</v>
      </c>
      <c r="M6" s="69" t="s">
        <v>26</v>
      </c>
    </row>
    <row r="7" spans="1:18" x14ac:dyDescent="0.25">
      <c r="B7" s="3">
        <v>2026</v>
      </c>
      <c r="C7" s="40">
        <v>900</v>
      </c>
      <c r="D7" s="40"/>
      <c r="E7" s="3" t="s">
        <v>66</v>
      </c>
      <c r="F7" s="3" t="s">
        <v>5</v>
      </c>
      <c r="G7" s="3" t="s">
        <v>41</v>
      </c>
      <c r="H7" s="40">
        <f>SUM(H4:H6)</f>
        <v>22458</v>
      </c>
      <c r="I7" s="3" t="s">
        <v>35</v>
      </c>
      <c r="J7" s="3" t="s">
        <v>36</v>
      </c>
      <c r="K7" s="3" t="s">
        <v>29</v>
      </c>
    </row>
    <row r="8" spans="1:18" ht="14.4" x14ac:dyDescent="0.3">
      <c r="B8" s="3">
        <v>2026</v>
      </c>
      <c r="C8" s="40">
        <v>750</v>
      </c>
      <c r="D8" s="40"/>
      <c r="E8"/>
      <c r="F8"/>
      <c r="G8"/>
      <c r="H8"/>
      <c r="I8"/>
      <c r="J8"/>
      <c r="K8"/>
    </row>
    <row r="9" spans="1:18" ht="14.4" x14ac:dyDescent="0.3">
      <c r="A9" s="39"/>
      <c r="B9" s="3">
        <v>2026</v>
      </c>
      <c r="C9" s="40">
        <v>1000</v>
      </c>
      <c r="D9" s="40"/>
      <c r="E9"/>
      <c r="F9"/>
      <c r="G9"/>
      <c r="H9"/>
      <c r="I9"/>
      <c r="J9"/>
      <c r="K9"/>
    </row>
    <row r="10" spans="1:18" ht="14.4" x14ac:dyDescent="0.3">
      <c r="A10" s="39"/>
      <c r="B10" s="3">
        <v>2027</v>
      </c>
      <c r="C10" s="40">
        <v>750</v>
      </c>
      <c r="D10" s="40"/>
      <c r="E10"/>
      <c r="F10"/>
      <c r="G10"/>
      <c r="H10"/>
      <c r="I10"/>
      <c r="J10"/>
      <c r="K10"/>
    </row>
    <row r="11" spans="1:18" ht="14.4" x14ac:dyDescent="0.3">
      <c r="B11" s="3">
        <v>2027</v>
      </c>
      <c r="C11" s="40">
        <v>500</v>
      </c>
      <c r="D11" s="40"/>
      <c r="E11"/>
      <c r="F11"/>
      <c r="G11"/>
      <c r="H11"/>
      <c r="I11"/>
      <c r="J11"/>
      <c r="K11"/>
    </row>
    <row r="12" spans="1:18" ht="14.4" x14ac:dyDescent="0.3">
      <c r="B12" s="3">
        <v>2027</v>
      </c>
      <c r="C12" s="40">
        <v>1000</v>
      </c>
      <c r="D12" s="40"/>
      <c r="E12"/>
      <c r="F12"/>
      <c r="G12"/>
      <c r="H12"/>
      <c r="I12"/>
      <c r="J12"/>
      <c r="K12"/>
    </row>
    <row r="13" spans="1:18" ht="14.4" x14ac:dyDescent="0.3">
      <c r="B13" s="3">
        <v>2028</v>
      </c>
      <c r="C13" s="40">
        <v>1000</v>
      </c>
      <c r="D13" s="40"/>
      <c r="E13"/>
      <c r="F13"/>
      <c r="G13"/>
      <c r="H13"/>
      <c r="I13"/>
      <c r="J13"/>
      <c r="K13"/>
      <c r="Q13" s="9" t="s">
        <v>27</v>
      </c>
      <c r="R13" s="9" t="s">
        <v>29</v>
      </c>
    </row>
    <row r="14" spans="1:18" ht="14.4" x14ac:dyDescent="0.3">
      <c r="B14" s="3">
        <v>2028</v>
      </c>
      <c r="C14" s="40">
        <v>1000</v>
      </c>
      <c r="D14" s="40"/>
      <c r="E14"/>
      <c r="F14"/>
      <c r="G14"/>
      <c r="H14"/>
      <c r="I14"/>
      <c r="J14"/>
      <c r="K14"/>
      <c r="Q14" s="5">
        <v>2027</v>
      </c>
      <c r="R14" s="40">
        <f>SUMIF($B$4:$B$33,$Q14,$C$4:$C$33)</f>
        <v>3367</v>
      </c>
    </row>
    <row r="15" spans="1:18" ht="14.4" x14ac:dyDescent="0.3">
      <c r="B15" s="3">
        <v>2028</v>
      </c>
      <c r="C15" s="40">
        <v>600</v>
      </c>
      <c r="D15" s="45"/>
      <c r="E15"/>
      <c r="F15"/>
      <c r="G15"/>
      <c r="H15"/>
      <c r="I15"/>
      <c r="J15"/>
      <c r="K15"/>
      <c r="Q15" s="5">
        <v>2025</v>
      </c>
      <c r="R15" s="40">
        <f t="shared" ref="R15:R27" si="0">SUMIF($B$4:$B$33,$Q15,$C$4:$C$33)</f>
        <v>500</v>
      </c>
    </row>
    <row r="16" spans="1:18" ht="14.4" x14ac:dyDescent="0.3">
      <c r="B16" s="3">
        <v>2029</v>
      </c>
      <c r="C16" s="40">
        <v>600</v>
      </c>
      <c r="D16" s="45"/>
      <c r="E16"/>
      <c r="F16"/>
      <c r="G16"/>
      <c r="H16"/>
      <c r="I16"/>
      <c r="J16"/>
      <c r="K16"/>
      <c r="Q16" s="5">
        <v>2026</v>
      </c>
      <c r="R16" s="40">
        <f t="shared" si="0"/>
        <v>2650</v>
      </c>
    </row>
    <row r="17" spans="2:20" ht="14.4" x14ac:dyDescent="0.3">
      <c r="B17" s="3">
        <v>2029</v>
      </c>
      <c r="C17" s="40">
        <v>750</v>
      </c>
      <c r="D17" s="45"/>
      <c r="E17"/>
      <c r="F17"/>
      <c r="G17"/>
      <c r="H17"/>
      <c r="I17"/>
      <c r="J17"/>
      <c r="K17"/>
      <c r="Q17" s="5">
        <v>2028</v>
      </c>
      <c r="R17" s="40">
        <f t="shared" si="0"/>
        <v>2600</v>
      </c>
      <c r="T17"/>
    </row>
    <row r="18" spans="2:20" ht="14.4" x14ac:dyDescent="0.3">
      <c r="B18" s="3">
        <v>2029</v>
      </c>
      <c r="C18" s="40">
        <v>550</v>
      </c>
      <c r="D18" s="45"/>
      <c r="E18"/>
      <c r="F18"/>
      <c r="G18"/>
      <c r="H18"/>
      <c r="I18"/>
      <c r="J18"/>
      <c r="K18"/>
      <c r="Q18" s="5">
        <v>2029</v>
      </c>
      <c r="R18" s="40">
        <f t="shared" si="0"/>
        <v>2450</v>
      </c>
      <c r="T18"/>
    </row>
    <row r="19" spans="2:20" ht="14.4" x14ac:dyDescent="0.3">
      <c r="B19" s="3">
        <v>2029</v>
      </c>
      <c r="C19" s="40">
        <v>550</v>
      </c>
      <c r="D19" s="45"/>
      <c r="E19"/>
      <c r="F19"/>
      <c r="G19"/>
      <c r="H19"/>
      <c r="I19"/>
      <c r="J19"/>
      <c r="K19"/>
      <c r="Q19" s="5">
        <v>2030</v>
      </c>
      <c r="R19" s="40">
        <f t="shared" si="0"/>
        <v>750</v>
      </c>
      <c r="T19"/>
    </row>
    <row r="20" spans="2:20" ht="14.4" x14ac:dyDescent="0.3">
      <c r="B20" s="3">
        <v>2030</v>
      </c>
      <c r="C20" s="40">
        <v>750</v>
      </c>
      <c r="D20" s="45"/>
      <c r="E20"/>
      <c r="F20"/>
      <c r="G20"/>
      <c r="H20"/>
      <c r="I20"/>
      <c r="J20"/>
      <c r="K20"/>
      <c r="Q20" s="5">
        <v>2031</v>
      </c>
      <c r="R20" s="40">
        <f t="shared" si="0"/>
        <v>2850</v>
      </c>
      <c r="T20"/>
    </row>
    <row r="21" spans="2:20" ht="14.4" x14ac:dyDescent="0.3">
      <c r="B21" s="3">
        <v>2031</v>
      </c>
      <c r="C21" s="40">
        <v>1100</v>
      </c>
      <c r="D21" s="45"/>
      <c r="E21"/>
      <c r="F21"/>
      <c r="G21"/>
      <c r="H21"/>
      <c r="I21"/>
      <c r="J21"/>
      <c r="K21"/>
      <c r="Q21" s="5">
        <v>2033</v>
      </c>
      <c r="R21" s="40">
        <f t="shared" si="0"/>
        <v>750</v>
      </c>
      <c r="T21"/>
    </row>
    <row r="22" spans="2:20" ht="14.4" x14ac:dyDescent="0.3">
      <c r="B22" s="3">
        <v>2031</v>
      </c>
      <c r="C22" s="40">
        <v>1000</v>
      </c>
      <c r="D22" s="45"/>
      <c r="E22"/>
      <c r="F22"/>
      <c r="G22"/>
      <c r="H22"/>
      <c r="I22"/>
      <c r="J22"/>
      <c r="K22"/>
      <c r="Q22" s="5">
        <v>2034</v>
      </c>
      <c r="R22" s="40">
        <f t="shared" si="0"/>
        <v>1450</v>
      </c>
      <c r="T22"/>
    </row>
    <row r="23" spans="2:20" ht="14.4" x14ac:dyDescent="0.3">
      <c r="B23" s="3">
        <v>2031</v>
      </c>
      <c r="C23" s="40">
        <v>750</v>
      </c>
      <c r="D23" s="45"/>
      <c r="E23"/>
      <c r="F23"/>
      <c r="G23"/>
      <c r="H23"/>
      <c r="I23"/>
      <c r="J23"/>
      <c r="K23"/>
      <c r="Q23" s="5">
        <v>2041</v>
      </c>
      <c r="R23" s="40">
        <f t="shared" si="0"/>
        <v>1250</v>
      </c>
      <c r="T23"/>
    </row>
    <row r="24" spans="2:20" ht="14.4" x14ac:dyDescent="0.3">
      <c r="B24" s="3">
        <v>2033</v>
      </c>
      <c r="C24" s="40">
        <v>750</v>
      </c>
      <c r="D24" s="45"/>
      <c r="E24"/>
      <c r="F24"/>
      <c r="G24"/>
      <c r="H24"/>
      <c r="I24"/>
      <c r="J24"/>
      <c r="K24"/>
      <c r="Q24" s="5">
        <v>2047</v>
      </c>
      <c r="R24" s="40">
        <f t="shared" si="0"/>
        <v>350</v>
      </c>
      <c r="T24"/>
    </row>
    <row r="25" spans="2:20" ht="14.4" x14ac:dyDescent="0.3">
      <c r="B25" s="3">
        <v>2034</v>
      </c>
      <c r="C25" s="40">
        <v>750</v>
      </c>
      <c r="D25" s="45"/>
      <c r="E25"/>
      <c r="F25"/>
      <c r="G25"/>
      <c r="H25"/>
      <c r="I25"/>
      <c r="J25"/>
      <c r="K25"/>
      <c r="Q25" s="5">
        <v>2049</v>
      </c>
      <c r="R25" s="40">
        <f t="shared" si="0"/>
        <v>750</v>
      </c>
      <c r="T25"/>
    </row>
    <row r="26" spans="2:20" ht="14.4" x14ac:dyDescent="0.3">
      <c r="B26" s="3">
        <v>2034</v>
      </c>
      <c r="C26" s="40">
        <v>700</v>
      </c>
      <c r="D26" s="45"/>
      <c r="E26"/>
      <c r="F26"/>
      <c r="G26"/>
      <c r="H26"/>
      <c r="I26"/>
      <c r="J26"/>
      <c r="K26"/>
      <c r="Q26" s="5">
        <v>2050</v>
      </c>
      <c r="R26" s="40">
        <f t="shared" si="0"/>
        <v>500</v>
      </c>
      <c r="T26"/>
    </row>
    <row r="27" spans="2:20" ht="14.4" x14ac:dyDescent="0.3">
      <c r="B27" s="3">
        <v>2041</v>
      </c>
      <c r="C27" s="40">
        <v>1250</v>
      </c>
      <c r="D27" s="45"/>
      <c r="E27"/>
      <c r="F27"/>
      <c r="G27"/>
      <c r="H27"/>
      <c r="I27"/>
      <c r="J27"/>
      <c r="K27"/>
      <c r="Q27" s="5">
        <v>2051</v>
      </c>
      <c r="R27" s="40">
        <f t="shared" si="0"/>
        <v>900</v>
      </c>
      <c r="T27"/>
    </row>
    <row r="28" spans="2:20" ht="14.4" x14ac:dyDescent="0.3">
      <c r="B28" s="3">
        <v>2047</v>
      </c>
      <c r="C28" s="40">
        <v>350</v>
      </c>
      <c r="D28" s="45"/>
      <c r="E28"/>
      <c r="F28"/>
      <c r="G28"/>
      <c r="H28"/>
      <c r="I28"/>
      <c r="J28"/>
      <c r="K28"/>
      <c r="Q28" s="5" t="s">
        <v>26</v>
      </c>
      <c r="R28" s="40">
        <v>1341</v>
      </c>
      <c r="T28"/>
    </row>
    <row r="29" spans="2:20" ht="14.4" x14ac:dyDescent="0.3">
      <c r="B29" s="3">
        <v>2049</v>
      </c>
      <c r="C29" s="40">
        <v>400</v>
      </c>
      <c r="D29" s="45"/>
      <c r="E29"/>
      <c r="F29"/>
      <c r="G29"/>
      <c r="H29"/>
      <c r="I29"/>
      <c r="J29"/>
      <c r="K29"/>
      <c r="Q29" s="77" t="s">
        <v>70</v>
      </c>
      <c r="R29" s="40">
        <f>SUM(R14:R28)</f>
        <v>22458</v>
      </c>
      <c r="T29"/>
    </row>
    <row r="30" spans="2:20" ht="14.4" x14ac:dyDescent="0.3">
      <c r="B30" s="3">
        <v>2049</v>
      </c>
      <c r="C30" s="40">
        <v>350</v>
      </c>
      <c r="D30" s="45"/>
      <c r="E30"/>
      <c r="F30"/>
      <c r="G30"/>
      <c r="H30"/>
      <c r="I30"/>
      <c r="J30"/>
      <c r="K30"/>
      <c r="Q30" s="77" t="s">
        <v>71</v>
      </c>
      <c r="R30" s="40">
        <v>1782</v>
      </c>
      <c r="T30"/>
    </row>
    <row r="31" spans="2:20" ht="14.4" x14ac:dyDescent="0.3">
      <c r="B31" s="3">
        <v>2050</v>
      </c>
      <c r="C31" s="40">
        <v>500</v>
      </c>
      <c r="D31" s="45"/>
      <c r="E31"/>
      <c r="F31"/>
      <c r="G31"/>
      <c r="H31"/>
      <c r="I31"/>
      <c r="J31"/>
      <c r="K31"/>
      <c r="Q31" s="2" t="s">
        <v>37</v>
      </c>
      <c r="R31" s="40">
        <f>SUM(R29:R30)</f>
        <v>24240</v>
      </c>
    </row>
    <row r="32" spans="2:20" ht="14.4" x14ac:dyDescent="0.3">
      <c r="B32" s="3">
        <v>2051</v>
      </c>
      <c r="C32" s="40">
        <v>900</v>
      </c>
      <c r="D32" s="45"/>
      <c r="E32"/>
      <c r="F32"/>
      <c r="G32"/>
      <c r="H32"/>
      <c r="I32"/>
      <c r="J32"/>
      <c r="K32"/>
    </row>
    <row r="33" spans="1:18" ht="14.4" x14ac:dyDescent="0.3">
      <c r="E33"/>
      <c r="F33"/>
      <c r="G33"/>
      <c r="H33"/>
      <c r="I33"/>
      <c r="J33"/>
      <c r="K33"/>
    </row>
    <row r="34" spans="1:18" x14ac:dyDescent="0.25">
      <c r="A34" s="63" t="s">
        <v>4</v>
      </c>
      <c r="B34" s="4" t="s">
        <v>27</v>
      </c>
      <c r="C34" s="1" t="s">
        <v>29</v>
      </c>
      <c r="E34" s="4" t="s">
        <v>1</v>
      </c>
      <c r="F34" s="4" t="s">
        <v>3</v>
      </c>
      <c r="G34" s="4" t="s">
        <v>29</v>
      </c>
      <c r="H34" s="4" t="s">
        <v>30</v>
      </c>
      <c r="I34" s="4" t="s">
        <v>31</v>
      </c>
      <c r="J34" s="4" t="s">
        <v>32</v>
      </c>
      <c r="K34" s="4" t="s">
        <v>33</v>
      </c>
      <c r="O34" s="40"/>
    </row>
    <row r="35" spans="1:18" x14ac:dyDescent="0.25">
      <c r="A35" s="14"/>
      <c r="B35" s="3">
        <v>2027</v>
      </c>
      <c r="C35" s="40" t="s">
        <v>67</v>
      </c>
      <c r="E35" s="3" t="s">
        <v>66</v>
      </c>
      <c r="F35" s="3" t="s">
        <v>4</v>
      </c>
      <c r="G35" s="3" t="s">
        <v>68</v>
      </c>
      <c r="H35" s="40">
        <f>SUM(C38:C51,C36)</f>
        <v>11582</v>
      </c>
      <c r="I35" s="3" t="s">
        <v>35</v>
      </c>
      <c r="J35" s="3" t="s">
        <v>36</v>
      </c>
      <c r="K35" s="3" t="s">
        <v>29</v>
      </c>
      <c r="M35" s="69" t="s">
        <v>50</v>
      </c>
    </row>
    <row r="36" spans="1:18" x14ac:dyDescent="0.25">
      <c r="A36" s="14"/>
      <c r="B36" s="3">
        <v>2027</v>
      </c>
      <c r="C36" s="40">
        <v>1132</v>
      </c>
      <c r="E36" s="3" t="s">
        <v>66</v>
      </c>
      <c r="F36" s="3" t="s">
        <v>4</v>
      </c>
      <c r="G36" s="3" t="s">
        <v>39</v>
      </c>
      <c r="H36" s="40">
        <f>SUM(C52:C56)</f>
        <v>4350</v>
      </c>
      <c r="I36" s="3" t="s">
        <v>35</v>
      </c>
      <c r="J36" s="3" t="s">
        <v>36</v>
      </c>
      <c r="K36" s="3" t="s">
        <v>29</v>
      </c>
      <c r="M36" s="69" t="s">
        <v>51</v>
      </c>
    </row>
    <row r="37" spans="1:18" x14ac:dyDescent="0.25">
      <c r="B37" s="3" t="s">
        <v>26</v>
      </c>
      <c r="C37" s="40">
        <v>1312</v>
      </c>
      <c r="E37" s="3" t="s">
        <v>66</v>
      </c>
      <c r="F37" s="3" t="s">
        <v>4</v>
      </c>
      <c r="G37" s="3" t="s">
        <v>69</v>
      </c>
      <c r="H37" s="40">
        <f>SUM(C37,C57:C64)</f>
        <v>6512</v>
      </c>
      <c r="I37" s="3" t="s">
        <v>35</v>
      </c>
      <c r="J37" s="3" t="s">
        <v>36</v>
      </c>
      <c r="K37" s="3" t="s">
        <v>29</v>
      </c>
      <c r="M37" s="69" t="s">
        <v>26</v>
      </c>
    </row>
    <row r="38" spans="1:18" x14ac:dyDescent="0.25">
      <c r="B38" s="3">
        <v>2025</v>
      </c>
      <c r="C38" s="40">
        <v>500</v>
      </c>
      <c r="E38" s="3" t="s">
        <v>66</v>
      </c>
      <c r="F38" s="3" t="s">
        <v>4</v>
      </c>
      <c r="G38" s="3" t="s">
        <v>41</v>
      </c>
      <c r="H38" s="40">
        <f>SUM(H35:H37)</f>
        <v>22444</v>
      </c>
      <c r="I38" s="3" t="s">
        <v>35</v>
      </c>
      <c r="J38" s="3" t="s">
        <v>36</v>
      </c>
      <c r="K38" s="3" t="s">
        <v>29</v>
      </c>
    </row>
    <row r="39" spans="1:18" ht="14.4" x14ac:dyDescent="0.3">
      <c r="B39" s="3">
        <v>2026</v>
      </c>
      <c r="C39" s="40">
        <v>900</v>
      </c>
      <c r="E39"/>
      <c r="F39"/>
      <c r="G39"/>
      <c r="H39"/>
      <c r="I39"/>
      <c r="J39"/>
      <c r="K39"/>
    </row>
    <row r="40" spans="1:18" ht="14.4" x14ac:dyDescent="0.3">
      <c r="A40" s="39"/>
      <c r="B40" s="3">
        <v>2026</v>
      </c>
      <c r="C40" s="40">
        <v>750</v>
      </c>
      <c r="E40"/>
      <c r="F40"/>
      <c r="G40"/>
      <c r="H40"/>
      <c r="I40"/>
      <c r="J40"/>
      <c r="K40"/>
    </row>
    <row r="41" spans="1:18" ht="14.4" x14ac:dyDescent="0.3">
      <c r="A41" s="39"/>
      <c r="B41" s="3">
        <v>2026</v>
      </c>
      <c r="C41" s="40">
        <v>1000</v>
      </c>
      <c r="E41"/>
      <c r="F41"/>
      <c r="G41"/>
      <c r="H41"/>
      <c r="I41"/>
      <c r="J41"/>
      <c r="K41"/>
    </row>
    <row r="42" spans="1:18" ht="14.4" x14ac:dyDescent="0.3">
      <c r="B42" s="3">
        <v>2027</v>
      </c>
      <c r="C42" s="40">
        <v>750</v>
      </c>
      <c r="E42"/>
      <c r="F42"/>
      <c r="G42"/>
      <c r="H42"/>
      <c r="I42"/>
      <c r="J42"/>
      <c r="K42"/>
    </row>
    <row r="43" spans="1:18" ht="14.4" x14ac:dyDescent="0.3">
      <c r="B43" s="3">
        <v>2027</v>
      </c>
      <c r="C43" s="40">
        <v>500</v>
      </c>
      <c r="E43"/>
      <c r="F43"/>
      <c r="G43"/>
      <c r="H43"/>
      <c r="I43"/>
      <c r="J43"/>
      <c r="K43"/>
    </row>
    <row r="44" spans="1:18" ht="14.4" x14ac:dyDescent="0.3">
      <c r="B44" s="3">
        <v>2027</v>
      </c>
      <c r="C44" s="40">
        <v>1000</v>
      </c>
      <c r="E44"/>
      <c r="F44"/>
      <c r="G44"/>
      <c r="H44"/>
      <c r="I44"/>
      <c r="J44"/>
      <c r="K44"/>
    </row>
    <row r="45" spans="1:18" ht="14.4" x14ac:dyDescent="0.3">
      <c r="B45" s="3">
        <v>2028</v>
      </c>
      <c r="C45" s="40">
        <v>1000</v>
      </c>
      <c r="E45"/>
      <c r="F45"/>
      <c r="G45"/>
      <c r="H45"/>
      <c r="I45"/>
      <c r="J45"/>
      <c r="K45"/>
      <c r="Q45"/>
    </row>
    <row r="46" spans="1:18" ht="14.4" x14ac:dyDescent="0.3">
      <c r="B46" s="3">
        <v>2028</v>
      </c>
      <c r="C46" s="40">
        <v>1000</v>
      </c>
      <c r="E46"/>
      <c r="F46"/>
      <c r="G46"/>
      <c r="H46"/>
      <c r="I46"/>
      <c r="J46"/>
      <c r="K46"/>
      <c r="Q46" s="9" t="s">
        <v>27</v>
      </c>
      <c r="R46" s="9" t="s">
        <v>29</v>
      </c>
    </row>
    <row r="47" spans="1:18" ht="14.4" x14ac:dyDescent="0.3">
      <c r="B47" s="3">
        <v>2028</v>
      </c>
      <c r="C47" s="40">
        <v>600</v>
      </c>
      <c r="E47"/>
      <c r="F47"/>
      <c r="G47"/>
      <c r="H47"/>
      <c r="I47"/>
      <c r="J47"/>
      <c r="K47"/>
      <c r="Q47" s="5">
        <v>2027</v>
      </c>
      <c r="R47" s="40">
        <f>SUMIF($B$35:$B$64,$Q47,$C$35:$C$64)</f>
        <v>3382</v>
      </c>
    </row>
    <row r="48" spans="1:18" ht="14.4" x14ac:dyDescent="0.3">
      <c r="B48" s="3">
        <v>2029</v>
      </c>
      <c r="C48" s="40">
        <v>600</v>
      </c>
      <c r="E48"/>
      <c r="F48"/>
      <c r="G48"/>
      <c r="H48"/>
      <c r="I48"/>
      <c r="J48"/>
      <c r="K48"/>
      <c r="Q48" s="5">
        <v>2025</v>
      </c>
      <c r="R48" s="40">
        <f t="shared" ref="R48:R60" si="1">SUMIF($B$35:$B$64,$Q48,$C$35:$C$64)</f>
        <v>500</v>
      </c>
    </row>
    <row r="49" spans="2:19" ht="14.4" x14ac:dyDescent="0.3">
      <c r="B49" s="3">
        <v>2029</v>
      </c>
      <c r="C49" s="40">
        <v>750</v>
      </c>
      <c r="E49"/>
      <c r="F49"/>
      <c r="G49"/>
      <c r="H49"/>
      <c r="I49"/>
      <c r="J49"/>
      <c r="K49"/>
      <c r="Q49" s="5">
        <v>2026</v>
      </c>
      <c r="R49" s="40">
        <f t="shared" si="1"/>
        <v>2650</v>
      </c>
    </row>
    <row r="50" spans="2:19" ht="14.4" x14ac:dyDescent="0.3">
      <c r="B50" s="3">
        <v>2029</v>
      </c>
      <c r="C50" s="40">
        <v>550</v>
      </c>
      <c r="E50"/>
      <c r="F50"/>
      <c r="G50"/>
      <c r="H50"/>
      <c r="I50"/>
      <c r="J50"/>
      <c r="K50"/>
      <c r="Q50" s="5">
        <v>2028</v>
      </c>
      <c r="R50" s="40">
        <f t="shared" si="1"/>
        <v>2600</v>
      </c>
    </row>
    <row r="51" spans="2:19" ht="14.4" x14ac:dyDescent="0.3">
      <c r="B51" s="3">
        <v>2029</v>
      </c>
      <c r="C51" s="40">
        <v>550</v>
      </c>
      <c r="E51"/>
      <c r="F51"/>
      <c r="G51"/>
      <c r="H51"/>
      <c r="I51"/>
      <c r="J51"/>
      <c r="K51"/>
      <c r="Q51" s="5">
        <v>2029</v>
      </c>
      <c r="R51" s="40">
        <f t="shared" si="1"/>
        <v>2450</v>
      </c>
    </row>
    <row r="52" spans="2:19" ht="14.4" x14ac:dyDescent="0.3">
      <c r="B52" s="3">
        <v>2030</v>
      </c>
      <c r="C52" s="40">
        <v>750</v>
      </c>
      <c r="E52"/>
      <c r="F52"/>
      <c r="G52"/>
      <c r="H52"/>
      <c r="I52"/>
      <c r="J52"/>
      <c r="K52"/>
      <c r="Q52" s="5">
        <v>2030</v>
      </c>
      <c r="R52" s="40">
        <f t="shared" si="1"/>
        <v>750</v>
      </c>
    </row>
    <row r="53" spans="2:19" ht="14.4" x14ac:dyDescent="0.3">
      <c r="B53" s="3">
        <v>2031</v>
      </c>
      <c r="C53" s="40">
        <v>1100</v>
      </c>
      <c r="E53"/>
      <c r="F53"/>
      <c r="G53"/>
      <c r="H53"/>
      <c r="I53"/>
      <c r="J53"/>
      <c r="K53"/>
      <c r="Q53" s="5">
        <v>2031</v>
      </c>
      <c r="R53" s="40">
        <f t="shared" si="1"/>
        <v>2850</v>
      </c>
    </row>
    <row r="54" spans="2:19" ht="14.4" x14ac:dyDescent="0.3">
      <c r="B54" s="3">
        <v>2031</v>
      </c>
      <c r="C54" s="40">
        <v>1000</v>
      </c>
      <c r="E54"/>
      <c r="F54"/>
      <c r="G54"/>
      <c r="H54"/>
      <c r="I54"/>
      <c r="J54"/>
      <c r="K54"/>
      <c r="Q54" s="5">
        <v>2033</v>
      </c>
      <c r="R54" s="40">
        <f t="shared" si="1"/>
        <v>750</v>
      </c>
    </row>
    <row r="55" spans="2:19" ht="14.4" x14ac:dyDescent="0.3">
      <c r="B55" s="3">
        <v>2031</v>
      </c>
      <c r="C55" s="40">
        <v>750</v>
      </c>
      <c r="E55"/>
      <c r="F55"/>
      <c r="G55"/>
      <c r="H55"/>
      <c r="I55"/>
      <c r="J55"/>
      <c r="K55"/>
      <c r="Q55" s="5">
        <v>2034</v>
      </c>
      <c r="R55" s="40">
        <f t="shared" si="1"/>
        <v>1450</v>
      </c>
    </row>
    <row r="56" spans="2:19" ht="14.4" x14ac:dyDescent="0.3">
      <c r="B56" s="3">
        <v>2033</v>
      </c>
      <c r="C56" s="40">
        <v>750</v>
      </c>
      <c r="E56"/>
      <c r="F56"/>
      <c r="G56"/>
      <c r="H56"/>
      <c r="I56"/>
      <c r="J56"/>
      <c r="K56"/>
      <c r="Q56" s="5">
        <v>2041</v>
      </c>
      <c r="R56" s="40">
        <f t="shared" si="1"/>
        <v>1250</v>
      </c>
    </row>
    <row r="57" spans="2:19" ht="14.4" x14ac:dyDescent="0.3">
      <c r="B57" s="3">
        <v>2034</v>
      </c>
      <c r="C57" s="40">
        <v>750</v>
      </c>
      <c r="E57"/>
      <c r="F57"/>
      <c r="G57"/>
      <c r="H57"/>
      <c r="I57"/>
      <c r="J57"/>
      <c r="K57"/>
      <c r="Q57" s="5">
        <v>2047</v>
      </c>
      <c r="R57" s="40">
        <f t="shared" si="1"/>
        <v>350</v>
      </c>
    </row>
    <row r="58" spans="2:19" ht="14.4" x14ac:dyDescent="0.3">
      <c r="B58" s="3">
        <v>2034</v>
      </c>
      <c r="C58" s="40">
        <v>700</v>
      </c>
      <c r="E58"/>
      <c r="F58"/>
      <c r="G58"/>
      <c r="H58"/>
      <c r="I58"/>
      <c r="J58"/>
      <c r="K58"/>
      <c r="Q58" s="5">
        <v>2049</v>
      </c>
      <c r="R58" s="40">
        <f t="shared" si="1"/>
        <v>750</v>
      </c>
    </row>
    <row r="59" spans="2:19" ht="14.4" x14ac:dyDescent="0.3">
      <c r="B59" s="3">
        <v>2041</v>
      </c>
      <c r="C59" s="40">
        <v>1250</v>
      </c>
      <c r="E59"/>
      <c r="F59"/>
      <c r="G59"/>
      <c r="H59"/>
      <c r="I59"/>
      <c r="J59"/>
      <c r="K59"/>
      <c r="Q59" s="5">
        <v>2050</v>
      </c>
      <c r="R59" s="40">
        <f t="shared" si="1"/>
        <v>500</v>
      </c>
    </row>
    <row r="60" spans="2:19" ht="14.4" x14ac:dyDescent="0.3">
      <c r="B60" s="3">
        <v>2047</v>
      </c>
      <c r="C60" s="40">
        <v>350</v>
      </c>
      <c r="E60"/>
      <c r="F60"/>
      <c r="G60"/>
      <c r="H60"/>
      <c r="I60"/>
      <c r="J60"/>
      <c r="K60"/>
      <c r="Q60" s="5">
        <v>2051</v>
      </c>
      <c r="R60" s="40">
        <f t="shared" si="1"/>
        <v>900</v>
      </c>
    </row>
    <row r="61" spans="2:19" ht="14.4" x14ac:dyDescent="0.3">
      <c r="B61" s="3">
        <v>2049</v>
      </c>
      <c r="C61" s="40">
        <v>400</v>
      </c>
      <c r="E61"/>
      <c r="F61"/>
      <c r="G61"/>
      <c r="H61"/>
      <c r="I61"/>
      <c r="J61"/>
      <c r="K61"/>
      <c r="Q61" s="5" t="s">
        <v>26</v>
      </c>
      <c r="R61" s="40">
        <v>1312</v>
      </c>
    </row>
    <row r="62" spans="2:19" ht="14.4" x14ac:dyDescent="0.3">
      <c r="B62" s="3">
        <v>2049</v>
      </c>
      <c r="C62" s="40">
        <v>350</v>
      </c>
      <c r="E62"/>
      <c r="F62"/>
      <c r="G62"/>
      <c r="H62"/>
      <c r="I62"/>
      <c r="J62"/>
      <c r="K62"/>
      <c r="Q62" s="77" t="s">
        <v>70</v>
      </c>
      <c r="R62" s="40">
        <f>SUM(R47:R61)</f>
        <v>22444</v>
      </c>
      <c r="S62" s="48"/>
    </row>
    <row r="63" spans="2:19" ht="14.4" x14ac:dyDescent="0.3">
      <c r="B63" s="3">
        <v>2050</v>
      </c>
      <c r="C63" s="40">
        <v>500</v>
      </c>
      <c r="E63"/>
      <c r="F63"/>
      <c r="G63"/>
      <c r="H63"/>
      <c r="I63"/>
      <c r="J63"/>
      <c r="K63"/>
      <c r="Q63" s="77" t="s">
        <v>71</v>
      </c>
      <c r="R63" s="40">
        <v>1785</v>
      </c>
    </row>
    <row r="64" spans="2:19" ht="14.4" x14ac:dyDescent="0.3">
      <c r="B64" s="3">
        <v>2051</v>
      </c>
      <c r="C64" s="40">
        <v>900</v>
      </c>
      <c r="E64"/>
      <c r="F64"/>
      <c r="G64"/>
      <c r="H64"/>
      <c r="I64"/>
      <c r="J64"/>
      <c r="K64"/>
      <c r="Q64" s="2" t="s">
        <v>37</v>
      </c>
      <c r="R64" s="40">
        <f>SUM(R62:R63)</f>
        <v>24229</v>
      </c>
    </row>
    <row r="65" spans="1:18" ht="14.4" x14ac:dyDescent="0.3">
      <c r="B65" s="7"/>
      <c r="C65" s="45"/>
      <c r="E65"/>
      <c r="F65"/>
      <c r="G65"/>
      <c r="H65"/>
      <c r="I65"/>
      <c r="J65"/>
      <c r="K65"/>
    </row>
    <row r="66" spans="1:18" ht="14.4" x14ac:dyDescent="0.3">
      <c r="B66" s="7"/>
      <c r="C66" s="45"/>
      <c r="E66"/>
      <c r="F66"/>
      <c r="G66"/>
      <c r="H66"/>
      <c r="I66"/>
      <c r="J66"/>
      <c r="K66"/>
    </row>
    <row r="67" spans="1:18" x14ac:dyDescent="0.25">
      <c r="A67" s="63" t="s">
        <v>6</v>
      </c>
      <c r="B67" s="4" t="s">
        <v>27</v>
      </c>
      <c r="C67" s="1" t="s">
        <v>29</v>
      </c>
      <c r="E67" s="4" t="s">
        <v>1</v>
      </c>
      <c r="F67" s="4" t="s">
        <v>3</v>
      </c>
      <c r="G67" s="4" t="s">
        <v>29</v>
      </c>
      <c r="H67" s="4" t="s">
        <v>30</v>
      </c>
      <c r="I67" s="4" t="s">
        <v>31</v>
      </c>
      <c r="J67" s="4" t="s">
        <v>32</v>
      </c>
      <c r="K67" s="4" t="s">
        <v>33</v>
      </c>
    </row>
    <row r="68" spans="1:18" x14ac:dyDescent="0.25">
      <c r="B68" s="3">
        <v>2027</v>
      </c>
      <c r="C68" s="40" t="s">
        <v>67</v>
      </c>
      <c r="E68" s="3" t="s">
        <v>66</v>
      </c>
      <c r="F68" s="3" t="s">
        <v>6</v>
      </c>
      <c r="G68" s="3" t="s">
        <v>68</v>
      </c>
      <c r="H68" s="40">
        <f>SUM(C71:C84,C69)</f>
        <v>11805</v>
      </c>
      <c r="I68" s="3" t="s">
        <v>35</v>
      </c>
      <c r="J68" s="3" t="s">
        <v>36</v>
      </c>
      <c r="K68" s="3" t="s">
        <v>29</v>
      </c>
      <c r="M68" s="69" t="s">
        <v>50</v>
      </c>
    </row>
    <row r="69" spans="1:18" x14ac:dyDescent="0.25">
      <c r="B69" s="3">
        <v>2027</v>
      </c>
      <c r="C69" s="40">
        <v>1155</v>
      </c>
      <c r="E69" s="3" t="s">
        <v>66</v>
      </c>
      <c r="F69" s="3" t="s">
        <v>6</v>
      </c>
      <c r="G69" s="3" t="s">
        <v>39</v>
      </c>
      <c r="H69" s="40">
        <f>SUM(C85:C89)</f>
        <v>4350</v>
      </c>
      <c r="I69" s="3" t="s">
        <v>35</v>
      </c>
      <c r="J69" s="3" t="s">
        <v>36</v>
      </c>
      <c r="K69" s="3" t="s">
        <v>29</v>
      </c>
      <c r="M69" s="69" t="s">
        <v>51</v>
      </c>
    </row>
    <row r="70" spans="1:18" x14ac:dyDescent="0.25">
      <c r="B70" s="3" t="s">
        <v>26</v>
      </c>
      <c r="C70" s="40">
        <v>1438</v>
      </c>
      <c r="E70" s="3" t="s">
        <v>66</v>
      </c>
      <c r="F70" s="3" t="s">
        <v>6</v>
      </c>
      <c r="G70" s="3" t="s">
        <v>69</v>
      </c>
      <c r="H70" s="40">
        <f>SUM(C70,C90:C96)</f>
        <v>5938</v>
      </c>
      <c r="I70" s="3" t="s">
        <v>35</v>
      </c>
      <c r="J70" s="3" t="s">
        <v>36</v>
      </c>
      <c r="K70" s="3" t="s">
        <v>29</v>
      </c>
      <c r="M70" s="69" t="s">
        <v>26</v>
      </c>
    </row>
    <row r="71" spans="1:18" x14ac:dyDescent="0.25">
      <c r="B71" s="3">
        <v>2024</v>
      </c>
      <c r="C71" s="40">
        <v>750</v>
      </c>
      <c r="E71" s="3" t="s">
        <v>66</v>
      </c>
      <c r="F71" s="3" t="s">
        <v>6</v>
      </c>
      <c r="G71" s="3" t="s">
        <v>41</v>
      </c>
      <c r="H71" s="40">
        <f>SUM(H68:H70)</f>
        <v>22093</v>
      </c>
      <c r="I71" s="3" t="s">
        <v>35</v>
      </c>
      <c r="J71" s="3" t="s">
        <v>36</v>
      </c>
      <c r="K71" s="3" t="s">
        <v>29</v>
      </c>
    </row>
    <row r="72" spans="1:18" x14ac:dyDescent="0.25">
      <c r="B72" s="3">
        <v>2025</v>
      </c>
      <c r="C72" s="40">
        <v>500</v>
      </c>
      <c r="E72" s="3"/>
      <c r="F72" s="3"/>
      <c r="G72" s="3"/>
      <c r="H72" s="40"/>
      <c r="I72" s="3"/>
      <c r="J72" s="3"/>
      <c r="K72" s="3"/>
    </row>
    <row r="73" spans="1:18" x14ac:dyDescent="0.25">
      <c r="B73" s="3">
        <v>2026</v>
      </c>
      <c r="C73" s="40">
        <v>900</v>
      </c>
      <c r="E73" s="3"/>
      <c r="F73" s="3"/>
      <c r="G73" s="3"/>
      <c r="H73" s="40"/>
      <c r="I73" s="3"/>
      <c r="J73" s="3"/>
      <c r="K73" s="3"/>
    </row>
    <row r="74" spans="1:18" x14ac:dyDescent="0.25">
      <c r="B74" s="3">
        <v>2026</v>
      </c>
      <c r="C74" s="40">
        <v>750</v>
      </c>
      <c r="E74" s="3"/>
      <c r="F74" s="3"/>
      <c r="G74" s="3"/>
      <c r="H74" s="40"/>
      <c r="I74" s="3"/>
      <c r="J74" s="3"/>
      <c r="K74" s="3"/>
    </row>
    <row r="75" spans="1:18" x14ac:dyDescent="0.25">
      <c r="B75" s="3">
        <v>2026</v>
      </c>
      <c r="C75" s="40">
        <v>1000</v>
      </c>
      <c r="E75" s="3"/>
      <c r="F75" s="3"/>
      <c r="G75" s="3"/>
      <c r="H75" s="40"/>
      <c r="I75" s="3"/>
      <c r="J75" s="3"/>
      <c r="K75" s="3"/>
    </row>
    <row r="76" spans="1:18" ht="14.4" x14ac:dyDescent="0.3">
      <c r="B76" s="3">
        <v>2027</v>
      </c>
      <c r="C76" s="40">
        <v>750</v>
      </c>
      <c r="E76"/>
      <c r="F76"/>
      <c r="G76"/>
      <c r="H76"/>
      <c r="I76"/>
      <c r="J76"/>
      <c r="K76"/>
    </row>
    <row r="77" spans="1:18" ht="14.4" x14ac:dyDescent="0.3">
      <c r="B77" s="3">
        <v>2027</v>
      </c>
      <c r="C77" s="40">
        <v>500</v>
      </c>
      <c r="E77"/>
      <c r="F77"/>
      <c r="G77"/>
      <c r="H77"/>
      <c r="I77"/>
      <c r="J77"/>
      <c r="K77"/>
    </row>
    <row r="78" spans="1:18" ht="14.4" x14ac:dyDescent="0.3">
      <c r="B78" s="3">
        <v>2027</v>
      </c>
      <c r="C78" s="40">
        <v>1000</v>
      </c>
      <c r="E78"/>
      <c r="F78"/>
      <c r="G78"/>
      <c r="H78"/>
      <c r="I78"/>
      <c r="J78"/>
      <c r="K78"/>
      <c r="Q78" s="9" t="s">
        <v>27</v>
      </c>
      <c r="R78" s="9" t="s">
        <v>29</v>
      </c>
    </row>
    <row r="79" spans="1:18" ht="14.4" x14ac:dyDescent="0.3">
      <c r="B79" s="3">
        <v>2028</v>
      </c>
      <c r="C79" s="40">
        <v>1000</v>
      </c>
      <c r="E79"/>
      <c r="F79"/>
      <c r="G79"/>
      <c r="H79"/>
      <c r="I79"/>
      <c r="J79"/>
      <c r="K79"/>
      <c r="Q79" s="5">
        <v>2027</v>
      </c>
      <c r="R79" s="40">
        <f>SUMIF($B$68:$B$96,$Q79,$C$68:$C$96)</f>
        <v>3405</v>
      </c>
    </row>
    <row r="80" spans="1:18" ht="14.4" x14ac:dyDescent="0.3">
      <c r="B80" s="3">
        <v>2028</v>
      </c>
      <c r="C80" s="40">
        <v>1000</v>
      </c>
      <c r="E80"/>
      <c r="F80"/>
      <c r="G80"/>
      <c r="H80"/>
      <c r="I80"/>
      <c r="J80"/>
      <c r="K80"/>
      <c r="Q80" s="5">
        <v>2024</v>
      </c>
      <c r="R80" s="40">
        <f t="shared" ref="R80:R93" si="2">SUMIF($B$68:$B$96,$Q80,$C$68:$C$96)</f>
        <v>750</v>
      </c>
    </row>
    <row r="81" spans="2:20" ht="14.4" x14ac:dyDescent="0.3">
      <c r="B81" s="3">
        <v>2028</v>
      </c>
      <c r="C81" s="40">
        <v>600</v>
      </c>
      <c r="E81"/>
      <c r="F81"/>
      <c r="G81"/>
      <c r="H81"/>
      <c r="I81"/>
      <c r="J81"/>
      <c r="K81"/>
      <c r="Q81" s="5">
        <v>2025</v>
      </c>
      <c r="R81" s="40">
        <f t="shared" si="2"/>
        <v>500</v>
      </c>
    </row>
    <row r="82" spans="2:20" ht="14.4" x14ac:dyDescent="0.3">
      <c r="B82" s="3">
        <v>2029</v>
      </c>
      <c r="C82" s="40">
        <v>600</v>
      </c>
      <c r="E82"/>
      <c r="F82"/>
      <c r="G82"/>
      <c r="H82"/>
      <c r="I82"/>
      <c r="J82"/>
      <c r="K82"/>
      <c r="Q82" s="5">
        <v>2026</v>
      </c>
      <c r="R82" s="40">
        <f t="shared" si="2"/>
        <v>2650</v>
      </c>
    </row>
    <row r="83" spans="2:20" ht="14.4" x14ac:dyDescent="0.3">
      <c r="B83" s="3">
        <v>2029</v>
      </c>
      <c r="C83" s="40">
        <v>750</v>
      </c>
      <c r="E83"/>
      <c r="F83"/>
      <c r="G83"/>
      <c r="H83"/>
      <c r="I83"/>
      <c r="J83"/>
      <c r="K83"/>
      <c r="Q83" s="5">
        <v>2028</v>
      </c>
      <c r="R83" s="40">
        <f t="shared" si="2"/>
        <v>2600</v>
      </c>
    </row>
    <row r="84" spans="2:20" ht="14.4" x14ac:dyDescent="0.3">
      <c r="B84" s="3">
        <v>2029</v>
      </c>
      <c r="C84" s="40">
        <v>550</v>
      </c>
      <c r="E84"/>
      <c r="F84"/>
      <c r="G84"/>
      <c r="H84"/>
      <c r="I84"/>
      <c r="J84"/>
      <c r="K84"/>
      <c r="Q84" s="5">
        <v>2029</v>
      </c>
      <c r="R84" s="40">
        <f t="shared" si="2"/>
        <v>1900</v>
      </c>
      <c r="T84"/>
    </row>
    <row r="85" spans="2:20" ht="14.4" x14ac:dyDescent="0.3">
      <c r="B85" s="3">
        <v>2030</v>
      </c>
      <c r="C85" s="40">
        <v>750</v>
      </c>
      <c r="E85"/>
      <c r="F85"/>
      <c r="G85"/>
      <c r="H85"/>
      <c r="I85"/>
      <c r="J85"/>
      <c r="K85"/>
      <c r="Q85" s="5">
        <v>2030</v>
      </c>
      <c r="R85" s="40">
        <f t="shared" si="2"/>
        <v>750</v>
      </c>
      <c r="T85"/>
    </row>
    <row r="86" spans="2:20" ht="14.4" x14ac:dyDescent="0.3">
      <c r="B86" s="3">
        <v>2031</v>
      </c>
      <c r="C86" s="40">
        <v>1100</v>
      </c>
      <c r="E86"/>
      <c r="F86"/>
      <c r="G86"/>
      <c r="H86"/>
      <c r="I86"/>
      <c r="J86"/>
      <c r="K86"/>
      <c r="Q86" s="5">
        <v>2031</v>
      </c>
      <c r="R86" s="40">
        <f t="shared" si="2"/>
        <v>2850</v>
      </c>
      <c r="T86"/>
    </row>
    <row r="87" spans="2:20" ht="14.4" x14ac:dyDescent="0.3">
      <c r="B87" s="3">
        <v>2031</v>
      </c>
      <c r="C87" s="40">
        <v>1000</v>
      </c>
      <c r="E87"/>
      <c r="F87"/>
      <c r="G87"/>
      <c r="H87"/>
      <c r="I87"/>
      <c r="J87"/>
      <c r="K87"/>
      <c r="Q87" s="5">
        <v>2033</v>
      </c>
      <c r="R87" s="40">
        <f t="shared" si="2"/>
        <v>750</v>
      </c>
      <c r="T87"/>
    </row>
    <row r="88" spans="2:20" ht="14.4" x14ac:dyDescent="0.3">
      <c r="B88" s="3">
        <v>2031</v>
      </c>
      <c r="C88" s="40">
        <v>750</v>
      </c>
      <c r="E88"/>
      <c r="F88"/>
      <c r="G88"/>
      <c r="H88"/>
      <c r="I88"/>
      <c r="J88"/>
      <c r="K88"/>
      <c r="Q88" s="5">
        <v>2034</v>
      </c>
      <c r="R88" s="40">
        <f t="shared" si="2"/>
        <v>750</v>
      </c>
      <c r="T88"/>
    </row>
    <row r="89" spans="2:20" ht="14.4" x14ac:dyDescent="0.3">
      <c r="B89" s="3">
        <v>2033</v>
      </c>
      <c r="C89" s="40">
        <v>750</v>
      </c>
      <c r="E89"/>
      <c r="F89"/>
      <c r="G89"/>
      <c r="H89"/>
      <c r="I89"/>
      <c r="J89"/>
      <c r="K89"/>
      <c r="Q89" s="5">
        <v>2041</v>
      </c>
      <c r="R89" s="40">
        <f t="shared" si="2"/>
        <v>1250</v>
      </c>
      <c r="T89"/>
    </row>
    <row r="90" spans="2:20" ht="14.4" x14ac:dyDescent="0.3">
      <c r="B90" s="3">
        <v>2034</v>
      </c>
      <c r="C90" s="40">
        <v>750</v>
      </c>
      <c r="E90"/>
      <c r="F90"/>
      <c r="G90"/>
      <c r="H90"/>
      <c r="I90"/>
      <c r="J90"/>
      <c r="K90"/>
      <c r="Q90" s="5">
        <v>2047</v>
      </c>
      <c r="R90" s="40">
        <f t="shared" si="2"/>
        <v>350</v>
      </c>
      <c r="T90"/>
    </row>
    <row r="91" spans="2:20" ht="14.4" x14ac:dyDescent="0.3">
      <c r="B91" s="3">
        <v>2041</v>
      </c>
      <c r="C91" s="40">
        <v>1250</v>
      </c>
      <c r="E91"/>
      <c r="F91"/>
      <c r="G91"/>
      <c r="H91"/>
      <c r="I91"/>
      <c r="J91"/>
      <c r="K91"/>
      <c r="Q91" s="5">
        <v>2049</v>
      </c>
      <c r="R91" s="40">
        <f t="shared" si="2"/>
        <v>750</v>
      </c>
      <c r="T91"/>
    </row>
    <row r="92" spans="2:20" ht="14.4" x14ac:dyDescent="0.3">
      <c r="B92" s="3">
        <v>2047</v>
      </c>
      <c r="C92" s="40">
        <v>350</v>
      </c>
      <c r="E92"/>
      <c r="F92"/>
      <c r="G92"/>
      <c r="H92"/>
      <c r="I92"/>
      <c r="J92"/>
      <c r="K92"/>
      <c r="Q92" s="5">
        <v>2050</v>
      </c>
      <c r="R92" s="40">
        <f t="shared" si="2"/>
        <v>500</v>
      </c>
      <c r="T92"/>
    </row>
    <row r="93" spans="2:20" ht="14.4" x14ac:dyDescent="0.3">
      <c r="B93" s="3">
        <v>2049</v>
      </c>
      <c r="C93" s="40">
        <v>400</v>
      </c>
      <c r="E93"/>
      <c r="F93"/>
      <c r="G93"/>
      <c r="H93"/>
      <c r="I93"/>
      <c r="J93"/>
      <c r="K93"/>
      <c r="Q93" s="5">
        <v>2051</v>
      </c>
      <c r="R93" s="40">
        <f t="shared" si="2"/>
        <v>900</v>
      </c>
      <c r="T93"/>
    </row>
    <row r="94" spans="2:20" ht="14.4" x14ac:dyDescent="0.3">
      <c r="B94" s="3">
        <v>2049</v>
      </c>
      <c r="C94" s="40">
        <v>350</v>
      </c>
      <c r="E94"/>
      <c r="F94"/>
      <c r="G94"/>
      <c r="H94"/>
      <c r="I94"/>
      <c r="J94"/>
      <c r="K94"/>
      <c r="Q94" s="5" t="s">
        <v>26</v>
      </c>
      <c r="R94" s="40">
        <v>1438</v>
      </c>
      <c r="T94"/>
    </row>
    <row r="95" spans="2:20" ht="14.4" x14ac:dyDescent="0.3">
      <c r="B95" s="3">
        <v>2050</v>
      </c>
      <c r="C95" s="40">
        <v>500</v>
      </c>
      <c r="D95" s="45"/>
      <c r="E95"/>
      <c r="F95"/>
      <c r="G95"/>
      <c r="H95"/>
      <c r="I95"/>
      <c r="J95"/>
      <c r="K95"/>
      <c r="Q95" s="77" t="s">
        <v>70</v>
      </c>
      <c r="R95" s="40">
        <f>SUM(R79:R94)</f>
        <v>22093</v>
      </c>
      <c r="T95"/>
    </row>
    <row r="96" spans="2:20" ht="14.4" x14ac:dyDescent="0.3">
      <c r="B96" s="3">
        <v>2051</v>
      </c>
      <c r="C96" s="40">
        <v>900</v>
      </c>
      <c r="D96" s="45"/>
      <c r="E96"/>
      <c r="F96"/>
      <c r="G96"/>
      <c r="H96"/>
      <c r="I96"/>
      <c r="J96"/>
      <c r="K96"/>
      <c r="Q96" s="77" t="s">
        <v>71</v>
      </c>
      <c r="R96" s="40">
        <v>1781</v>
      </c>
      <c r="T96"/>
    </row>
    <row r="97" spans="1:22" ht="14.4" x14ac:dyDescent="0.3">
      <c r="B97" s="6"/>
      <c r="C97" s="45"/>
      <c r="D97" s="45"/>
      <c r="E97"/>
      <c r="F97"/>
      <c r="G97"/>
      <c r="H97"/>
      <c r="I97"/>
      <c r="J97"/>
      <c r="K97"/>
      <c r="Q97" s="2" t="s">
        <v>37</v>
      </c>
      <c r="R97" s="40">
        <f>SUM(R95:R96)</f>
        <v>23874</v>
      </c>
    </row>
    <row r="98" spans="1:22" ht="14.4" x14ac:dyDescent="0.3">
      <c r="B98" s="6"/>
      <c r="C98" s="45"/>
      <c r="D98" s="45"/>
      <c r="E98"/>
      <c r="F98"/>
      <c r="G98"/>
      <c r="H98"/>
      <c r="I98"/>
      <c r="J98"/>
      <c r="K98"/>
      <c r="V98" s="3"/>
    </row>
    <row r="99" spans="1:22" x14ac:dyDescent="0.25">
      <c r="A99" s="63" t="s">
        <v>7</v>
      </c>
      <c r="B99" s="4" t="s">
        <v>27</v>
      </c>
      <c r="C99" s="1" t="s">
        <v>29</v>
      </c>
      <c r="E99" s="4" t="s">
        <v>1</v>
      </c>
      <c r="F99" s="4" t="s">
        <v>3</v>
      </c>
      <c r="G99" s="4" t="s">
        <v>29</v>
      </c>
      <c r="H99" s="4" t="s">
        <v>30</v>
      </c>
      <c r="I99" s="4" t="s">
        <v>31</v>
      </c>
      <c r="J99" s="4" t="s">
        <v>32</v>
      </c>
      <c r="K99" s="4" t="s">
        <v>33</v>
      </c>
      <c r="V99" s="3"/>
    </row>
    <row r="100" spans="1:22" x14ac:dyDescent="0.25">
      <c r="B100" s="3">
        <v>2027</v>
      </c>
      <c r="C100" s="40" t="s">
        <v>67</v>
      </c>
      <c r="E100" s="3" t="s">
        <v>66</v>
      </c>
      <c r="F100" s="3" t="s">
        <v>7</v>
      </c>
      <c r="G100" s="3" t="s">
        <v>68</v>
      </c>
      <c r="H100" s="40">
        <f>SUM(C103:C116,C101)</f>
        <v>11812</v>
      </c>
      <c r="I100" s="3" t="s">
        <v>35</v>
      </c>
      <c r="J100" s="3" t="s">
        <v>36</v>
      </c>
      <c r="K100" s="3" t="s">
        <v>29</v>
      </c>
      <c r="M100" s="69" t="s">
        <v>50</v>
      </c>
      <c r="V100" s="3"/>
    </row>
    <row r="101" spans="1:22" x14ac:dyDescent="0.25">
      <c r="B101" s="3">
        <v>2027</v>
      </c>
      <c r="C101" s="40">
        <v>1162</v>
      </c>
      <c r="E101" s="3" t="s">
        <v>66</v>
      </c>
      <c r="F101" s="3" t="s">
        <v>7</v>
      </c>
      <c r="G101" s="3" t="s">
        <v>39</v>
      </c>
      <c r="H101" s="40">
        <f>SUM(C117:C121)</f>
        <v>4350</v>
      </c>
      <c r="I101" s="3" t="s">
        <v>35</v>
      </c>
      <c r="J101" s="3" t="s">
        <v>36</v>
      </c>
      <c r="K101" s="3" t="s">
        <v>29</v>
      </c>
      <c r="M101" s="69" t="s">
        <v>51</v>
      </c>
      <c r="V101" s="3"/>
    </row>
    <row r="102" spans="1:22" x14ac:dyDescent="0.25">
      <c r="B102" s="3" t="s">
        <v>26</v>
      </c>
      <c r="C102" s="40">
        <v>1138</v>
      </c>
      <c r="E102" s="3" t="s">
        <v>66</v>
      </c>
      <c r="F102" s="3" t="s">
        <v>7</v>
      </c>
      <c r="G102" s="3" t="s">
        <v>69</v>
      </c>
      <c r="H102" s="40">
        <f>SUM(C102,C122:C128)</f>
        <v>5638</v>
      </c>
      <c r="I102" s="3" t="s">
        <v>35</v>
      </c>
      <c r="J102" s="3" t="s">
        <v>36</v>
      </c>
      <c r="K102" s="3" t="s">
        <v>29</v>
      </c>
      <c r="M102" s="69" t="s">
        <v>26</v>
      </c>
      <c r="V102" s="3"/>
    </row>
    <row r="103" spans="1:22" x14ac:dyDescent="0.25">
      <c r="B103" s="3">
        <v>2024</v>
      </c>
      <c r="C103" s="40">
        <v>750</v>
      </c>
      <c r="E103" s="3" t="s">
        <v>66</v>
      </c>
      <c r="F103" s="3" t="s">
        <v>7</v>
      </c>
      <c r="G103" s="3" t="s">
        <v>41</v>
      </c>
      <c r="H103" s="40">
        <f>SUM(H100:H102)</f>
        <v>21800</v>
      </c>
      <c r="I103" s="3" t="s">
        <v>35</v>
      </c>
      <c r="J103" s="3" t="s">
        <v>36</v>
      </c>
      <c r="K103" s="3" t="s">
        <v>29</v>
      </c>
      <c r="V103" s="3"/>
    </row>
    <row r="104" spans="1:22" ht="14.4" x14ac:dyDescent="0.3">
      <c r="B104" s="3">
        <v>2025</v>
      </c>
      <c r="C104" s="40">
        <v>500</v>
      </c>
      <c r="E104"/>
      <c r="F104"/>
      <c r="G104"/>
      <c r="H104"/>
      <c r="I104"/>
      <c r="J104"/>
      <c r="K104"/>
      <c r="V104" s="3"/>
    </row>
    <row r="105" spans="1:22" ht="14.4" x14ac:dyDescent="0.3">
      <c r="B105" s="3">
        <v>2026</v>
      </c>
      <c r="C105" s="40">
        <v>900</v>
      </c>
      <c r="E105"/>
      <c r="F105"/>
      <c r="G105"/>
      <c r="H105"/>
      <c r="I105"/>
      <c r="J105"/>
      <c r="K105"/>
      <c r="V105" s="3"/>
    </row>
    <row r="106" spans="1:22" ht="14.4" x14ac:dyDescent="0.3">
      <c r="B106" s="3">
        <v>2026</v>
      </c>
      <c r="C106" s="40">
        <v>750</v>
      </c>
      <c r="E106"/>
      <c r="F106"/>
      <c r="G106"/>
      <c r="H106"/>
      <c r="I106"/>
      <c r="J106"/>
      <c r="K106"/>
      <c r="V106" s="3"/>
    </row>
    <row r="107" spans="1:22" ht="14.4" x14ac:dyDescent="0.3">
      <c r="B107" s="3">
        <v>2026</v>
      </c>
      <c r="C107" s="40">
        <v>1000</v>
      </c>
      <c r="E107"/>
      <c r="F107"/>
      <c r="G107"/>
      <c r="H107"/>
      <c r="I107"/>
      <c r="J107"/>
      <c r="K107"/>
      <c r="V107" s="3"/>
    </row>
    <row r="108" spans="1:22" ht="14.4" x14ac:dyDescent="0.3">
      <c r="B108" s="3">
        <v>2027</v>
      </c>
      <c r="C108" s="40">
        <v>750</v>
      </c>
      <c r="E108"/>
      <c r="F108"/>
      <c r="G108"/>
      <c r="H108"/>
      <c r="I108"/>
      <c r="J108"/>
      <c r="K108"/>
      <c r="V108" s="3"/>
    </row>
    <row r="109" spans="1:22" ht="14.4" x14ac:dyDescent="0.3">
      <c r="B109" s="3">
        <v>2027</v>
      </c>
      <c r="C109" s="40">
        <v>500</v>
      </c>
      <c r="E109"/>
      <c r="F109"/>
      <c r="G109"/>
      <c r="H109"/>
      <c r="I109"/>
      <c r="J109"/>
      <c r="K109"/>
      <c r="V109" s="3"/>
    </row>
    <row r="110" spans="1:22" ht="14.4" x14ac:dyDescent="0.3">
      <c r="B110" s="3">
        <v>2027</v>
      </c>
      <c r="C110" s="40">
        <v>1000</v>
      </c>
      <c r="E110"/>
      <c r="F110"/>
      <c r="G110"/>
      <c r="H110"/>
      <c r="I110"/>
      <c r="J110"/>
      <c r="K110"/>
      <c r="V110" s="3"/>
    </row>
    <row r="111" spans="1:22" ht="14.4" x14ac:dyDescent="0.3">
      <c r="B111" s="3">
        <v>2028</v>
      </c>
      <c r="C111" s="40">
        <v>1000</v>
      </c>
      <c r="E111"/>
      <c r="F111"/>
      <c r="G111"/>
      <c r="H111"/>
      <c r="I111"/>
      <c r="J111"/>
      <c r="K111"/>
      <c r="Q111" s="9" t="s">
        <v>27</v>
      </c>
      <c r="R111" s="9" t="s">
        <v>29</v>
      </c>
      <c r="V111" s="3"/>
    </row>
    <row r="112" spans="1:22" x14ac:dyDescent="0.25">
      <c r="A112" s="15"/>
      <c r="B112" s="3">
        <v>2028</v>
      </c>
      <c r="C112" s="40">
        <v>1000</v>
      </c>
      <c r="Q112" s="5">
        <v>2024</v>
      </c>
      <c r="R112" s="40">
        <f t="shared" ref="R112:R126" si="3">SUMIF($B$100:$B$128,$Q112,$C$100:$C$128)</f>
        <v>750</v>
      </c>
      <c r="V112" s="3"/>
    </row>
    <row r="113" spans="1:23" ht="14.4" x14ac:dyDescent="0.3">
      <c r="A113" s="15"/>
      <c r="B113" s="3">
        <v>2028</v>
      </c>
      <c r="C113" s="40">
        <v>600</v>
      </c>
      <c r="D113"/>
      <c r="E113"/>
      <c r="F113"/>
      <c r="G113"/>
      <c r="H113"/>
      <c r="I113"/>
      <c r="J113"/>
      <c r="K113"/>
      <c r="Q113" s="5">
        <v>2025</v>
      </c>
      <c r="R113" s="40">
        <f t="shared" si="3"/>
        <v>500</v>
      </c>
    </row>
    <row r="114" spans="1:23" ht="14.4" x14ac:dyDescent="0.3">
      <c r="A114" s="15"/>
      <c r="B114" s="3">
        <v>2029</v>
      </c>
      <c r="C114" s="40">
        <v>600</v>
      </c>
      <c r="D114"/>
      <c r="E114"/>
      <c r="F114"/>
      <c r="G114"/>
      <c r="H114"/>
      <c r="I114"/>
      <c r="J114"/>
      <c r="K114"/>
      <c r="Q114" s="5">
        <v>2026</v>
      </c>
      <c r="R114" s="40">
        <f t="shared" si="3"/>
        <v>2650</v>
      </c>
      <c r="V114"/>
    </row>
    <row r="115" spans="1:23" ht="14.4" x14ac:dyDescent="0.3">
      <c r="A115" s="15"/>
      <c r="B115" s="3">
        <v>2029</v>
      </c>
      <c r="C115" s="40">
        <v>750</v>
      </c>
      <c r="D115"/>
      <c r="E115"/>
      <c r="F115"/>
      <c r="G115"/>
      <c r="H115"/>
      <c r="I115"/>
      <c r="J115"/>
      <c r="K115"/>
      <c r="Q115" s="5">
        <v>2027</v>
      </c>
      <c r="R115" s="40">
        <f t="shared" si="3"/>
        <v>3412</v>
      </c>
      <c r="V115"/>
    </row>
    <row r="116" spans="1:23" ht="14.4" x14ac:dyDescent="0.3">
      <c r="B116" s="3">
        <v>2029</v>
      </c>
      <c r="C116" s="40">
        <v>550</v>
      </c>
      <c r="D116"/>
      <c r="E116"/>
      <c r="F116"/>
      <c r="G116"/>
      <c r="H116"/>
      <c r="I116"/>
      <c r="J116"/>
      <c r="K116"/>
      <c r="Q116" s="5">
        <v>2028</v>
      </c>
      <c r="R116" s="40">
        <f t="shared" si="3"/>
        <v>2600</v>
      </c>
      <c r="V116"/>
    </row>
    <row r="117" spans="1:23" ht="14.4" x14ac:dyDescent="0.3">
      <c r="B117" s="3">
        <v>2030</v>
      </c>
      <c r="C117" s="40">
        <v>750</v>
      </c>
      <c r="D117"/>
      <c r="E117"/>
      <c r="F117"/>
      <c r="G117"/>
      <c r="H117"/>
      <c r="I117"/>
      <c r="J117"/>
      <c r="K117"/>
      <c r="Q117" s="5">
        <v>2029</v>
      </c>
      <c r="R117" s="40">
        <f t="shared" si="3"/>
        <v>1900</v>
      </c>
      <c r="V117"/>
    </row>
    <row r="118" spans="1:23" ht="14.4" x14ac:dyDescent="0.3">
      <c r="B118" s="3">
        <v>2031</v>
      </c>
      <c r="C118" s="40">
        <v>1100</v>
      </c>
      <c r="D118"/>
      <c r="E118"/>
      <c r="F118"/>
      <c r="G118"/>
      <c r="H118"/>
      <c r="I118"/>
      <c r="J118"/>
      <c r="K118"/>
      <c r="Q118" s="5">
        <v>2030</v>
      </c>
      <c r="R118" s="40">
        <f t="shared" si="3"/>
        <v>750</v>
      </c>
      <c r="V118"/>
      <c r="W118"/>
    </row>
    <row r="119" spans="1:23" ht="14.4" x14ac:dyDescent="0.3">
      <c r="B119" s="3">
        <v>2031</v>
      </c>
      <c r="C119" s="40">
        <v>1000</v>
      </c>
      <c r="D119"/>
      <c r="E119"/>
      <c r="F119"/>
      <c r="G119"/>
      <c r="H119"/>
      <c r="I119"/>
      <c r="J119"/>
      <c r="K119"/>
      <c r="Q119" s="5">
        <v>2031</v>
      </c>
      <c r="R119" s="40">
        <f t="shared" si="3"/>
        <v>2850</v>
      </c>
      <c r="V119"/>
      <c r="W119"/>
    </row>
    <row r="120" spans="1:23" ht="14.4" x14ac:dyDescent="0.3">
      <c r="B120" s="3">
        <v>2031</v>
      </c>
      <c r="C120" s="40">
        <v>750</v>
      </c>
      <c r="D120"/>
      <c r="E120"/>
      <c r="F120"/>
      <c r="G120"/>
      <c r="H120"/>
      <c r="I120"/>
      <c r="J120"/>
      <c r="K120"/>
      <c r="Q120" s="5">
        <v>2033</v>
      </c>
      <c r="R120" s="40">
        <f t="shared" si="3"/>
        <v>750</v>
      </c>
      <c r="V120"/>
      <c r="W120"/>
    </row>
    <row r="121" spans="1:23" ht="14.4" x14ac:dyDescent="0.3">
      <c r="B121" s="3">
        <v>2033</v>
      </c>
      <c r="C121" s="40">
        <v>750</v>
      </c>
      <c r="D121"/>
      <c r="E121"/>
      <c r="F121"/>
      <c r="G121"/>
      <c r="H121"/>
      <c r="I121"/>
      <c r="J121"/>
      <c r="K121"/>
      <c r="Q121" s="5">
        <v>2034</v>
      </c>
      <c r="R121" s="40">
        <f t="shared" si="3"/>
        <v>750</v>
      </c>
      <c r="V121"/>
      <c r="W121"/>
    </row>
    <row r="122" spans="1:23" ht="14.4" x14ac:dyDescent="0.3">
      <c r="B122" s="3">
        <v>2034</v>
      </c>
      <c r="C122" s="40">
        <v>750</v>
      </c>
      <c r="D122"/>
      <c r="E122"/>
      <c r="F122"/>
      <c r="G122"/>
      <c r="H122"/>
      <c r="I122"/>
      <c r="J122"/>
      <c r="K122"/>
      <c r="Q122" s="5">
        <v>2041</v>
      </c>
      <c r="R122" s="40">
        <f t="shared" si="3"/>
        <v>1250</v>
      </c>
      <c r="V122"/>
      <c r="W122"/>
    </row>
    <row r="123" spans="1:23" ht="14.4" x14ac:dyDescent="0.3">
      <c r="B123" s="3">
        <v>2041</v>
      </c>
      <c r="C123" s="40">
        <v>1250</v>
      </c>
      <c r="D123"/>
      <c r="E123"/>
      <c r="F123"/>
      <c r="G123"/>
      <c r="H123"/>
      <c r="I123"/>
      <c r="J123"/>
      <c r="K123"/>
      <c r="Q123" s="5">
        <v>2047</v>
      </c>
      <c r="R123" s="40">
        <f t="shared" si="3"/>
        <v>350</v>
      </c>
      <c r="V123"/>
      <c r="W123"/>
    </row>
    <row r="124" spans="1:23" ht="14.4" x14ac:dyDescent="0.3">
      <c r="B124" s="3">
        <v>2047</v>
      </c>
      <c r="C124" s="40">
        <v>350</v>
      </c>
      <c r="D124"/>
      <c r="E124"/>
      <c r="F124"/>
      <c r="G124"/>
      <c r="H124"/>
      <c r="I124"/>
      <c r="J124"/>
      <c r="K124"/>
      <c r="Q124" s="5">
        <v>2049</v>
      </c>
      <c r="R124" s="40">
        <f t="shared" si="3"/>
        <v>750</v>
      </c>
      <c r="V124"/>
      <c r="W124"/>
    </row>
    <row r="125" spans="1:23" ht="14.4" x14ac:dyDescent="0.3">
      <c r="B125" s="3">
        <v>2049</v>
      </c>
      <c r="C125" s="40">
        <v>400</v>
      </c>
      <c r="D125"/>
      <c r="E125"/>
      <c r="F125"/>
      <c r="G125"/>
      <c r="H125"/>
      <c r="I125"/>
      <c r="J125"/>
      <c r="K125"/>
      <c r="Q125" s="5">
        <v>2050</v>
      </c>
      <c r="R125" s="40">
        <f t="shared" si="3"/>
        <v>500</v>
      </c>
      <c r="V125"/>
      <c r="W125"/>
    </row>
    <row r="126" spans="1:23" ht="14.4" x14ac:dyDescent="0.3">
      <c r="B126" s="3">
        <v>2049</v>
      </c>
      <c r="C126" s="40">
        <v>350</v>
      </c>
      <c r="Q126" s="5">
        <v>2051</v>
      </c>
      <c r="R126" s="40">
        <f t="shared" si="3"/>
        <v>900</v>
      </c>
      <c r="V126"/>
      <c r="W126"/>
    </row>
    <row r="127" spans="1:23" ht="14.4" x14ac:dyDescent="0.3">
      <c r="B127" s="3">
        <v>2050</v>
      </c>
      <c r="C127" s="40">
        <v>500</v>
      </c>
      <c r="Q127" s="5" t="s">
        <v>26</v>
      </c>
      <c r="R127" s="40">
        <v>1138</v>
      </c>
      <c r="W127"/>
    </row>
    <row r="128" spans="1:23" ht="14.4" x14ac:dyDescent="0.3">
      <c r="B128" s="3">
        <v>2051</v>
      </c>
      <c r="C128" s="40">
        <v>900</v>
      </c>
      <c r="Q128" s="77" t="s">
        <v>70</v>
      </c>
      <c r="R128" s="40">
        <f>SUM(R112:R127)</f>
        <v>21800</v>
      </c>
      <c r="W128"/>
    </row>
    <row r="129" spans="2:23" ht="14.4" x14ac:dyDescent="0.3">
      <c r="C129" s="40"/>
      <c r="Q129" s="77" t="s">
        <v>71</v>
      </c>
      <c r="R129" s="40">
        <v>1775</v>
      </c>
      <c r="W129"/>
    </row>
    <row r="130" spans="2:23" ht="14.4" x14ac:dyDescent="0.3">
      <c r="C130" s="40"/>
      <c r="Q130" s="2" t="s">
        <v>37</v>
      </c>
      <c r="R130" s="40">
        <f>SUM(R128:R129)</f>
        <v>23575</v>
      </c>
      <c r="W130"/>
    </row>
    <row r="131" spans="2:23" x14ac:dyDescent="0.25">
      <c r="B131" s="4"/>
      <c r="C131" s="1"/>
      <c r="E131" s="4"/>
      <c r="F131" s="4"/>
      <c r="G131" s="4"/>
      <c r="H131" s="4"/>
      <c r="I131" s="4"/>
      <c r="J131" s="4"/>
      <c r="K131" s="4"/>
    </row>
    <row r="132" spans="2:23" x14ac:dyDescent="0.25">
      <c r="B132" s="3"/>
      <c r="C132" s="40"/>
      <c r="E132" s="3"/>
      <c r="F132" s="3"/>
      <c r="G132" s="3"/>
      <c r="H132" s="40"/>
      <c r="I132" s="3"/>
      <c r="J132" s="3"/>
      <c r="K132" s="3"/>
    </row>
    <row r="133" spans="2:23" x14ac:dyDescent="0.25">
      <c r="B133" s="3"/>
      <c r="C133" s="40"/>
      <c r="E133" s="3"/>
      <c r="F133" s="3"/>
      <c r="G133" s="3"/>
      <c r="H133" s="40"/>
      <c r="I133" s="3"/>
      <c r="J133" s="3"/>
      <c r="K133" s="3"/>
    </row>
    <row r="134" spans="2:23" x14ac:dyDescent="0.25">
      <c r="B134" s="3"/>
      <c r="C134" s="40"/>
      <c r="E134" s="3"/>
      <c r="F134" s="3"/>
      <c r="G134" s="40"/>
      <c r="H134" s="40"/>
      <c r="I134" s="3"/>
      <c r="J134" s="3"/>
      <c r="K134" s="3"/>
    </row>
    <row r="135" spans="2:23" x14ac:dyDescent="0.25">
      <c r="B135" s="3"/>
      <c r="C135" s="40"/>
      <c r="E135" s="3"/>
      <c r="F135" s="3"/>
      <c r="G135" s="3"/>
      <c r="H135" s="40"/>
      <c r="I135" s="3"/>
      <c r="J135" s="3"/>
      <c r="K135" s="3"/>
    </row>
    <row r="136" spans="2:23" x14ac:dyDescent="0.25">
      <c r="B136" s="3"/>
      <c r="C136" s="3"/>
    </row>
    <row r="137" spans="2:23" x14ac:dyDescent="0.25">
      <c r="B137" s="3"/>
      <c r="C137" s="3"/>
    </row>
    <row r="138" spans="2:23" x14ac:dyDescent="0.25">
      <c r="B138" s="3"/>
      <c r="C138" s="3"/>
    </row>
    <row r="139" spans="2:23" x14ac:dyDescent="0.25">
      <c r="B139" s="3"/>
      <c r="C139" s="40"/>
    </row>
    <row r="140" spans="2:23" x14ac:dyDescent="0.25">
      <c r="B140" s="3"/>
      <c r="C140" s="3"/>
    </row>
    <row r="141" spans="2:23" x14ac:dyDescent="0.25">
      <c r="B141" s="3"/>
      <c r="C141" s="3"/>
    </row>
    <row r="142" spans="2:23" x14ac:dyDescent="0.25">
      <c r="B142" s="3"/>
      <c r="C142" s="40"/>
    </row>
    <row r="143" spans="2:23" x14ac:dyDescent="0.25">
      <c r="B143" s="3"/>
      <c r="C143" s="40"/>
    </row>
    <row r="144" spans="2:23" x14ac:dyDescent="0.25">
      <c r="B144" s="3"/>
      <c r="C144" s="40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40"/>
    </row>
    <row r="151" spans="2:3" x14ac:dyDescent="0.25">
      <c r="B151" s="3"/>
      <c r="C151" s="40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40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2" spans="2:4" x14ac:dyDescent="0.25">
      <c r="B162" s="1"/>
      <c r="C162" s="4"/>
      <c r="D162" s="4"/>
    </row>
    <row r="163" spans="2:4" x14ac:dyDescent="0.25">
      <c r="C163" s="40"/>
    </row>
    <row r="164" spans="2:4" x14ac:dyDescent="0.25">
      <c r="C164" s="40"/>
    </row>
    <row r="165" spans="2:4" x14ac:dyDescent="0.25">
      <c r="C165" s="40"/>
    </row>
    <row r="166" spans="2:4" x14ac:dyDescent="0.25">
      <c r="C166" s="40"/>
    </row>
    <row r="167" spans="2:4" x14ac:dyDescent="0.25">
      <c r="C167" s="40"/>
    </row>
    <row r="168" spans="2:4" x14ac:dyDescent="0.25">
      <c r="C168" s="40"/>
    </row>
    <row r="169" spans="2:4" x14ac:dyDescent="0.25">
      <c r="B169" s="7"/>
      <c r="C169" s="45"/>
    </row>
    <row r="170" spans="2:4" x14ac:dyDescent="0.25">
      <c r="C170" s="40"/>
    </row>
    <row r="171" spans="2:4" x14ac:dyDescent="0.25">
      <c r="C171" s="40"/>
    </row>
    <row r="172" spans="2:4" x14ac:dyDescent="0.25">
      <c r="B172" s="7"/>
      <c r="C172" s="45"/>
    </row>
    <row r="174" spans="2:4" x14ac:dyDescent="0.25">
      <c r="B174" s="9"/>
    </row>
    <row r="187" spans="1:2" x14ac:dyDescent="0.25">
      <c r="A187" s="8"/>
      <c r="B187" s="9"/>
    </row>
    <row r="188" spans="1:2" x14ac:dyDescent="0.25">
      <c r="A188" s="15"/>
      <c r="B188" s="3"/>
    </row>
    <row r="189" spans="1:2" x14ac:dyDescent="0.25">
      <c r="A189" s="15"/>
      <c r="B189" s="3"/>
    </row>
    <row r="190" spans="1:2" x14ac:dyDescent="0.25">
      <c r="A190" s="15"/>
      <c r="B190" s="3"/>
    </row>
    <row r="191" spans="1:2" x14ac:dyDescent="0.25">
      <c r="A191" s="15"/>
      <c r="B191" s="3"/>
    </row>
    <row r="192" spans="1:2" x14ac:dyDescent="0.25">
      <c r="A192" s="15"/>
      <c r="B192" s="3"/>
    </row>
    <row r="193" spans="1:3" x14ac:dyDescent="0.25">
      <c r="A193" s="15"/>
      <c r="B193" s="3"/>
    </row>
    <row r="194" spans="1:3" x14ac:dyDescent="0.25">
      <c r="A194" s="15"/>
      <c r="B194" s="7"/>
      <c r="C194" s="3"/>
    </row>
    <row r="195" spans="1:3" x14ac:dyDescent="0.25">
      <c r="A195" s="15"/>
    </row>
    <row r="196" spans="1:3" x14ac:dyDescent="0.25">
      <c r="A196" s="15"/>
      <c r="B196" s="1"/>
      <c r="C196" s="4"/>
    </row>
    <row r="197" spans="1:3" x14ac:dyDescent="0.25">
      <c r="A197" s="15"/>
      <c r="C197" s="40"/>
    </row>
    <row r="198" spans="1:3" x14ac:dyDescent="0.25">
      <c r="A198" s="15"/>
      <c r="C198" s="40"/>
    </row>
    <row r="199" spans="1:3" x14ac:dyDescent="0.25">
      <c r="A199" s="15"/>
      <c r="C199" s="40"/>
    </row>
    <row r="200" spans="1:3" x14ac:dyDescent="0.25">
      <c r="A200" s="15"/>
      <c r="C200" s="40"/>
    </row>
    <row r="201" spans="1:3" x14ac:dyDescent="0.25">
      <c r="A201" s="15"/>
      <c r="C201" s="40"/>
    </row>
    <row r="202" spans="1:3" x14ac:dyDescent="0.25">
      <c r="A202" s="15"/>
      <c r="C202" s="40"/>
    </row>
    <row r="203" spans="1:3" x14ac:dyDescent="0.25">
      <c r="A203" s="15"/>
      <c r="C203" s="40"/>
    </row>
    <row r="204" spans="1:3" x14ac:dyDescent="0.25">
      <c r="A204" s="15"/>
      <c r="C204" s="40"/>
    </row>
    <row r="205" spans="1:3" x14ac:dyDescent="0.25">
      <c r="A205" s="15"/>
      <c r="C205" s="40"/>
    </row>
    <row r="206" spans="1:3" x14ac:dyDescent="0.25">
      <c r="A206" s="15"/>
    </row>
    <row r="207" spans="1:3" x14ac:dyDescent="0.25">
      <c r="A207" s="15"/>
    </row>
    <row r="208" spans="1:3" x14ac:dyDescent="0.25">
      <c r="A208" s="15"/>
      <c r="B208" s="3"/>
    </row>
    <row r="209" spans="1:4" x14ac:dyDescent="0.25">
      <c r="A209" s="15"/>
      <c r="B209" s="3"/>
    </row>
    <row r="210" spans="1:4" x14ac:dyDescent="0.25">
      <c r="A210" s="15"/>
      <c r="B210" s="3"/>
    </row>
    <row r="211" spans="1:4" x14ac:dyDescent="0.25">
      <c r="A211" s="15"/>
      <c r="B211" s="3"/>
    </row>
    <row r="212" spans="1:4" x14ac:dyDescent="0.25">
      <c r="A212" s="15"/>
      <c r="B212" s="3"/>
    </row>
    <row r="213" spans="1:4" x14ac:dyDescent="0.25">
      <c r="A213" s="15"/>
      <c r="B213" s="3"/>
    </row>
    <row r="214" spans="1:4" x14ac:dyDescent="0.25">
      <c r="A214" s="15"/>
      <c r="B214" s="3"/>
    </row>
    <row r="215" spans="1:4" x14ac:dyDescent="0.25">
      <c r="A215" s="15"/>
      <c r="B215" s="3"/>
    </row>
    <row r="216" spans="1:4" x14ac:dyDescent="0.25">
      <c r="A216" s="15"/>
      <c r="B216" s="3"/>
    </row>
    <row r="217" spans="1:4" x14ac:dyDescent="0.25">
      <c r="A217" s="15"/>
      <c r="B217" s="3"/>
    </row>
    <row r="218" spans="1:4" x14ac:dyDescent="0.25">
      <c r="A218" s="15"/>
      <c r="B218" s="3"/>
    </row>
    <row r="221" spans="1:4" x14ac:dyDescent="0.25">
      <c r="B221" s="9"/>
    </row>
    <row r="223" spans="1:4" x14ac:dyDescent="0.25">
      <c r="B223" s="1"/>
      <c r="C223" s="4"/>
      <c r="D223" s="4"/>
    </row>
    <row r="224" spans="1:4" x14ac:dyDescent="0.25">
      <c r="C224" s="40"/>
    </row>
    <row r="225" spans="2:3" x14ac:dyDescent="0.25">
      <c r="C225" s="40"/>
    </row>
    <row r="226" spans="2:3" x14ac:dyDescent="0.25">
      <c r="C226" s="40"/>
    </row>
    <row r="227" spans="2:3" x14ac:dyDescent="0.25">
      <c r="C227" s="40"/>
    </row>
    <row r="228" spans="2:3" x14ac:dyDescent="0.25">
      <c r="C228" s="40"/>
    </row>
    <row r="229" spans="2:3" x14ac:dyDescent="0.25">
      <c r="C229" s="40"/>
    </row>
    <row r="230" spans="2:3" x14ac:dyDescent="0.25">
      <c r="B230" s="7"/>
      <c r="C230" s="45"/>
    </row>
    <row r="231" spans="2:3" x14ac:dyDescent="0.25">
      <c r="C231" s="40"/>
    </row>
    <row r="232" spans="2:3" x14ac:dyDescent="0.25">
      <c r="C232" s="40"/>
    </row>
    <row r="233" spans="2:3" x14ac:dyDescent="0.25">
      <c r="B233" s="7"/>
      <c r="C233" s="45"/>
    </row>
    <row r="235" spans="2:3" x14ac:dyDescent="0.25">
      <c r="B235" s="9"/>
    </row>
    <row r="247" spans="1:3" x14ac:dyDescent="0.25">
      <c r="A247" s="8"/>
      <c r="B247" s="9"/>
    </row>
    <row r="248" spans="1:3" x14ac:dyDescent="0.25">
      <c r="A248" s="15"/>
      <c r="B248" s="3"/>
    </row>
    <row r="249" spans="1:3" x14ac:dyDescent="0.25">
      <c r="A249" s="15"/>
      <c r="B249" s="3"/>
    </row>
    <row r="250" spans="1:3" x14ac:dyDescent="0.25">
      <c r="A250" s="15"/>
      <c r="B250" s="3"/>
    </row>
    <row r="251" spans="1:3" x14ac:dyDescent="0.25">
      <c r="A251" s="15"/>
      <c r="B251" s="3"/>
    </row>
    <row r="252" spans="1:3" x14ac:dyDescent="0.25">
      <c r="A252" s="15"/>
      <c r="B252" s="3"/>
    </row>
    <row r="253" spans="1:3" x14ac:dyDescent="0.25">
      <c r="A253" s="15"/>
      <c r="B253" s="3"/>
    </row>
    <row r="254" spans="1:3" x14ac:dyDescent="0.25">
      <c r="A254" s="15"/>
      <c r="B254" s="3"/>
    </row>
    <row r="255" spans="1:3" x14ac:dyDescent="0.25">
      <c r="A255" s="15"/>
      <c r="B255" s="7"/>
      <c r="C255" s="3"/>
    </row>
    <row r="256" spans="1:3" x14ac:dyDescent="0.25">
      <c r="A256" s="15"/>
    </row>
    <row r="257" spans="1:3" x14ac:dyDescent="0.25">
      <c r="A257" s="15"/>
      <c r="B257" s="1"/>
      <c r="C257" s="4"/>
    </row>
    <row r="258" spans="1:3" x14ac:dyDescent="0.25">
      <c r="A258" s="15"/>
      <c r="C258" s="40"/>
    </row>
    <row r="259" spans="1:3" x14ac:dyDescent="0.25">
      <c r="A259" s="15"/>
      <c r="C259" s="40"/>
    </row>
    <row r="260" spans="1:3" x14ac:dyDescent="0.25">
      <c r="A260" s="15"/>
      <c r="C260" s="40"/>
    </row>
    <row r="261" spans="1:3" x14ac:dyDescent="0.25">
      <c r="A261" s="15"/>
      <c r="C261" s="40"/>
    </row>
    <row r="262" spans="1:3" x14ac:dyDescent="0.25">
      <c r="A262" s="15"/>
      <c r="C262" s="40"/>
    </row>
    <row r="263" spans="1:3" x14ac:dyDescent="0.25">
      <c r="A263" s="15"/>
      <c r="C263" s="40"/>
    </row>
    <row r="264" spans="1:3" x14ac:dyDescent="0.25">
      <c r="A264" s="15"/>
      <c r="C264" s="40"/>
    </row>
    <row r="265" spans="1:3" x14ac:dyDescent="0.25">
      <c r="A265" s="15"/>
      <c r="C265" s="40"/>
    </row>
    <row r="266" spans="1:3" x14ac:dyDescent="0.25">
      <c r="A266" s="15"/>
      <c r="C266" s="40"/>
    </row>
    <row r="267" spans="1:3" x14ac:dyDescent="0.25">
      <c r="A267" s="15"/>
    </row>
    <row r="268" spans="1:3" x14ac:dyDescent="0.25">
      <c r="A268" s="15"/>
    </row>
    <row r="269" spans="1:3" x14ac:dyDescent="0.25">
      <c r="A269" s="15"/>
      <c r="B269" s="3"/>
    </row>
    <row r="270" spans="1:3" x14ac:dyDescent="0.25">
      <c r="A270" s="15"/>
      <c r="B270" s="3"/>
    </row>
    <row r="271" spans="1:3" x14ac:dyDescent="0.25">
      <c r="A271" s="15"/>
      <c r="B271" s="3"/>
    </row>
    <row r="272" spans="1:3" x14ac:dyDescent="0.25">
      <c r="A272" s="15"/>
      <c r="B272" s="3"/>
    </row>
    <row r="273" spans="1:4" x14ac:dyDescent="0.25">
      <c r="A273" s="15"/>
      <c r="B273" s="3"/>
    </row>
    <row r="274" spans="1:4" x14ac:dyDescent="0.25">
      <c r="A274" s="15"/>
      <c r="B274" s="3"/>
    </row>
    <row r="275" spans="1:4" x14ac:dyDescent="0.25">
      <c r="A275" s="15"/>
      <c r="B275" s="3"/>
    </row>
    <row r="276" spans="1:4" x14ac:dyDescent="0.25">
      <c r="A276" s="15"/>
      <c r="B276" s="3"/>
    </row>
    <row r="277" spans="1:4" x14ac:dyDescent="0.25">
      <c r="A277" s="15"/>
      <c r="B277" s="3"/>
    </row>
    <row r="278" spans="1:4" x14ac:dyDescent="0.25">
      <c r="A278" s="15"/>
      <c r="B278" s="3"/>
    </row>
    <row r="279" spans="1:4" x14ac:dyDescent="0.25">
      <c r="A279" s="15"/>
      <c r="B279" s="3"/>
    </row>
    <row r="280" spans="1:4" x14ac:dyDescent="0.25">
      <c r="A280" s="15"/>
      <c r="B280" s="3"/>
    </row>
    <row r="283" spans="1:4" x14ac:dyDescent="0.25">
      <c r="B283" s="9"/>
    </row>
    <row r="286" spans="1:4" x14ac:dyDescent="0.25">
      <c r="B286" s="1"/>
      <c r="C286" s="4"/>
      <c r="D286" s="4"/>
    </row>
    <row r="287" spans="1:4" x14ac:dyDescent="0.25">
      <c r="C287" s="40"/>
    </row>
    <row r="288" spans="1:4" x14ac:dyDescent="0.25">
      <c r="C288" s="40"/>
    </row>
    <row r="289" spans="2:3" x14ac:dyDescent="0.25">
      <c r="C289" s="40"/>
    </row>
    <row r="290" spans="2:3" x14ac:dyDescent="0.25">
      <c r="C290" s="40"/>
    </row>
    <row r="291" spans="2:3" x14ac:dyDescent="0.25">
      <c r="C291" s="40"/>
    </row>
    <row r="292" spans="2:3" x14ac:dyDescent="0.25">
      <c r="C292" s="40"/>
    </row>
    <row r="293" spans="2:3" x14ac:dyDescent="0.25">
      <c r="B293" s="7"/>
      <c r="C293" s="45"/>
    </row>
    <row r="294" spans="2:3" x14ac:dyDescent="0.25">
      <c r="C294" s="40"/>
    </row>
    <row r="295" spans="2:3" x14ac:dyDescent="0.25">
      <c r="C295" s="40"/>
    </row>
    <row r="296" spans="2:3" x14ac:dyDescent="0.25">
      <c r="B296" s="7"/>
      <c r="C296" s="45"/>
    </row>
    <row r="298" spans="2:3" x14ac:dyDescent="0.25">
      <c r="B298" s="9"/>
    </row>
    <row r="311" spans="1:3" x14ac:dyDescent="0.25">
      <c r="A311" s="8"/>
      <c r="B311" s="9"/>
    </row>
    <row r="312" spans="1:3" x14ac:dyDescent="0.25">
      <c r="A312" s="15"/>
      <c r="B312" s="3"/>
    </row>
    <row r="313" spans="1:3" x14ac:dyDescent="0.25">
      <c r="A313" s="15"/>
      <c r="B313" s="3"/>
    </row>
    <row r="314" spans="1:3" x14ac:dyDescent="0.25">
      <c r="A314" s="15"/>
      <c r="B314" s="3"/>
    </row>
    <row r="315" spans="1:3" x14ac:dyDescent="0.25">
      <c r="A315" s="15"/>
      <c r="B315" s="3"/>
    </row>
    <row r="316" spans="1:3" x14ac:dyDescent="0.25">
      <c r="A316" s="15"/>
      <c r="B316" s="3"/>
    </row>
    <row r="319" spans="1:3" x14ac:dyDescent="0.25">
      <c r="B319" s="7"/>
      <c r="C319" s="3"/>
    </row>
    <row r="321" spans="2:3" x14ac:dyDescent="0.25">
      <c r="B321" s="1"/>
      <c r="C321" s="4"/>
    </row>
    <row r="322" spans="2:3" x14ac:dyDescent="0.25">
      <c r="C322" s="40"/>
    </row>
    <row r="323" spans="2:3" x14ac:dyDescent="0.25">
      <c r="C323" s="40"/>
    </row>
    <row r="324" spans="2:3" x14ac:dyDescent="0.25">
      <c r="C324" s="40"/>
    </row>
    <row r="325" spans="2:3" x14ac:dyDescent="0.25">
      <c r="C325" s="40"/>
    </row>
    <row r="326" spans="2:3" x14ac:dyDescent="0.25">
      <c r="C326" s="40"/>
    </row>
    <row r="327" spans="2:3" x14ac:dyDescent="0.25">
      <c r="C327" s="40"/>
    </row>
    <row r="328" spans="2:3" x14ac:dyDescent="0.25">
      <c r="C328" s="40"/>
    </row>
    <row r="329" spans="2:3" x14ac:dyDescent="0.25">
      <c r="C329" s="40"/>
    </row>
    <row r="330" spans="2:3" x14ac:dyDescent="0.25">
      <c r="C330" s="40"/>
    </row>
  </sheetData>
  <pageMargins left="0.7" right="0.7" top="0.75" bottom="0.75" header="0.3" footer="0.3"/>
  <pageSetup orientation="portrait" horizontalDpi="1200" verticalDpi="1200" r:id="rId1"/>
  <ignoredErrors>
    <ignoredError sqref="H5" formulaRange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8D8B-CEDA-4D0A-9B02-176FB9D30049}">
  <dimension ref="A1:Q115"/>
  <sheetViews>
    <sheetView showGridLines="0" topLeftCell="A16" workbookViewId="0">
      <selection activeCell="J38" sqref="J38"/>
    </sheetView>
  </sheetViews>
  <sheetFormatPr defaultRowHeight="13.8" x14ac:dyDescent="0.3"/>
  <cols>
    <col min="1" max="1" width="8.88671875" style="60"/>
    <col min="2" max="2" width="8.77734375" style="60" customWidth="1"/>
    <col min="3" max="3" width="7.88671875" style="60" bestFit="1" customWidth="1"/>
    <col min="4" max="4" width="9.33203125" style="60" bestFit="1" customWidth="1"/>
    <col min="5" max="5" width="13.6640625" style="60" bestFit="1" customWidth="1"/>
    <col min="6" max="6" width="10.44140625" style="60" bestFit="1" customWidth="1"/>
    <col min="7" max="7" width="16.33203125" style="60" bestFit="1" customWidth="1"/>
    <col min="8" max="8" width="14.77734375" style="60" bestFit="1" customWidth="1"/>
    <col min="9" max="9" width="16.109375" style="60" bestFit="1" customWidth="1"/>
    <col min="10" max="10" width="16.33203125" style="60" bestFit="1" customWidth="1"/>
    <col min="11" max="11" width="13.44140625" style="60" bestFit="1" customWidth="1"/>
    <col min="12" max="12" width="16.33203125" style="60" bestFit="1" customWidth="1"/>
    <col min="13" max="14" width="13.44140625" style="60" bestFit="1" customWidth="1"/>
    <col min="15" max="15" width="8.5546875" style="60" bestFit="1" customWidth="1"/>
    <col min="16" max="16" width="12.88671875" style="60" bestFit="1" customWidth="1"/>
    <col min="17" max="17" width="17.77734375" style="60" customWidth="1"/>
    <col min="18" max="18" width="20" style="60" bestFit="1" customWidth="1"/>
    <col min="19" max="16384" width="8.88671875" style="60"/>
  </cols>
  <sheetData>
    <row r="1" spans="1:14" ht="14.4" x14ac:dyDescent="0.3">
      <c r="B1" s="2"/>
      <c r="C1" s="40"/>
      <c r="D1" s="2"/>
      <c r="E1" s="2"/>
      <c r="F1" s="40"/>
      <c r="G1" s="2"/>
      <c r="H1" s="2"/>
      <c r="I1" s="2"/>
    </row>
    <row r="2" spans="1:14" ht="14.4" x14ac:dyDescent="0.3">
      <c r="A2" s="65" t="s">
        <v>43</v>
      </c>
      <c r="B2" s="8" t="s">
        <v>44</v>
      </c>
      <c r="C2" s="40"/>
      <c r="D2" s="2"/>
      <c r="E2" s="2"/>
      <c r="F2" s="40"/>
      <c r="G2" s="2"/>
      <c r="H2" s="2"/>
      <c r="I2" s="2"/>
    </row>
    <row r="3" spans="1:14" ht="14.4" x14ac:dyDescent="0.3">
      <c r="A3"/>
      <c r="B3" s="8"/>
      <c r="C3" s="40"/>
      <c r="D3" s="2"/>
      <c r="E3" s="2"/>
      <c r="F3" s="40"/>
      <c r="G3" s="2"/>
      <c r="H3" s="2"/>
      <c r="I3" s="2"/>
    </row>
    <row r="4" spans="1:14" ht="14.4" x14ac:dyDescent="0.3">
      <c r="A4"/>
      <c r="B4" s="8"/>
      <c r="C4" s="40"/>
      <c r="D4" s="2"/>
      <c r="E4" s="2"/>
      <c r="G4" s="8" t="s">
        <v>52</v>
      </c>
      <c r="H4" s="77"/>
      <c r="I4" s="77"/>
      <c r="J4" s="8" t="s">
        <v>0</v>
      </c>
    </row>
    <row r="5" spans="1:14" ht="14.4" x14ac:dyDescent="0.3">
      <c r="A5" s="65" t="s">
        <v>5</v>
      </c>
      <c r="B5" s="2"/>
      <c r="C5" s="2"/>
      <c r="D5" s="2"/>
      <c r="E5" s="2"/>
      <c r="G5" s="66"/>
      <c r="H5" s="66"/>
    </row>
    <row r="6" spans="1:14" ht="14.4" x14ac:dyDescent="0.3">
      <c r="B6" s="2"/>
      <c r="C6" s="2"/>
      <c r="D6" s="2"/>
      <c r="E6" s="4"/>
      <c r="G6" s="9" t="s">
        <v>27</v>
      </c>
      <c r="H6" s="9" t="s">
        <v>29</v>
      </c>
      <c r="J6" s="9" t="s">
        <v>27</v>
      </c>
      <c r="K6" s="9" t="s">
        <v>29</v>
      </c>
      <c r="L6" s="4"/>
      <c r="M6" s="60" t="b">
        <f>G6=J6</f>
        <v>1</v>
      </c>
      <c r="N6" s="60" t="b">
        <f>H6=K6</f>
        <v>1</v>
      </c>
    </row>
    <row r="7" spans="1:14" ht="14.4" x14ac:dyDescent="0.3">
      <c r="B7" s="5"/>
      <c r="C7" s="21"/>
      <c r="D7" s="2"/>
      <c r="E7" s="5"/>
      <c r="G7" s="5">
        <v>2025</v>
      </c>
      <c r="H7" s="40">
        <v>500</v>
      </c>
      <c r="J7" s="5">
        <v>2025</v>
      </c>
      <c r="K7" s="40">
        <v>500</v>
      </c>
      <c r="L7" s="40"/>
      <c r="M7" s="60" t="b">
        <f t="shared" ref="M7:M24" si="0">G7=J7</f>
        <v>1</v>
      </c>
      <c r="N7" s="60" t="b">
        <f t="shared" ref="N7:N24" si="1">H7=K7</f>
        <v>1</v>
      </c>
    </row>
    <row r="8" spans="1:14" ht="14.4" x14ac:dyDescent="0.3">
      <c r="B8" s="5"/>
      <c r="C8" s="21"/>
      <c r="D8" s="2"/>
      <c r="E8" s="5"/>
      <c r="G8" s="5">
        <v>2026</v>
      </c>
      <c r="H8" s="40">
        <v>2650</v>
      </c>
      <c r="J8" s="5">
        <v>2026</v>
      </c>
      <c r="K8" s="40">
        <v>2650</v>
      </c>
      <c r="L8" s="40"/>
      <c r="M8" s="60" t="b">
        <f t="shared" si="0"/>
        <v>1</v>
      </c>
      <c r="N8" s="60" t="b">
        <f t="shared" si="1"/>
        <v>1</v>
      </c>
    </row>
    <row r="9" spans="1:14" ht="14.4" x14ac:dyDescent="0.3">
      <c r="B9" s="5"/>
      <c r="C9" s="21"/>
      <c r="D9" s="2"/>
      <c r="E9" s="5"/>
      <c r="G9" s="5">
        <v>2027</v>
      </c>
      <c r="H9" s="40">
        <v>3367</v>
      </c>
      <c r="J9" s="5">
        <v>2027</v>
      </c>
      <c r="K9" s="40">
        <v>3591</v>
      </c>
      <c r="L9" s="40"/>
      <c r="M9" s="60" t="b">
        <f>G9=J9</f>
        <v>1</v>
      </c>
      <c r="N9" s="70" t="b">
        <f>H9=K9</f>
        <v>0</v>
      </c>
    </row>
    <row r="10" spans="1:14" ht="14.4" x14ac:dyDescent="0.3">
      <c r="B10" s="5"/>
      <c r="C10" s="21"/>
      <c r="D10" s="2"/>
      <c r="E10" s="5"/>
      <c r="G10" s="5">
        <v>2028</v>
      </c>
      <c r="H10" s="40">
        <v>2600</v>
      </c>
      <c r="J10" s="5">
        <v>2028</v>
      </c>
      <c r="K10" s="40">
        <v>2600</v>
      </c>
      <c r="L10" s="40"/>
      <c r="M10" s="60" t="b">
        <f t="shared" si="0"/>
        <v>1</v>
      </c>
      <c r="N10" s="60" t="b">
        <f t="shared" si="1"/>
        <v>1</v>
      </c>
    </row>
    <row r="11" spans="1:14" ht="14.4" x14ac:dyDescent="0.3">
      <c r="B11" s="5"/>
      <c r="C11" s="21"/>
      <c r="D11" s="2"/>
      <c r="E11" s="5"/>
      <c r="G11" s="5">
        <v>2029</v>
      </c>
      <c r="H11" s="40">
        <v>2450</v>
      </c>
      <c r="J11" s="5">
        <v>2029</v>
      </c>
      <c r="K11" s="40">
        <v>1900</v>
      </c>
      <c r="L11" s="40"/>
      <c r="M11" s="60" t="b">
        <f t="shared" si="0"/>
        <v>1</v>
      </c>
      <c r="N11" s="70" t="b">
        <f t="shared" si="1"/>
        <v>0</v>
      </c>
    </row>
    <row r="12" spans="1:14" ht="14.4" x14ac:dyDescent="0.3">
      <c r="B12" s="5"/>
      <c r="C12" s="21"/>
      <c r="D12" s="2"/>
      <c r="E12" s="5"/>
      <c r="G12" s="5">
        <v>2030</v>
      </c>
      <c r="H12" s="40">
        <v>750</v>
      </c>
      <c r="J12" s="5">
        <v>2030</v>
      </c>
      <c r="K12" s="40">
        <v>1300</v>
      </c>
      <c r="L12" s="40"/>
      <c r="M12" s="60" t="b">
        <f t="shared" si="0"/>
        <v>1</v>
      </c>
      <c r="N12" s="70" t="b">
        <f t="shared" si="1"/>
        <v>0</v>
      </c>
    </row>
    <row r="13" spans="1:14" ht="14.4" x14ac:dyDescent="0.3">
      <c r="B13" s="5"/>
      <c r="C13" s="21"/>
      <c r="D13" s="2"/>
      <c r="E13" s="5"/>
      <c r="G13" s="5">
        <v>2031</v>
      </c>
      <c r="H13" s="40">
        <v>2850</v>
      </c>
      <c r="J13" s="5">
        <v>2031</v>
      </c>
      <c r="K13" s="40">
        <v>2850</v>
      </c>
      <c r="L13" s="40"/>
      <c r="M13" s="60" t="b">
        <f t="shared" si="0"/>
        <v>1</v>
      </c>
      <c r="N13" s="60" t="b">
        <f t="shared" si="1"/>
        <v>1</v>
      </c>
    </row>
    <row r="14" spans="1:14" ht="14.4" x14ac:dyDescent="0.3">
      <c r="B14" s="5"/>
      <c r="C14" s="21"/>
      <c r="D14" s="2"/>
      <c r="E14" s="5"/>
      <c r="G14" s="5">
        <v>2033</v>
      </c>
      <c r="H14" s="40">
        <v>750</v>
      </c>
      <c r="J14" s="5">
        <v>2033</v>
      </c>
      <c r="K14" s="40">
        <v>750</v>
      </c>
      <c r="L14" s="40"/>
      <c r="M14" s="60" t="b">
        <f t="shared" si="0"/>
        <v>1</v>
      </c>
      <c r="N14" s="60" t="b">
        <f t="shared" si="1"/>
        <v>1</v>
      </c>
    </row>
    <row r="15" spans="1:14" ht="14.4" x14ac:dyDescent="0.3">
      <c r="B15" s="2"/>
      <c r="C15" s="2"/>
      <c r="D15" s="2"/>
      <c r="E15" s="2"/>
      <c r="G15" s="5">
        <v>2034</v>
      </c>
      <c r="H15" s="40">
        <v>1450</v>
      </c>
      <c r="J15" s="5">
        <v>2034</v>
      </c>
      <c r="K15" s="40">
        <v>1450</v>
      </c>
      <c r="L15" s="40"/>
      <c r="M15" s="60" t="b">
        <f t="shared" si="0"/>
        <v>1</v>
      </c>
      <c r="N15" s="60" t="b">
        <f t="shared" si="1"/>
        <v>1</v>
      </c>
    </row>
    <row r="16" spans="1:14" ht="14.4" x14ac:dyDescent="0.3">
      <c r="B16" s="2"/>
      <c r="C16" s="2"/>
      <c r="D16" s="2"/>
      <c r="E16" s="17"/>
      <c r="G16" s="5">
        <v>2041</v>
      </c>
      <c r="H16" s="40">
        <v>1250</v>
      </c>
      <c r="J16" s="5">
        <v>2041</v>
      </c>
      <c r="K16" s="40">
        <v>1250</v>
      </c>
      <c r="L16" s="40"/>
      <c r="M16" s="60" t="b">
        <f t="shared" si="0"/>
        <v>1</v>
      </c>
      <c r="N16" s="60" t="b">
        <f t="shared" si="1"/>
        <v>1</v>
      </c>
    </row>
    <row r="17" spans="1:17" ht="14.4" x14ac:dyDescent="0.3">
      <c r="G17" s="5">
        <v>2047</v>
      </c>
      <c r="H17" s="40">
        <v>350</v>
      </c>
      <c r="J17" s="5">
        <v>2047</v>
      </c>
      <c r="K17" s="40">
        <v>350</v>
      </c>
      <c r="L17" s="45"/>
      <c r="M17" s="60" t="b">
        <f t="shared" si="0"/>
        <v>1</v>
      </c>
      <c r="N17" s="60" t="b">
        <f t="shared" si="1"/>
        <v>1</v>
      </c>
    </row>
    <row r="18" spans="1:17" ht="14.4" x14ac:dyDescent="0.3">
      <c r="G18" s="5">
        <v>2049</v>
      </c>
      <c r="H18" s="40">
        <v>750</v>
      </c>
      <c r="J18" s="5">
        <v>2049</v>
      </c>
      <c r="K18" s="40">
        <v>750</v>
      </c>
      <c r="M18" s="60" t="b">
        <f t="shared" si="0"/>
        <v>1</v>
      </c>
      <c r="N18" s="60" t="b">
        <f t="shared" si="1"/>
        <v>1</v>
      </c>
    </row>
    <row r="19" spans="1:17" ht="14.4" x14ac:dyDescent="0.3">
      <c r="G19" s="5">
        <v>2050</v>
      </c>
      <c r="H19" s="40">
        <v>500</v>
      </c>
      <c r="J19" s="5">
        <v>2050</v>
      </c>
      <c r="K19" s="40">
        <v>500</v>
      </c>
      <c r="M19" s="60" t="b">
        <f t="shared" si="0"/>
        <v>1</v>
      </c>
      <c r="N19" s="60" t="b">
        <f t="shared" si="1"/>
        <v>1</v>
      </c>
    </row>
    <row r="20" spans="1:17" ht="14.4" x14ac:dyDescent="0.3">
      <c r="G20" s="5">
        <v>2051</v>
      </c>
      <c r="H20" s="40">
        <v>900</v>
      </c>
      <c r="J20" s="5">
        <v>2051</v>
      </c>
      <c r="K20" s="40">
        <v>900</v>
      </c>
      <c r="M20" s="60" t="b">
        <f t="shared" si="0"/>
        <v>1</v>
      </c>
      <c r="N20" s="60" t="b">
        <f t="shared" si="1"/>
        <v>1</v>
      </c>
    </row>
    <row r="21" spans="1:17" ht="14.4" x14ac:dyDescent="0.3">
      <c r="G21" s="5" t="s">
        <v>26</v>
      </c>
      <c r="H21" s="40">
        <v>1341</v>
      </c>
      <c r="J21" s="5" t="s">
        <v>26</v>
      </c>
      <c r="K21" s="40">
        <v>1341</v>
      </c>
      <c r="M21" s="60" t="b">
        <f t="shared" si="0"/>
        <v>1</v>
      </c>
      <c r="N21" s="60" t="b">
        <f t="shared" si="1"/>
        <v>1</v>
      </c>
    </row>
    <row r="22" spans="1:17" ht="14.4" x14ac:dyDescent="0.3">
      <c r="G22" s="77" t="s">
        <v>70</v>
      </c>
      <c r="H22" s="40">
        <f>SUM(H7:H21)</f>
        <v>22458</v>
      </c>
      <c r="J22" s="77" t="s">
        <v>70</v>
      </c>
      <c r="K22" s="40">
        <v>22458</v>
      </c>
      <c r="M22" s="60" t="b">
        <f t="shared" si="0"/>
        <v>1</v>
      </c>
      <c r="N22" s="60" t="b">
        <f t="shared" si="1"/>
        <v>1</v>
      </c>
    </row>
    <row r="23" spans="1:17" ht="14.4" x14ac:dyDescent="0.3">
      <c r="G23" s="77" t="s">
        <v>71</v>
      </c>
      <c r="H23" s="40">
        <v>1782</v>
      </c>
      <c r="J23" s="77" t="s">
        <v>71</v>
      </c>
      <c r="K23" s="40">
        <v>1782</v>
      </c>
      <c r="M23" s="60" t="b">
        <f t="shared" si="0"/>
        <v>1</v>
      </c>
      <c r="N23" s="60" t="b">
        <f t="shared" si="1"/>
        <v>1</v>
      </c>
    </row>
    <row r="24" spans="1:17" ht="14.4" x14ac:dyDescent="0.3">
      <c r="G24" s="2" t="s">
        <v>37</v>
      </c>
      <c r="H24" s="40">
        <f>SUM(H22:H23)</f>
        <v>24240</v>
      </c>
      <c r="J24" s="2" t="s">
        <v>37</v>
      </c>
      <c r="K24" s="40">
        <v>24240</v>
      </c>
      <c r="M24" s="60" t="b">
        <f t="shared" si="0"/>
        <v>1</v>
      </c>
      <c r="N24" s="60" t="b">
        <f t="shared" si="1"/>
        <v>1</v>
      </c>
    </row>
    <row r="25" spans="1:17" ht="14.4" x14ac:dyDescent="0.3">
      <c r="G25" s="3"/>
      <c r="H25" s="40"/>
    </row>
    <row r="26" spans="1:17" ht="14.4" x14ac:dyDescent="0.3">
      <c r="G26" s="78" t="s">
        <v>2</v>
      </c>
      <c r="H26" s="13">
        <f>35/38</f>
        <v>0.92105263157894735</v>
      </c>
    </row>
    <row r="27" spans="1:17" ht="14.4" x14ac:dyDescent="0.3">
      <c r="A27"/>
      <c r="B27" s="8"/>
      <c r="C27" s="40"/>
      <c r="D27" s="2"/>
      <c r="E27" s="2"/>
      <c r="G27" s="2"/>
    </row>
    <row r="28" spans="1:17" ht="14.4" x14ac:dyDescent="0.3">
      <c r="B28" s="2"/>
      <c r="C28" s="40"/>
      <c r="D28" s="2"/>
      <c r="E28" s="2"/>
      <c r="G28" s="8" t="s">
        <v>52</v>
      </c>
      <c r="H28" s="66"/>
      <c r="J28" s="8" t="s">
        <v>0</v>
      </c>
    </row>
    <row r="29" spans="1:17" ht="14.4" x14ac:dyDescent="0.3">
      <c r="A29" s="65" t="s">
        <v>4</v>
      </c>
      <c r="B29" s="2"/>
      <c r="C29" s="2"/>
      <c r="D29" s="2"/>
      <c r="E29" s="2"/>
      <c r="G29" s="66"/>
      <c r="H29" s="66"/>
    </row>
    <row r="30" spans="1:17" ht="14.4" x14ac:dyDescent="0.3">
      <c r="B30" s="2"/>
      <c r="C30" s="2"/>
      <c r="D30" s="2"/>
      <c r="E30" s="4"/>
      <c r="G30" s="9" t="s">
        <v>27</v>
      </c>
      <c r="H30" s="4" t="s">
        <v>29</v>
      </c>
      <c r="J30" s="9" t="s">
        <v>27</v>
      </c>
      <c r="K30" s="4" t="s">
        <v>29</v>
      </c>
      <c r="L30" s="4"/>
      <c r="M30" s="60" t="b">
        <f>G30=J30</f>
        <v>1</v>
      </c>
      <c r="N30" s="60" t="b">
        <f>H30=K30</f>
        <v>1</v>
      </c>
      <c r="Q30"/>
    </row>
    <row r="31" spans="1:17" ht="14.4" x14ac:dyDescent="0.3">
      <c r="B31" s="5"/>
      <c r="C31" s="21"/>
      <c r="D31" s="2"/>
      <c r="E31" s="5"/>
      <c r="G31" s="5">
        <v>2025</v>
      </c>
      <c r="H31" s="40">
        <v>500</v>
      </c>
      <c r="J31" s="5">
        <v>2025</v>
      </c>
      <c r="K31" s="40">
        <v>500</v>
      </c>
      <c r="L31" s="40"/>
      <c r="M31" s="60" t="b">
        <f t="shared" ref="M31:M48" si="2">G31=J31</f>
        <v>1</v>
      </c>
      <c r="N31" s="60" t="b">
        <f t="shared" ref="N31:N48" si="3">H31=K31</f>
        <v>1</v>
      </c>
      <c r="Q31"/>
    </row>
    <row r="32" spans="1:17" ht="14.4" x14ac:dyDescent="0.3">
      <c r="B32" s="5"/>
      <c r="C32" s="21"/>
      <c r="D32" s="2"/>
      <c r="E32" s="5"/>
      <c r="G32" s="5">
        <v>2026</v>
      </c>
      <c r="H32" s="40">
        <v>2650</v>
      </c>
      <c r="J32" s="5">
        <v>2026</v>
      </c>
      <c r="K32" s="40">
        <v>2650</v>
      </c>
      <c r="L32" s="40"/>
      <c r="M32" s="60" t="b">
        <f t="shared" si="2"/>
        <v>1</v>
      </c>
      <c r="N32" s="60" t="b">
        <f t="shared" si="3"/>
        <v>1</v>
      </c>
      <c r="Q32"/>
    </row>
    <row r="33" spans="2:17" ht="14.4" x14ac:dyDescent="0.3">
      <c r="B33" s="5"/>
      <c r="C33" s="21"/>
      <c r="D33" s="2"/>
      <c r="E33" s="5"/>
      <c r="G33" s="5">
        <v>2027</v>
      </c>
      <c r="H33" s="40">
        <v>3382</v>
      </c>
      <c r="J33" s="5">
        <v>2027</v>
      </c>
      <c r="K33" s="40">
        <v>1500</v>
      </c>
      <c r="L33" s="40"/>
      <c r="M33" s="60" t="b">
        <f t="shared" si="2"/>
        <v>1</v>
      </c>
      <c r="N33" s="70" t="b">
        <f t="shared" si="3"/>
        <v>0</v>
      </c>
      <c r="Q33"/>
    </row>
    <row r="34" spans="2:17" ht="14.4" x14ac:dyDescent="0.3">
      <c r="B34" s="5"/>
      <c r="C34" s="21"/>
      <c r="D34" s="2"/>
      <c r="E34" s="5"/>
      <c r="G34" s="5">
        <v>2028</v>
      </c>
      <c r="H34" s="40">
        <v>2600</v>
      </c>
      <c r="J34" s="5">
        <v>2028</v>
      </c>
      <c r="K34" s="40">
        <v>2350</v>
      </c>
      <c r="L34" s="40"/>
      <c r="M34" s="60" t="b">
        <f t="shared" si="2"/>
        <v>1</v>
      </c>
      <c r="N34" s="70" t="b">
        <f t="shared" si="3"/>
        <v>0</v>
      </c>
      <c r="Q34"/>
    </row>
    <row r="35" spans="2:17" ht="14.4" x14ac:dyDescent="0.3">
      <c r="B35" s="5"/>
      <c r="C35" s="21"/>
      <c r="D35" s="2"/>
      <c r="E35" s="5"/>
      <c r="G35" s="5">
        <v>2029</v>
      </c>
      <c r="H35" s="40">
        <v>2450</v>
      </c>
      <c r="J35" s="5">
        <v>2029</v>
      </c>
      <c r="K35" s="40">
        <v>1100</v>
      </c>
      <c r="L35" s="40"/>
      <c r="M35" s="60" t="b">
        <f t="shared" si="2"/>
        <v>1</v>
      </c>
      <c r="N35" s="70" t="b">
        <f t="shared" si="3"/>
        <v>0</v>
      </c>
      <c r="Q35"/>
    </row>
    <row r="36" spans="2:17" ht="14.4" x14ac:dyDescent="0.3">
      <c r="B36" s="5"/>
      <c r="C36" s="21"/>
      <c r="D36" s="2"/>
      <c r="E36" s="5"/>
      <c r="G36" s="5">
        <v>2030</v>
      </c>
      <c r="H36" s="40">
        <v>750</v>
      </c>
      <c r="J36" s="5">
        <v>2030</v>
      </c>
      <c r="K36" s="40">
        <v>750</v>
      </c>
      <c r="L36" s="40"/>
      <c r="M36" s="60" t="b">
        <f t="shared" si="2"/>
        <v>1</v>
      </c>
      <c r="N36" s="60" t="b">
        <f t="shared" si="3"/>
        <v>1</v>
      </c>
      <c r="Q36"/>
    </row>
    <row r="37" spans="2:17" ht="14.4" x14ac:dyDescent="0.3">
      <c r="B37" s="5"/>
      <c r="C37" s="21"/>
      <c r="D37" s="2"/>
      <c r="E37" s="5"/>
      <c r="G37" s="5">
        <v>2031</v>
      </c>
      <c r="H37" s="40">
        <v>2850</v>
      </c>
      <c r="J37" s="5">
        <v>2031</v>
      </c>
      <c r="K37" s="40">
        <v>2850</v>
      </c>
      <c r="L37" s="40"/>
      <c r="M37" s="60" t="b">
        <f t="shared" si="2"/>
        <v>1</v>
      </c>
      <c r="N37" s="60" t="b">
        <f t="shared" si="3"/>
        <v>1</v>
      </c>
      <c r="Q37"/>
    </row>
    <row r="38" spans="2:17" ht="14.4" x14ac:dyDescent="0.3">
      <c r="B38" s="2"/>
      <c r="C38" s="2"/>
      <c r="D38" s="2"/>
      <c r="E38" s="2"/>
      <c r="G38" s="5">
        <v>2033</v>
      </c>
      <c r="H38" s="40">
        <v>750</v>
      </c>
      <c r="J38" s="5">
        <v>2032</v>
      </c>
      <c r="K38" s="40"/>
      <c r="L38" s="40"/>
      <c r="M38" s="70" t="b">
        <f t="shared" si="2"/>
        <v>0</v>
      </c>
      <c r="N38" s="70" t="b">
        <f t="shared" si="3"/>
        <v>0</v>
      </c>
      <c r="Q38"/>
    </row>
    <row r="39" spans="2:17" ht="14.4" x14ac:dyDescent="0.3">
      <c r="B39" s="2"/>
      <c r="C39" s="2"/>
      <c r="D39" s="2"/>
      <c r="E39" s="17"/>
      <c r="G39" s="5">
        <v>2034</v>
      </c>
      <c r="H39" s="40">
        <v>1450</v>
      </c>
      <c r="J39" s="5">
        <v>2034</v>
      </c>
      <c r="K39" s="40">
        <v>750</v>
      </c>
      <c r="L39" s="40"/>
      <c r="M39" s="60" t="b">
        <f t="shared" si="2"/>
        <v>1</v>
      </c>
      <c r="N39" s="70" t="b">
        <f t="shared" si="3"/>
        <v>0</v>
      </c>
      <c r="Q39"/>
    </row>
    <row r="40" spans="2:17" ht="14.4" x14ac:dyDescent="0.3">
      <c r="G40" s="5">
        <v>2041</v>
      </c>
      <c r="H40" s="40">
        <v>1250</v>
      </c>
      <c r="J40" s="5">
        <v>2040</v>
      </c>
      <c r="K40" s="40"/>
      <c r="L40" s="45"/>
      <c r="M40" s="70" t="b">
        <f t="shared" si="2"/>
        <v>0</v>
      </c>
      <c r="N40" s="70" t="b">
        <f t="shared" si="3"/>
        <v>0</v>
      </c>
      <c r="Q40"/>
    </row>
    <row r="41" spans="2:17" ht="14.4" x14ac:dyDescent="0.3">
      <c r="G41" s="5">
        <v>2047</v>
      </c>
      <c r="H41" s="40">
        <v>350</v>
      </c>
      <c r="J41" s="5">
        <v>2047</v>
      </c>
      <c r="K41" s="40">
        <v>350</v>
      </c>
      <c r="M41" s="60" t="b">
        <f t="shared" si="2"/>
        <v>1</v>
      </c>
      <c r="N41" s="60" t="b">
        <f t="shared" si="3"/>
        <v>1</v>
      </c>
      <c r="Q41"/>
    </row>
    <row r="42" spans="2:17" ht="14.4" x14ac:dyDescent="0.3">
      <c r="G42" s="5">
        <v>2049</v>
      </c>
      <c r="H42" s="40">
        <v>750</v>
      </c>
      <c r="J42" s="5">
        <v>2049</v>
      </c>
      <c r="K42" s="40">
        <v>1250</v>
      </c>
      <c r="M42" s="60" t="b">
        <f t="shared" si="2"/>
        <v>1</v>
      </c>
      <c r="N42" s="70" t="b">
        <f t="shared" si="3"/>
        <v>0</v>
      </c>
      <c r="Q42"/>
    </row>
    <row r="43" spans="2:17" ht="14.4" x14ac:dyDescent="0.3">
      <c r="G43" s="5">
        <v>2050</v>
      </c>
      <c r="H43" s="40">
        <v>500</v>
      </c>
      <c r="J43" s="5">
        <v>2050</v>
      </c>
      <c r="K43" s="40"/>
      <c r="M43" s="60" t="b">
        <f t="shared" si="2"/>
        <v>1</v>
      </c>
      <c r="N43" s="70" t="b">
        <f t="shared" si="3"/>
        <v>0</v>
      </c>
      <c r="Q43"/>
    </row>
    <row r="44" spans="2:17" ht="14.4" x14ac:dyDescent="0.3">
      <c r="G44" s="5">
        <v>2051</v>
      </c>
      <c r="H44" s="40">
        <v>900</v>
      </c>
      <c r="J44" s="5">
        <v>2051</v>
      </c>
      <c r="K44" s="40">
        <v>900</v>
      </c>
      <c r="M44" s="60" t="b">
        <f t="shared" si="2"/>
        <v>1</v>
      </c>
      <c r="N44" s="60" t="b">
        <f t="shared" si="3"/>
        <v>1</v>
      </c>
      <c r="Q44"/>
    </row>
    <row r="45" spans="2:17" ht="14.4" x14ac:dyDescent="0.3">
      <c r="G45" s="5" t="s">
        <v>26</v>
      </c>
      <c r="H45" s="40">
        <v>1312</v>
      </c>
      <c r="J45" s="5" t="s">
        <v>26</v>
      </c>
      <c r="K45" s="40">
        <v>1312</v>
      </c>
      <c r="M45" s="60" t="b">
        <f t="shared" si="2"/>
        <v>1</v>
      </c>
      <c r="N45" s="60" t="b">
        <f t="shared" si="3"/>
        <v>1</v>
      </c>
      <c r="Q45"/>
    </row>
    <row r="46" spans="2:17" ht="14.4" x14ac:dyDescent="0.3">
      <c r="G46" s="77" t="s">
        <v>70</v>
      </c>
      <c r="H46" s="40">
        <f>SUM(H31:H45)</f>
        <v>22444</v>
      </c>
      <c r="J46" s="5" t="s">
        <v>70</v>
      </c>
      <c r="K46" s="40">
        <v>22444</v>
      </c>
      <c r="M46" s="60" t="b">
        <f t="shared" si="2"/>
        <v>1</v>
      </c>
      <c r="N46" s="60" t="b">
        <f t="shared" si="3"/>
        <v>1</v>
      </c>
      <c r="Q46"/>
    </row>
    <row r="47" spans="2:17" ht="14.4" x14ac:dyDescent="0.3">
      <c r="G47" s="77" t="s">
        <v>71</v>
      </c>
      <c r="H47" s="40">
        <v>1785</v>
      </c>
      <c r="J47" s="5" t="s">
        <v>71</v>
      </c>
      <c r="K47" s="40">
        <v>1785</v>
      </c>
      <c r="M47" s="60" t="b">
        <f t="shared" si="2"/>
        <v>1</v>
      </c>
      <c r="N47" s="60" t="b">
        <f t="shared" si="3"/>
        <v>1</v>
      </c>
      <c r="Q47"/>
    </row>
    <row r="48" spans="2:17" ht="14.4" x14ac:dyDescent="0.3">
      <c r="G48" s="2" t="s">
        <v>37</v>
      </c>
      <c r="H48" s="40">
        <f>SUM(H46:H47)</f>
        <v>24229</v>
      </c>
      <c r="J48" s="5" t="s">
        <v>37</v>
      </c>
      <c r="K48" s="40">
        <v>24229</v>
      </c>
      <c r="M48" s="60" t="b">
        <f t="shared" si="2"/>
        <v>1</v>
      </c>
      <c r="N48" s="60" t="b">
        <f t="shared" si="3"/>
        <v>1</v>
      </c>
      <c r="Q48"/>
    </row>
    <row r="49" spans="1:17" ht="14.4" x14ac:dyDescent="0.3">
      <c r="Q49"/>
    </row>
    <row r="50" spans="1:17" ht="14.4" x14ac:dyDescent="0.3">
      <c r="G50" s="78" t="s">
        <v>2</v>
      </c>
      <c r="H50" s="13">
        <f>(28)/38</f>
        <v>0.73684210526315785</v>
      </c>
      <c r="J50" s="3"/>
      <c r="K50" s="40"/>
      <c r="N50"/>
      <c r="Q50"/>
    </row>
    <row r="51" spans="1:17" x14ac:dyDescent="0.3">
      <c r="G51" s="64"/>
    </row>
    <row r="53" spans="1:17" ht="14.4" x14ac:dyDescent="0.3">
      <c r="G53" s="8" t="s">
        <v>52</v>
      </c>
      <c r="H53" s="77"/>
      <c r="I53" s="77"/>
      <c r="J53" s="8" t="s">
        <v>0</v>
      </c>
    </row>
    <row r="54" spans="1:17" ht="14.4" x14ac:dyDescent="0.3">
      <c r="A54" s="65" t="s">
        <v>6</v>
      </c>
      <c r="B54" s="2"/>
      <c r="C54" s="2"/>
      <c r="D54" s="2"/>
      <c r="E54" s="2"/>
      <c r="G54" s="66"/>
      <c r="H54" s="66"/>
    </row>
    <row r="55" spans="1:17" ht="14.4" x14ac:dyDescent="0.3">
      <c r="B55" s="2"/>
      <c r="C55" s="2"/>
      <c r="D55" s="2"/>
      <c r="E55" s="4"/>
      <c r="G55" s="4"/>
      <c r="H55" s="4"/>
      <c r="J55" s="4"/>
      <c r="K55" s="4"/>
      <c r="L55" s="4"/>
    </row>
    <row r="56" spans="1:17" ht="14.4" x14ac:dyDescent="0.3">
      <c r="B56" s="2"/>
      <c r="C56" s="43"/>
      <c r="D56" s="2"/>
      <c r="E56" s="2"/>
      <c r="G56" s="9" t="s">
        <v>27</v>
      </c>
      <c r="H56" s="9" t="s">
        <v>29</v>
      </c>
      <c r="J56" s="9" t="s">
        <v>27</v>
      </c>
      <c r="K56" s="9" t="s">
        <v>29</v>
      </c>
      <c r="L56" s="40"/>
      <c r="M56" s="60" t="b">
        <f>G56=J56</f>
        <v>1</v>
      </c>
      <c r="N56" s="60" t="b">
        <f>H56=K56</f>
        <v>1</v>
      </c>
    </row>
    <row r="57" spans="1:17" ht="14.4" x14ac:dyDescent="0.3">
      <c r="B57" s="5"/>
      <c r="C57" s="21"/>
      <c r="D57" s="2"/>
      <c r="E57" s="5"/>
      <c r="G57" s="5">
        <v>2024</v>
      </c>
      <c r="H57" s="40">
        <v>750</v>
      </c>
      <c r="J57" s="5">
        <v>2024</v>
      </c>
      <c r="K57" s="40">
        <v>750</v>
      </c>
      <c r="L57" s="40"/>
      <c r="M57" s="60" t="b">
        <f t="shared" ref="M57:M75" si="4">G57=J57</f>
        <v>1</v>
      </c>
      <c r="N57" s="60" t="b">
        <f t="shared" ref="N57:N75" si="5">H57=K57</f>
        <v>1</v>
      </c>
    </row>
    <row r="58" spans="1:17" ht="14.4" x14ac:dyDescent="0.3">
      <c r="B58" s="5"/>
      <c r="C58" s="21"/>
      <c r="D58" s="2"/>
      <c r="E58" s="5"/>
      <c r="G58" s="5">
        <v>2025</v>
      </c>
      <c r="H58" s="40">
        <v>500</v>
      </c>
      <c r="J58" s="5">
        <v>2025</v>
      </c>
      <c r="K58" s="40">
        <v>500</v>
      </c>
      <c r="L58" s="40"/>
      <c r="M58" s="60" t="b">
        <f t="shared" si="4"/>
        <v>1</v>
      </c>
      <c r="N58" s="60" t="b">
        <f t="shared" si="5"/>
        <v>1</v>
      </c>
    </row>
    <row r="59" spans="1:17" ht="14.4" x14ac:dyDescent="0.3">
      <c r="B59" s="5"/>
      <c r="C59" s="21"/>
      <c r="D59" s="2"/>
      <c r="E59" s="5"/>
      <c r="G59" s="5">
        <v>2026</v>
      </c>
      <c r="H59" s="40">
        <v>2650</v>
      </c>
      <c r="J59" s="5">
        <v>2026</v>
      </c>
      <c r="K59" s="40">
        <v>2400</v>
      </c>
      <c r="L59" s="40"/>
      <c r="M59" s="60" t="b">
        <f t="shared" si="4"/>
        <v>1</v>
      </c>
      <c r="N59" s="70" t="b">
        <f t="shared" si="5"/>
        <v>0</v>
      </c>
    </row>
    <row r="60" spans="1:17" ht="14.4" x14ac:dyDescent="0.3">
      <c r="B60" s="5"/>
      <c r="C60" s="21"/>
      <c r="D60" s="2"/>
      <c r="E60" s="5"/>
      <c r="G60" s="5">
        <v>2027</v>
      </c>
      <c r="H60" s="40">
        <v>3405</v>
      </c>
      <c r="J60" s="5">
        <v>2027</v>
      </c>
      <c r="K60" s="40">
        <v>1000</v>
      </c>
      <c r="L60" s="40"/>
      <c r="M60" s="60" t="b">
        <f>G60=J60</f>
        <v>1</v>
      </c>
      <c r="N60" s="70" t="b">
        <f>H60=K60</f>
        <v>0</v>
      </c>
    </row>
    <row r="61" spans="1:17" ht="14.4" x14ac:dyDescent="0.3">
      <c r="B61" s="5"/>
      <c r="C61" s="21"/>
      <c r="D61" s="2"/>
      <c r="E61" s="5"/>
      <c r="G61" s="5">
        <v>2028</v>
      </c>
      <c r="H61" s="40">
        <v>2600</v>
      </c>
      <c r="J61" s="5">
        <v>2028</v>
      </c>
      <c r="K61" s="40">
        <v>3000</v>
      </c>
      <c r="L61" s="40"/>
      <c r="M61" s="60" t="b">
        <f t="shared" si="4"/>
        <v>1</v>
      </c>
      <c r="N61" s="70" t="b">
        <f t="shared" si="5"/>
        <v>0</v>
      </c>
    </row>
    <row r="62" spans="1:17" ht="14.4" x14ac:dyDescent="0.3">
      <c r="B62" s="5"/>
      <c r="C62" s="21"/>
      <c r="D62" s="2"/>
      <c r="E62" s="5"/>
      <c r="G62" s="5">
        <v>2029</v>
      </c>
      <c r="H62" s="40">
        <v>1900</v>
      </c>
      <c r="J62" s="5">
        <v>2029</v>
      </c>
      <c r="K62" s="40">
        <v>1350</v>
      </c>
      <c r="L62" s="40"/>
      <c r="M62" s="60" t="b">
        <f t="shared" si="4"/>
        <v>1</v>
      </c>
      <c r="N62" s="70" t="b">
        <f t="shared" si="5"/>
        <v>0</v>
      </c>
    </row>
    <row r="63" spans="1:17" ht="14.4" x14ac:dyDescent="0.3">
      <c r="B63" s="5"/>
      <c r="C63" s="21"/>
      <c r="D63" s="2"/>
      <c r="E63" s="5"/>
      <c r="G63" s="5">
        <v>2030</v>
      </c>
      <c r="H63" s="40">
        <v>750</v>
      </c>
      <c r="J63" s="5">
        <v>2030</v>
      </c>
      <c r="K63" s="40">
        <v>750</v>
      </c>
      <c r="L63" s="40"/>
      <c r="M63" s="60" t="b">
        <f t="shared" si="4"/>
        <v>1</v>
      </c>
      <c r="N63" s="60" t="b">
        <f t="shared" si="5"/>
        <v>1</v>
      </c>
    </row>
    <row r="64" spans="1:17" ht="14.4" x14ac:dyDescent="0.3">
      <c r="B64" s="2"/>
      <c r="C64" s="2"/>
      <c r="D64" s="2"/>
      <c r="E64" s="2"/>
      <c r="G64" s="5">
        <v>2031</v>
      </c>
      <c r="H64" s="40">
        <v>2850</v>
      </c>
      <c r="J64" s="5">
        <v>2031</v>
      </c>
      <c r="K64" s="40">
        <v>2600</v>
      </c>
      <c r="L64" s="40"/>
      <c r="M64" s="60" t="b">
        <f t="shared" si="4"/>
        <v>1</v>
      </c>
      <c r="N64" s="70" t="b">
        <f t="shared" si="5"/>
        <v>0</v>
      </c>
    </row>
    <row r="65" spans="2:14" ht="14.4" x14ac:dyDescent="0.3">
      <c r="B65" s="2"/>
      <c r="C65" s="2"/>
      <c r="D65" s="2"/>
      <c r="E65" s="17"/>
      <c r="G65" s="5">
        <v>2033</v>
      </c>
      <c r="H65" s="40">
        <v>750</v>
      </c>
      <c r="J65" s="5">
        <v>2033</v>
      </c>
      <c r="K65" s="40">
        <v>750</v>
      </c>
      <c r="L65" s="40"/>
      <c r="M65" s="60" t="b">
        <f t="shared" si="4"/>
        <v>1</v>
      </c>
      <c r="N65" s="60" t="b">
        <f t="shared" si="5"/>
        <v>1</v>
      </c>
    </row>
    <row r="66" spans="2:14" ht="14.4" x14ac:dyDescent="0.3">
      <c r="G66" s="5">
        <v>2034</v>
      </c>
      <c r="H66" s="40">
        <v>750</v>
      </c>
      <c r="J66" s="5">
        <v>2034</v>
      </c>
      <c r="K66" s="40">
        <v>750</v>
      </c>
      <c r="L66" s="45"/>
      <c r="M66" s="60" t="b">
        <f t="shared" si="4"/>
        <v>1</v>
      </c>
      <c r="N66" s="60" t="b">
        <f t="shared" si="5"/>
        <v>1</v>
      </c>
    </row>
    <row r="67" spans="2:14" ht="14.4" x14ac:dyDescent="0.3">
      <c r="G67" s="5">
        <v>2041</v>
      </c>
      <c r="H67" s="40">
        <v>1250</v>
      </c>
      <c r="J67" s="5">
        <v>2041</v>
      </c>
      <c r="K67" s="40">
        <v>1250</v>
      </c>
      <c r="M67" s="60" t="b">
        <f t="shared" si="4"/>
        <v>1</v>
      </c>
      <c r="N67" s="60" t="b">
        <f t="shared" si="5"/>
        <v>1</v>
      </c>
    </row>
    <row r="68" spans="2:14" ht="14.4" x14ac:dyDescent="0.3">
      <c r="G68" s="5">
        <v>2047</v>
      </c>
      <c r="H68" s="40">
        <v>350</v>
      </c>
      <c r="J68" s="5">
        <v>2047</v>
      </c>
      <c r="K68" s="40">
        <v>350</v>
      </c>
      <c r="M68" s="60" t="b">
        <f t="shared" si="4"/>
        <v>1</v>
      </c>
      <c r="N68" s="60" t="b">
        <f t="shared" si="5"/>
        <v>1</v>
      </c>
    </row>
    <row r="69" spans="2:14" ht="14.4" x14ac:dyDescent="0.3">
      <c r="G69" s="5">
        <v>2049</v>
      </c>
      <c r="H69" s="40">
        <v>750</v>
      </c>
      <c r="J69" s="5">
        <v>2049</v>
      </c>
      <c r="K69" s="40">
        <v>400</v>
      </c>
      <c r="M69" s="60" t="b">
        <f t="shared" si="4"/>
        <v>1</v>
      </c>
      <c r="N69" s="70" t="b">
        <f t="shared" si="5"/>
        <v>0</v>
      </c>
    </row>
    <row r="70" spans="2:14" ht="14.4" x14ac:dyDescent="0.3">
      <c r="G70" s="5">
        <v>2050</v>
      </c>
      <c r="H70" s="40">
        <v>500</v>
      </c>
      <c r="J70" s="5">
        <v>2050</v>
      </c>
      <c r="K70" s="40">
        <v>500</v>
      </c>
      <c r="M70" s="60" t="b">
        <f t="shared" si="4"/>
        <v>1</v>
      </c>
      <c r="N70" s="60" t="b">
        <f t="shared" si="5"/>
        <v>1</v>
      </c>
    </row>
    <row r="71" spans="2:14" ht="14.4" x14ac:dyDescent="0.3">
      <c r="G71" s="5">
        <v>2051</v>
      </c>
      <c r="H71" s="40">
        <v>900</v>
      </c>
      <c r="J71" s="5">
        <v>2051</v>
      </c>
      <c r="K71" s="40">
        <v>900</v>
      </c>
      <c r="M71" s="60" t="b">
        <f t="shared" si="4"/>
        <v>1</v>
      </c>
      <c r="N71" s="60" t="b">
        <f t="shared" si="5"/>
        <v>1</v>
      </c>
    </row>
    <row r="72" spans="2:14" ht="14.4" x14ac:dyDescent="0.3">
      <c r="G72" s="5" t="s">
        <v>26</v>
      </c>
      <c r="H72" s="40">
        <v>1438</v>
      </c>
      <c r="J72" s="5" t="s">
        <v>26</v>
      </c>
      <c r="K72" s="40">
        <v>1438</v>
      </c>
      <c r="M72" s="60" t="b">
        <f t="shared" si="4"/>
        <v>1</v>
      </c>
      <c r="N72" s="60" t="b">
        <f t="shared" si="5"/>
        <v>1</v>
      </c>
    </row>
    <row r="73" spans="2:14" ht="14.4" x14ac:dyDescent="0.3">
      <c r="G73" s="77" t="s">
        <v>70</v>
      </c>
      <c r="H73" s="40">
        <f>SUM(H57:H72)</f>
        <v>22093</v>
      </c>
      <c r="J73" s="77" t="s">
        <v>70</v>
      </c>
      <c r="K73" s="40">
        <v>22093</v>
      </c>
      <c r="M73" s="60" t="b">
        <f t="shared" si="4"/>
        <v>1</v>
      </c>
      <c r="N73" s="60" t="b">
        <f t="shared" si="5"/>
        <v>1</v>
      </c>
    </row>
    <row r="74" spans="2:14" ht="14.4" x14ac:dyDescent="0.3">
      <c r="G74" s="77" t="s">
        <v>71</v>
      </c>
      <c r="H74" s="40">
        <v>1781</v>
      </c>
      <c r="J74" s="77" t="s">
        <v>71</v>
      </c>
      <c r="K74" s="40">
        <v>1781</v>
      </c>
      <c r="M74" s="60" t="b">
        <f t="shared" si="4"/>
        <v>1</v>
      </c>
      <c r="N74" s="60" t="b">
        <f t="shared" si="5"/>
        <v>1</v>
      </c>
    </row>
    <row r="75" spans="2:14" ht="14.4" x14ac:dyDescent="0.3">
      <c r="G75" s="2" t="s">
        <v>37</v>
      </c>
      <c r="H75" s="40">
        <f>SUM(H73:H74)</f>
        <v>23874</v>
      </c>
      <c r="J75" s="2" t="s">
        <v>37</v>
      </c>
      <c r="K75" s="40">
        <v>23874</v>
      </c>
      <c r="M75" s="60" t="b">
        <f t="shared" si="4"/>
        <v>1</v>
      </c>
      <c r="N75" s="60" t="b">
        <f t="shared" si="5"/>
        <v>1</v>
      </c>
    </row>
    <row r="76" spans="2:14" ht="14.4" x14ac:dyDescent="0.3">
      <c r="G76" s="3"/>
      <c r="H76" s="40"/>
    </row>
    <row r="77" spans="2:14" ht="14.4" x14ac:dyDescent="0.3">
      <c r="G77" s="78" t="s">
        <v>2</v>
      </c>
      <c r="H77" s="13">
        <f>34/40</f>
        <v>0.85</v>
      </c>
    </row>
    <row r="78" spans="2:14" ht="14.4" x14ac:dyDescent="0.3">
      <c r="G78" s="3"/>
      <c r="H78" s="40"/>
    </row>
    <row r="80" spans="2:14" ht="14.4" x14ac:dyDescent="0.3">
      <c r="G80" s="8" t="s">
        <v>52</v>
      </c>
      <c r="H80" s="77"/>
      <c r="I80" s="77"/>
      <c r="J80" s="8" t="s">
        <v>0</v>
      </c>
    </row>
    <row r="81" spans="1:14" ht="14.4" x14ac:dyDescent="0.3">
      <c r="A81" s="65" t="s">
        <v>7</v>
      </c>
      <c r="B81" s="2"/>
      <c r="C81" s="2"/>
      <c r="D81" s="2"/>
      <c r="E81" s="2"/>
      <c r="G81" s="66"/>
      <c r="H81" s="66"/>
    </row>
    <row r="82" spans="1:14" ht="14.4" x14ac:dyDescent="0.3">
      <c r="B82" s="2"/>
      <c r="C82" s="2"/>
      <c r="D82" s="2"/>
      <c r="E82" s="4"/>
      <c r="G82" s="9" t="s">
        <v>27</v>
      </c>
      <c r="H82" s="9" t="s">
        <v>29</v>
      </c>
      <c r="J82" s="9" t="s">
        <v>27</v>
      </c>
      <c r="K82" s="9" t="s">
        <v>29</v>
      </c>
      <c r="L82" s="4"/>
      <c r="M82" s="60" t="b">
        <f>G82=J82</f>
        <v>1</v>
      </c>
      <c r="N82" s="60" t="b">
        <f>H82=K82</f>
        <v>1</v>
      </c>
    </row>
    <row r="83" spans="1:14" ht="14.4" x14ac:dyDescent="0.3">
      <c r="B83" s="5"/>
      <c r="C83" s="21"/>
      <c r="D83" s="2"/>
      <c r="E83" s="5"/>
      <c r="G83" s="5">
        <v>2024</v>
      </c>
      <c r="H83" s="40">
        <v>750</v>
      </c>
      <c r="J83" s="5">
        <v>2024</v>
      </c>
      <c r="K83" s="40">
        <v>750</v>
      </c>
      <c r="L83" s="40"/>
      <c r="M83" s="60" t="b">
        <f t="shared" ref="M83:M101" si="6">G83=J83</f>
        <v>1</v>
      </c>
      <c r="N83" s="60" t="b">
        <f t="shared" ref="N83:N101" si="7">H83=K83</f>
        <v>1</v>
      </c>
    </row>
    <row r="84" spans="1:14" ht="14.4" x14ac:dyDescent="0.3">
      <c r="B84" s="5"/>
      <c r="C84" s="21"/>
      <c r="D84" s="2"/>
      <c r="E84" s="5"/>
      <c r="G84" s="5">
        <v>2025</v>
      </c>
      <c r="H84" s="40">
        <v>500</v>
      </c>
      <c r="J84" s="5">
        <v>2025</v>
      </c>
      <c r="K84" s="40">
        <v>500</v>
      </c>
      <c r="L84" s="40"/>
      <c r="M84" s="60" t="b">
        <f t="shared" si="6"/>
        <v>1</v>
      </c>
      <c r="N84" s="60" t="b">
        <f t="shared" si="7"/>
        <v>1</v>
      </c>
    </row>
    <row r="85" spans="1:14" ht="14.4" x14ac:dyDescent="0.3">
      <c r="B85" s="5"/>
      <c r="C85" s="21"/>
      <c r="D85" s="2"/>
      <c r="E85" s="5"/>
      <c r="G85" s="5">
        <v>2026</v>
      </c>
      <c r="H85" s="40">
        <v>2650</v>
      </c>
      <c r="J85" s="5">
        <v>2026</v>
      </c>
      <c r="K85" s="40">
        <v>2650</v>
      </c>
      <c r="L85" s="40"/>
      <c r="M85" s="60" t="b">
        <f t="shared" si="6"/>
        <v>1</v>
      </c>
      <c r="N85" s="60" t="b">
        <f t="shared" si="7"/>
        <v>1</v>
      </c>
    </row>
    <row r="86" spans="1:14" ht="14.4" x14ac:dyDescent="0.3">
      <c r="B86" s="5"/>
      <c r="C86" s="21"/>
      <c r="D86" s="2"/>
      <c r="E86" s="5"/>
      <c r="G86" s="5">
        <v>2027</v>
      </c>
      <c r="H86" s="40">
        <v>3412</v>
      </c>
      <c r="J86" s="5">
        <v>2027</v>
      </c>
      <c r="K86" s="40">
        <v>3162</v>
      </c>
      <c r="L86" s="40"/>
      <c r="M86" s="60" t="b">
        <f>G86=J86</f>
        <v>1</v>
      </c>
      <c r="N86" s="70" t="b">
        <f>H86=K86</f>
        <v>0</v>
      </c>
    </row>
    <row r="87" spans="1:14" ht="14.4" x14ac:dyDescent="0.3">
      <c r="B87" s="5"/>
      <c r="C87" s="21"/>
      <c r="D87" s="2"/>
      <c r="E87" s="5"/>
      <c r="G87" s="5">
        <v>2028</v>
      </c>
      <c r="H87" s="40">
        <v>2600</v>
      </c>
      <c r="J87" s="5">
        <v>2028</v>
      </c>
      <c r="K87" s="40">
        <v>1600</v>
      </c>
      <c r="L87" s="40"/>
      <c r="M87" s="60" t="b">
        <f t="shared" si="6"/>
        <v>1</v>
      </c>
      <c r="N87" s="70" t="b">
        <f t="shared" si="7"/>
        <v>0</v>
      </c>
    </row>
    <row r="88" spans="1:14" ht="14.4" x14ac:dyDescent="0.3">
      <c r="B88" s="5"/>
      <c r="C88" s="21"/>
      <c r="D88" s="2"/>
      <c r="E88" s="5"/>
      <c r="G88" s="5">
        <v>2029</v>
      </c>
      <c r="H88" s="40">
        <v>1900</v>
      </c>
      <c r="J88" s="5">
        <v>2029</v>
      </c>
      <c r="K88" s="40">
        <v>2050</v>
      </c>
      <c r="L88" s="40"/>
      <c r="M88" s="60" t="b">
        <f t="shared" si="6"/>
        <v>1</v>
      </c>
      <c r="N88" s="70" t="b">
        <f t="shared" si="7"/>
        <v>0</v>
      </c>
    </row>
    <row r="89" spans="1:14" ht="14.4" x14ac:dyDescent="0.3">
      <c r="B89" s="5"/>
      <c r="C89" s="21"/>
      <c r="D89" s="2"/>
      <c r="E89" s="5"/>
      <c r="G89" s="5">
        <v>2030</v>
      </c>
      <c r="H89" s="40">
        <v>750</v>
      </c>
      <c r="J89" s="5">
        <v>2030</v>
      </c>
      <c r="K89" s="40">
        <v>750</v>
      </c>
      <c r="L89" s="40"/>
      <c r="M89" s="60" t="b">
        <f t="shared" si="6"/>
        <v>1</v>
      </c>
      <c r="N89" s="60" t="b">
        <f t="shared" si="7"/>
        <v>1</v>
      </c>
    </row>
    <row r="90" spans="1:14" ht="14.4" x14ac:dyDescent="0.3">
      <c r="B90" s="5"/>
      <c r="C90" s="21"/>
      <c r="D90" s="2"/>
      <c r="E90" s="5"/>
      <c r="G90" s="5">
        <v>2031</v>
      </c>
      <c r="H90" s="40">
        <v>2850</v>
      </c>
      <c r="J90" s="5">
        <v>2031</v>
      </c>
      <c r="K90" s="40">
        <v>2850</v>
      </c>
      <c r="L90" s="40"/>
      <c r="M90" s="60" t="b">
        <f t="shared" si="6"/>
        <v>1</v>
      </c>
      <c r="N90" s="60" t="b">
        <f t="shared" si="7"/>
        <v>1</v>
      </c>
    </row>
    <row r="91" spans="1:14" ht="14.4" x14ac:dyDescent="0.3">
      <c r="B91" s="5"/>
      <c r="C91" s="21"/>
      <c r="D91" s="2"/>
      <c r="E91" s="5"/>
      <c r="G91" s="5">
        <v>2033</v>
      </c>
      <c r="H91" s="40">
        <v>750</v>
      </c>
      <c r="J91" s="5">
        <v>2033</v>
      </c>
      <c r="K91" s="40">
        <v>750</v>
      </c>
      <c r="L91" s="40"/>
      <c r="M91" s="60" t="b">
        <f t="shared" si="6"/>
        <v>1</v>
      </c>
      <c r="N91" s="60" t="b">
        <f t="shared" si="7"/>
        <v>1</v>
      </c>
    </row>
    <row r="92" spans="1:14" ht="14.4" x14ac:dyDescent="0.3">
      <c r="B92" s="2"/>
      <c r="C92" s="2"/>
      <c r="D92" s="2"/>
      <c r="E92" s="2"/>
      <c r="G92" s="5">
        <v>2034</v>
      </c>
      <c r="H92" s="40">
        <v>750</v>
      </c>
      <c r="J92" s="5">
        <v>2034</v>
      </c>
      <c r="K92" s="40">
        <v>750</v>
      </c>
      <c r="L92" s="40"/>
      <c r="M92" s="60" t="b">
        <f t="shared" si="6"/>
        <v>1</v>
      </c>
      <c r="N92" s="60" t="b">
        <f t="shared" si="7"/>
        <v>1</v>
      </c>
    </row>
    <row r="93" spans="1:14" ht="14.4" x14ac:dyDescent="0.3">
      <c r="B93" s="2"/>
      <c r="C93" s="2"/>
      <c r="D93" s="2"/>
      <c r="E93" s="17"/>
      <c r="G93" s="5">
        <v>2041</v>
      </c>
      <c r="H93" s="40">
        <v>1250</v>
      </c>
      <c r="J93" s="5">
        <v>2041</v>
      </c>
      <c r="K93" s="40">
        <v>1250</v>
      </c>
      <c r="L93" s="40"/>
      <c r="M93" s="60" t="b">
        <f t="shared" si="6"/>
        <v>1</v>
      </c>
      <c r="N93" s="60" t="b">
        <f t="shared" si="7"/>
        <v>1</v>
      </c>
    </row>
    <row r="94" spans="1:14" ht="14.4" x14ac:dyDescent="0.3">
      <c r="G94" s="5">
        <v>2047</v>
      </c>
      <c r="H94" s="40">
        <v>350</v>
      </c>
      <c r="J94" s="5">
        <v>2047</v>
      </c>
      <c r="K94" s="40">
        <v>350</v>
      </c>
      <c r="L94" s="45"/>
      <c r="M94" s="60" t="b">
        <f t="shared" si="6"/>
        <v>1</v>
      </c>
      <c r="N94" s="60" t="b">
        <f t="shared" si="7"/>
        <v>1</v>
      </c>
    </row>
    <row r="95" spans="1:14" ht="14.4" x14ac:dyDescent="0.3">
      <c r="G95" s="5">
        <v>2049</v>
      </c>
      <c r="H95" s="40">
        <v>750</v>
      </c>
      <c r="J95" s="5">
        <v>2049</v>
      </c>
      <c r="K95" s="40">
        <v>1150</v>
      </c>
      <c r="M95" s="60" t="b">
        <f t="shared" si="6"/>
        <v>1</v>
      </c>
      <c r="N95" s="70" t="b">
        <f t="shared" si="7"/>
        <v>0</v>
      </c>
    </row>
    <row r="96" spans="1:14" ht="14.4" x14ac:dyDescent="0.3">
      <c r="G96" s="5">
        <v>2050</v>
      </c>
      <c r="H96" s="40">
        <v>500</v>
      </c>
      <c r="J96" s="5">
        <v>2050</v>
      </c>
      <c r="K96" s="40">
        <v>500</v>
      </c>
      <c r="M96" s="60" t="b">
        <f t="shared" si="6"/>
        <v>1</v>
      </c>
      <c r="N96" s="60" t="b">
        <f t="shared" si="7"/>
        <v>1</v>
      </c>
    </row>
    <row r="97" spans="7:14" ht="14.4" x14ac:dyDescent="0.3">
      <c r="G97" s="5">
        <v>2051</v>
      </c>
      <c r="H97" s="40">
        <v>900</v>
      </c>
      <c r="J97" s="5">
        <v>2051</v>
      </c>
      <c r="K97" s="40">
        <v>900</v>
      </c>
      <c r="M97" s="60" t="b">
        <f t="shared" si="6"/>
        <v>1</v>
      </c>
      <c r="N97" s="60" t="b">
        <f t="shared" si="7"/>
        <v>1</v>
      </c>
    </row>
    <row r="98" spans="7:14" ht="14.4" x14ac:dyDescent="0.3">
      <c r="G98" s="5" t="s">
        <v>26</v>
      </c>
      <c r="H98" s="40">
        <v>1138</v>
      </c>
      <c r="J98" s="5" t="s">
        <v>26</v>
      </c>
      <c r="K98" s="40">
        <v>1138</v>
      </c>
      <c r="M98" s="60" t="b">
        <f t="shared" si="6"/>
        <v>1</v>
      </c>
      <c r="N98" s="60" t="b">
        <f t="shared" si="7"/>
        <v>1</v>
      </c>
    </row>
    <row r="99" spans="7:14" ht="14.4" x14ac:dyDescent="0.3">
      <c r="G99" s="77" t="s">
        <v>70</v>
      </c>
      <c r="H99" s="40">
        <f>SUM(H83:H98)</f>
        <v>21800</v>
      </c>
      <c r="J99" s="77" t="s">
        <v>70</v>
      </c>
      <c r="K99" s="40">
        <v>21800</v>
      </c>
      <c r="M99" s="60" t="b">
        <f t="shared" si="6"/>
        <v>1</v>
      </c>
      <c r="N99" s="60" t="b">
        <f t="shared" si="7"/>
        <v>1</v>
      </c>
    </row>
    <row r="100" spans="7:14" ht="14.4" x14ac:dyDescent="0.3">
      <c r="G100" s="77" t="s">
        <v>71</v>
      </c>
      <c r="H100" s="40">
        <v>1775</v>
      </c>
      <c r="J100" s="77" t="s">
        <v>71</v>
      </c>
      <c r="K100" s="40">
        <v>1775</v>
      </c>
      <c r="M100" s="60" t="b">
        <f t="shared" si="6"/>
        <v>1</v>
      </c>
      <c r="N100" s="60" t="b">
        <f t="shared" si="7"/>
        <v>1</v>
      </c>
    </row>
    <row r="101" spans="7:14" ht="14.4" x14ac:dyDescent="0.3">
      <c r="G101" s="2" t="s">
        <v>37</v>
      </c>
      <c r="H101" s="40">
        <f>SUM(H99:H100)</f>
        <v>23575</v>
      </c>
      <c r="J101" s="2" t="s">
        <v>37</v>
      </c>
      <c r="K101" s="40">
        <v>23575</v>
      </c>
      <c r="M101" s="60" t="b">
        <f t="shared" si="6"/>
        <v>1</v>
      </c>
      <c r="N101" s="60" t="b">
        <f t="shared" si="7"/>
        <v>1</v>
      </c>
    </row>
    <row r="102" spans="7:14" ht="14.4" x14ac:dyDescent="0.3">
      <c r="G102" s="3"/>
      <c r="H102" s="40"/>
    </row>
    <row r="103" spans="7:14" ht="14.4" x14ac:dyDescent="0.3">
      <c r="G103" s="78" t="s">
        <v>2</v>
      </c>
      <c r="H103" s="13">
        <f>36/40</f>
        <v>0.9</v>
      </c>
    </row>
    <row r="104" spans="7:14" ht="14.4" x14ac:dyDescent="0.3">
      <c r="I104" s="3"/>
      <c r="J104" s="40"/>
    </row>
    <row r="105" spans="7:14" ht="14.4" x14ac:dyDescent="0.3">
      <c r="I105" s="3"/>
      <c r="J105" s="40"/>
    </row>
    <row r="106" spans="7:14" ht="14.4" x14ac:dyDescent="0.3">
      <c r="I106" s="3"/>
      <c r="J106" s="40"/>
    </row>
    <row r="107" spans="7:14" ht="14.4" x14ac:dyDescent="0.3">
      <c r="I107" s="3"/>
      <c r="J107" s="40"/>
    </row>
    <row r="108" spans="7:14" ht="14.4" x14ac:dyDescent="0.3">
      <c r="I108" s="3"/>
      <c r="J108" s="40"/>
    </row>
    <row r="109" spans="7:14" ht="14.4" x14ac:dyDescent="0.3">
      <c r="I109" s="3"/>
      <c r="J109" s="40"/>
    </row>
    <row r="110" spans="7:14" ht="14.4" x14ac:dyDescent="0.3">
      <c r="I110" s="3"/>
      <c r="J110" s="40"/>
    </row>
    <row r="111" spans="7:14" ht="14.4" x14ac:dyDescent="0.3">
      <c r="I111" s="3"/>
      <c r="J111" s="40"/>
    </row>
    <row r="112" spans="7:14" ht="14.4" x14ac:dyDescent="0.3">
      <c r="I112" s="66"/>
      <c r="J112" s="40"/>
    </row>
    <row r="113" spans="9:10" ht="14.4" x14ac:dyDescent="0.3">
      <c r="I113" s="66"/>
      <c r="J113" s="40"/>
    </row>
    <row r="114" spans="9:10" x14ac:dyDescent="0.3">
      <c r="I114" s="66"/>
    </row>
    <row r="115" spans="9:10" x14ac:dyDescent="0.3">
      <c r="I115" s="6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302A-6E18-42E9-9FF0-D00313BFD300}">
  <dimension ref="B2:AJ138"/>
  <sheetViews>
    <sheetView showGridLines="0" workbookViewId="0">
      <selection activeCell="A8" sqref="A8"/>
    </sheetView>
  </sheetViews>
  <sheetFormatPr defaultRowHeight="14.4" x14ac:dyDescent="0.3"/>
  <cols>
    <col min="1" max="1" width="3.5546875" customWidth="1"/>
    <col min="24" max="24" width="9.44140625" bestFit="1" customWidth="1"/>
    <col min="25" max="25" width="6.5546875" bestFit="1" customWidth="1"/>
    <col min="27" max="27" width="8" bestFit="1" customWidth="1"/>
    <col min="28" max="28" width="6.5546875" bestFit="1" customWidth="1"/>
    <col min="30" max="30" width="5.5546875" bestFit="1" customWidth="1"/>
    <col min="31" max="31" width="6.77734375" bestFit="1" customWidth="1"/>
    <col min="32" max="32" width="13.44140625" bestFit="1" customWidth="1"/>
    <col min="33" max="33" width="6.88671875" bestFit="1" customWidth="1"/>
    <col min="34" max="34" width="4" bestFit="1" customWidth="1"/>
    <col min="35" max="35" width="8" bestFit="1" customWidth="1"/>
    <col min="36" max="36" width="12.33203125" bestFit="1" customWidth="1"/>
  </cols>
  <sheetData>
    <row r="2" spans="2:36" x14ac:dyDescent="0.3">
      <c r="B2" s="63" t="s">
        <v>5</v>
      </c>
    </row>
    <row r="3" spans="2:36" x14ac:dyDescent="0.3">
      <c r="X3" s="81" t="s">
        <v>72</v>
      </c>
      <c r="AA3" s="81" t="s">
        <v>72</v>
      </c>
    </row>
    <row r="5" spans="2:36" x14ac:dyDescent="0.3">
      <c r="X5" s="77"/>
      <c r="Y5" s="82"/>
      <c r="AD5" s="4" t="s">
        <v>1</v>
      </c>
      <c r="AE5" s="4" t="s">
        <v>3</v>
      </c>
      <c r="AF5" s="4" t="s">
        <v>29</v>
      </c>
      <c r="AG5" s="4" t="s">
        <v>30</v>
      </c>
      <c r="AH5" s="4" t="s">
        <v>31</v>
      </c>
      <c r="AI5" s="4" t="s">
        <v>32</v>
      </c>
      <c r="AJ5" s="4" t="s">
        <v>33</v>
      </c>
    </row>
    <row r="6" spans="2:36" x14ac:dyDescent="0.3">
      <c r="X6" s="77">
        <v>2027</v>
      </c>
      <c r="Y6" s="82">
        <v>1117</v>
      </c>
      <c r="AA6" s="77">
        <v>2025</v>
      </c>
      <c r="AB6" s="80">
        <f t="shared" ref="AB6:AB20" si="0">SUMIF($X$6:$X$34,$AA6,$Y$6:$Y$34)</f>
        <v>499</v>
      </c>
      <c r="AD6" s="3" t="s">
        <v>66</v>
      </c>
      <c r="AE6" s="3" t="s">
        <v>5</v>
      </c>
      <c r="AF6" s="3" t="s">
        <v>68</v>
      </c>
      <c r="AG6" s="40">
        <f>SUM(AB6:AB10)</f>
        <v>11515</v>
      </c>
      <c r="AH6" s="3" t="s">
        <v>35</v>
      </c>
      <c r="AI6" s="3" t="s">
        <v>36</v>
      </c>
      <c r="AJ6" s="3" t="s">
        <v>29</v>
      </c>
    </row>
    <row r="7" spans="2:36" x14ac:dyDescent="0.3">
      <c r="X7" s="77">
        <v>2025</v>
      </c>
      <c r="Y7" s="80">
        <v>499</v>
      </c>
      <c r="AA7" s="77">
        <v>2026</v>
      </c>
      <c r="AB7" s="80">
        <f t="shared" si="0"/>
        <v>2645</v>
      </c>
      <c r="AD7" s="3" t="s">
        <v>66</v>
      </c>
      <c r="AE7" s="3" t="s">
        <v>5</v>
      </c>
      <c r="AF7" s="3" t="s">
        <v>39</v>
      </c>
      <c r="AG7" s="40">
        <f>SUM(AB11:AB13)</f>
        <v>4313</v>
      </c>
      <c r="AH7" s="3" t="s">
        <v>35</v>
      </c>
      <c r="AI7" s="3" t="s">
        <v>36</v>
      </c>
      <c r="AJ7" s="3" t="s">
        <v>29</v>
      </c>
    </row>
    <row r="8" spans="2:36" x14ac:dyDescent="0.3">
      <c r="X8" s="77">
        <v>2026</v>
      </c>
      <c r="Y8" s="80">
        <v>899</v>
      </c>
      <c r="AA8" s="77">
        <v>2027</v>
      </c>
      <c r="AB8" s="80">
        <f t="shared" si="0"/>
        <v>3358</v>
      </c>
      <c r="AD8" s="3" t="s">
        <v>66</v>
      </c>
      <c r="AE8" s="3" t="s">
        <v>5</v>
      </c>
      <c r="AF8" s="3" t="s">
        <v>69</v>
      </c>
      <c r="AG8" s="40">
        <f>SUM(AB14:AB20)</f>
        <v>6475</v>
      </c>
      <c r="AH8" s="3" t="s">
        <v>35</v>
      </c>
      <c r="AI8" s="3" t="s">
        <v>36</v>
      </c>
      <c r="AJ8" s="3" t="s">
        <v>29</v>
      </c>
    </row>
    <row r="9" spans="2:36" x14ac:dyDescent="0.3">
      <c r="X9" s="77">
        <v>2026</v>
      </c>
      <c r="Y9" s="80">
        <v>749</v>
      </c>
      <c r="AA9" s="77">
        <v>2028</v>
      </c>
      <c r="AB9" s="80">
        <f t="shared" si="0"/>
        <v>2584</v>
      </c>
      <c r="AD9" s="3" t="s">
        <v>66</v>
      </c>
      <c r="AE9" s="3" t="s">
        <v>5</v>
      </c>
      <c r="AF9" s="3" t="s">
        <v>41</v>
      </c>
      <c r="AG9" s="40">
        <f>SUM(AG6:AG8)</f>
        <v>22303</v>
      </c>
      <c r="AH9" s="3" t="s">
        <v>35</v>
      </c>
      <c r="AI9" s="3" t="s">
        <v>36</v>
      </c>
      <c r="AJ9" s="3" t="s">
        <v>29</v>
      </c>
    </row>
    <row r="10" spans="2:36" x14ac:dyDescent="0.3">
      <c r="X10" s="77">
        <v>2026</v>
      </c>
      <c r="Y10" s="80">
        <v>997</v>
      </c>
      <c r="AA10" s="77">
        <v>2029</v>
      </c>
      <c r="AB10" s="80">
        <f t="shared" si="0"/>
        <v>2429</v>
      </c>
    </row>
    <row r="11" spans="2:36" x14ac:dyDescent="0.3">
      <c r="X11" s="77">
        <v>2027</v>
      </c>
      <c r="Y11" s="80">
        <v>498</v>
      </c>
      <c r="AA11" s="77">
        <v>2030</v>
      </c>
      <c r="AB11" s="80">
        <f t="shared" si="0"/>
        <v>742</v>
      </c>
    </row>
    <row r="12" spans="2:36" x14ac:dyDescent="0.3">
      <c r="X12" s="77">
        <v>2027</v>
      </c>
      <c r="Y12" s="80">
        <v>746</v>
      </c>
      <c r="AA12" s="77">
        <v>2031</v>
      </c>
      <c r="AB12" s="80">
        <f t="shared" si="0"/>
        <v>2828</v>
      </c>
    </row>
    <row r="13" spans="2:36" x14ac:dyDescent="0.3">
      <c r="X13" s="77">
        <v>2027</v>
      </c>
      <c r="Y13" s="80">
        <v>997</v>
      </c>
      <c r="AA13" s="77">
        <v>2033</v>
      </c>
      <c r="AB13" s="80">
        <f t="shared" si="0"/>
        <v>743</v>
      </c>
    </row>
    <row r="14" spans="2:36" x14ac:dyDescent="0.3">
      <c r="X14" s="77">
        <v>2028</v>
      </c>
      <c r="Y14" s="80">
        <v>993</v>
      </c>
      <c r="AA14" s="77">
        <v>2034</v>
      </c>
      <c r="AB14" s="80">
        <f t="shared" si="0"/>
        <v>1431</v>
      </c>
    </row>
    <row r="15" spans="2:36" x14ac:dyDescent="0.3">
      <c r="X15" s="77">
        <v>2028</v>
      </c>
      <c r="Y15" s="80">
        <v>996</v>
      </c>
      <c r="AA15" s="77">
        <v>2041</v>
      </c>
      <c r="AB15" s="80">
        <f t="shared" si="0"/>
        <v>1235</v>
      </c>
    </row>
    <row r="16" spans="2:36" x14ac:dyDescent="0.3">
      <c r="X16" s="77">
        <v>2028</v>
      </c>
      <c r="Y16" s="80">
        <v>595</v>
      </c>
      <c r="AA16" s="77">
        <v>2047</v>
      </c>
      <c r="AB16" s="80">
        <f t="shared" si="0"/>
        <v>345</v>
      </c>
    </row>
    <row r="17" spans="24:28" x14ac:dyDescent="0.3">
      <c r="X17" s="77">
        <v>2029</v>
      </c>
      <c r="Y17" s="80">
        <v>596</v>
      </c>
      <c r="AA17" s="77">
        <v>2049</v>
      </c>
      <c r="AB17" s="80">
        <f t="shared" si="0"/>
        <v>742</v>
      </c>
    </row>
    <row r="18" spans="24:28" x14ac:dyDescent="0.3">
      <c r="X18" s="77">
        <v>2029</v>
      </c>
      <c r="Y18" s="80">
        <v>742</v>
      </c>
      <c r="AA18" s="77">
        <v>2050</v>
      </c>
      <c r="AB18" s="80">
        <f t="shared" si="0"/>
        <v>490</v>
      </c>
    </row>
    <row r="19" spans="24:28" x14ac:dyDescent="0.3">
      <c r="X19" s="77">
        <v>2029</v>
      </c>
      <c r="Y19" s="80">
        <v>544</v>
      </c>
      <c r="AA19" s="77">
        <v>2051</v>
      </c>
      <c r="AB19" s="80">
        <f t="shared" si="0"/>
        <v>891</v>
      </c>
    </row>
    <row r="20" spans="24:28" x14ac:dyDescent="0.3">
      <c r="X20" s="77">
        <v>2029</v>
      </c>
      <c r="Y20" s="80">
        <v>547</v>
      </c>
      <c r="AA20" s="77" t="s">
        <v>26</v>
      </c>
      <c r="AB20" s="80">
        <f t="shared" si="0"/>
        <v>1341</v>
      </c>
    </row>
    <row r="21" spans="24:28" x14ac:dyDescent="0.3">
      <c r="X21" s="77">
        <v>2030</v>
      </c>
      <c r="Y21" s="80">
        <v>742</v>
      </c>
      <c r="AB21" s="80">
        <f>SUM(AB6:AB20)</f>
        <v>22303</v>
      </c>
    </row>
    <row r="22" spans="24:28" x14ac:dyDescent="0.3">
      <c r="X22" s="77">
        <v>2031</v>
      </c>
      <c r="Y22" s="80">
        <v>1093</v>
      </c>
    </row>
    <row r="23" spans="24:28" x14ac:dyDescent="0.3">
      <c r="X23" s="77">
        <v>2031</v>
      </c>
      <c r="Y23" s="80">
        <v>991</v>
      </c>
    </row>
    <row r="24" spans="24:28" x14ac:dyDescent="0.3">
      <c r="X24" s="77">
        <v>2031</v>
      </c>
      <c r="Y24" s="80">
        <v>744</v>
      </c>
    </row>
    <row r="25" spans="24:28" x14ac:dyDescent="0.3">
      <c r="X25" s="77">
        <v>2033</v>
      </c>
      <c r="Y25" s="80">
        <v>743</v>
      </c>
    </row>
    <row r="26" spans="24:28" x14ac:dyDescent="0.3">
      <c r="X26" s="77">
        <v>2034</v>
      </c>
      <c r="Y26" s="80">
        <v>742</v>
      </c>
    </row>
    <row r="27" spans="24:28" x14ac:dyDescent="0.3">
      <c r="X27" s="77">
        <v>2034</v>
      </c>
      <c r="Y27" s="80">
        <v>689</v>
      </c>
    </row>
    <row r="28" spans="24:28" x14ac:dyDescent="0.3">
      <c r="X28" s="77">
        <v>2041</v>
      </c>
      <c r="Y28" s="80">
        <v>1235</v>
      </c>
    </row>
    <row r="29" spans="24:28" x14ac:dyDescent="0.3">
      <c r="X29" s="77">
        <v>2047</v>
      </c>
      <c r="Y29" s="80">
        <v>345</v>
      </c>
    </row>
    <row r="30" spans="24:28" x14ac:dyDescent="0.3">
      <c r="X30" s="77">
        <v>2049</v>
      </c>
      <c r="Y30" s="80">
        <v>396</v>
      </c>
    </row>
    <row r="31" spans="24:28" x14ac:dyDescent="0.3">
      <c r="X31" s="77">
        <v>2049</v>
      </c>
      <c r="Y31" s="80">
        <v>346</v>
      </c>
    </row>
    <row r="32" spans="24:28" x14ac:dyDescent="0.3">
      <c r="X32" s="77">
        <v>2050</v>
      </c>
      <c r="Y32" s="80">
        <v>490</v>
      </c>
    </row>
    <row r="33" spans="2:36" x14ac:dyDescent="0.3">
      <c r="X33" s="77">
        <v>2051</v>
      </c>
      <c r="Y33" s="80">
        <v>891</v>
      </c>
    </row>
    <row r="34" spans="2:36" x14ac:dyDescent="0.3">
      <c r="X34" s="77" t="s">
        <v>26</v>
      </c>
      <c r="Y34" s="82">
        <v>1341</v>
      </c>
    </row>
    <row r="35" spans="2:36" x14ac:dyDescent="0.3">
      <c r="Y35" s="80">
        <f>SUM(Y6:Y34)</f>
        <v>22303</v>
      </c>
    </row>
    <row r="39" spans="2:36" x14ac:dyDescent="0.3">
      <c r="X39" s="81" t="s">
        <v>72</v>
      </c>
      <c r="AA39" s="81" t="s">
        <v>72</v>
      </c>
    </row>
    <row r="40" spans="2:36" x14ac:dyDescent="0.3">
      <c r="B40" s="63" t="s">
        <v>4</v>
      </c>
      <c r="X40" s="79"/>
      <c r="AD40" s="4" t="s">
        <v>1</v>
      </c>
      <c r="AE40" s="4" t="s">
        <v>3</v>
      </c>
      <c r="AF40" s="4" t="s">
        <v>29</v>
      </c>
      <c r="AG40" s="4" t="s">
        <v>30</v>
      </c>
      <c r="AH40" s="4" t="s">
        <v>31</v>
      </c>
      <c r="AI40" s="4" t="s">
        <v>32</v>
      </c>
      <c r="AJ40" s="4" t="s">
        <v>33</v>
      </c>
    </row>
    <row r="41" spans="2:36" x14ac:dyDescent="0.3">
      <c r="X41" s="77">
        <v>2027</v>
      </c>
      <c r="Y41" s="80">
        <v>1132</v>
      </c>
      <c r="AA41" s="77">
        <v>2025</v>
      </c>
      <c r="AB41" s="80">
        <f t="shared" ref="AB41:AB55" si="1">SUMIF($X$41:$X$69,$AA41,$Y$41:$Y$69)</f>
        <v>499</v>
      </c>
      <c r="AD41" s="3" t="s">
        <v>66</v>
      </c>
      <c r="AE41" s="3" t="s">
        <v>4</v>
      </c>
      <c r="AF41" s="3" t="s">
        <v>68</v>
      </c>
      <c r="AG41" s="40">
        <f>SUM(AB41:AB45)</f>
        <v>11526</v>
      </c>
      <c r="AH41" s="3" t="s">
        <v>35</v>
      </c>
      <c r="AI41" s="3" t="s">
        <v>36</v>
      </c>
      <c r="AJ41" s="3" t="s">
        <v>29</v>
      </c>
    </row>
    <row r="42" spans="2:36" x14ac:dyDescent="0.3">
      <c r="X42" s="77">
        <v>2025</v>
      </c>
      <c r="Y42" s="80">
        <v>499</v>
      </c>
      <c r="AA42" s="77">
        <v>2026</v>
      </c>
      <c r="AB42" s="80">
        <f t="shared" si="1"/>
        <v>2643</v>
      </c>
      <c r="AD42" s="3" t="s">
        <v>66</v>
      </c>
      <c r="AE42" s="3" t="s">
        <v>4</v>
      </c>
      <c r="AF42" s="3" t="s">
        <v>39</v>
      </c>
      <c r="AG42" s="40">
        <f>SUM(AB46:AB48)</f>
        <v>4311</v>
      </c>
      <c r="AH42" s="3" t="s">
        <v>35</v>
      </c>
      <c r="AI42" s="3" t="s">
        <v>36</v>
      </c>
      <c r="AJ42" s="3" t="s">
        <v>29</v>
      </c>
    </row>
    <row r="43" spans="2:36" x14ac:dyDescent="0.3">
      <c r="X43" s="77">
        <v>2026</v>
      </c>
      <c r="Y43" s="80">
        <v>898</v>
      </c>
      <c r="AA43" s="77">
        <v>2027</v>
      </c>
      <c r="AB43" s="80">
        <f t="shared" si="1"/>
        <v>3372</v>
      </c>
      <c r="AD43" s="3" t="s">
        <v>66</v>
      </c>
      <c r="AE43" s="3" t="s">
        <v>4</v>
      </c>
      <c r="AF43" s="3" t="s">
        <v>69</v>
      </c>
      <c r="AG43" s="40">
        <f>SUM(AB49:AB55)</f>
        <v>6445</v>
      </c>
      <c r="AH43" s="3" t="s">
        <v>35</v>
      </c>
      <c r="AI43" s="3" t="s">
        <v>36</v>
      </c>
      <c r="AJ43" s="3" t="s">
        <v>29</v>
      </c>
    </row>
    <row r="44" spans="2:36" x14ac:dyDescent="0.3">
      <c r="X44" s="77">
        <v>2026</v>
      </c>
      <c r="Y44" s="80">
        <v>749</v>
      </c>
      <c r="AA44" s="77">
        <v>2028</v>
      </c>
      <c r="AB44" s="80">
        <f t="shared" si="1"/>
        <v>2584</v>
      </c>
      <c r="AD44" s="3" t="s">
        <v>66</v>
      </c>
      <c r="AE44" s="3" t="s">
        <v>4</v>
      </c>
      <c r="AF44" s="3" t="s">
        <v>41</v>
      </c>
      <c r="AG44" s="40">
        <f>SUM(AG41:AG43)</f>
        <v>22282</v>
      </c>
      <c r="AH44" s="3" t="s">
        <v>35</v>
      </c>
      <c r="AI44" s="3" t="s">
        <v>36</v>
      </c>
      <c r="AJ44" s="3" t="s">
        <v>29</v>
      </c>
    </row>
    <row r="45" spans="2:36" x14ac:dyDescent="0.3">
      <c r="X45" s="77">
        <v>2026</v>
      </c>
      <c r="Y45" s="80">
        <v>996</v>
      </c>
      <c r="AA45" s="77">
        <v>2029</v>
      </c>
      <c r="AB45" s="80">
        <f t="shared" si="1"/>
        <v>2428</v>
      </c>
    </row>
    <row r="46" spans="2:36" x14ac:dyDescent="0.3">
      <c r="X46" s="77">
        <v>2027</v>
      </c>
      <c r="Y46" s="80">
        <v>498</v>
      </c>
      <c r="AA46" s="77">
        <v>2030</v>
      </c>
      <c r="AB46" s="80">
        <f t="shared" si="1"/>
        <v>742</v>
      </c>
    </row>
    <row r="47" spans="2:36" x14ac:dyDescent="0.3">
      <c r="X47" s="77">
        <v>2027</v>
      </c>
      <c r="Y47" s="80">
        <v>745</v>
      </c>
      <c r="AA47" s="77">
        <v>2031</v>
      </c>
      <c r="AB47" s="80">
        <f t="shared" si="1"/>
        <v>2826</v>
      </c>
    </row>
    <row r="48" spans="2:36" x14ac:dyDescent="0.3">
      <c r="X48" s="77">
        <v>2027</v>
      </c>
      <c r="Y48" s="80">
        <v>997</v>
      </c>
      <c r="AA48" s="77">
        <v>2033</v>
      </c>
      <c r="AB48" s="80">
        <f t="shared" si="1"/>
        <v>743</v>
      </c>
    </row>
    <row r="49" spans="24:28" x14ac:dyDescent="0.3">
      <c r="X49" s="77">
        <v>2028</v>
      </c>
      <c r="Y49" s="80">
        <v>993</v>
      </c>
      <c r="AA49" s="77">
        <v>2034</v>
      </c>
      <c r="AB49" s="80">
        <f t="shared" si="1"/>
        <v>1431</v>
      </c>
    </row>
    <row r="50" spans="24:28" x14ac:dyDescent="0.3">
      <c r="X50" s="77">
        <v>2028</v>
      </c>
      <c r="Y50" s="80">
        <v>996</v>
      </c>
      <c r="AA50" s="77">
        <v>2041</v>
      </c>
      <c r="AB50" s="80">
        <f t="shared" si="1"/>
        <v>1235</v>
      </c>
    </row>
    <row r="51" spans="24:28" x14ac:dyDescent="0.3">
      <c r="X51" s="77">
        <v>2028</v>
      </c>
      <c r="Y51" s="80">
        <v>595</v>
      </c>
      <c r="AA51" s="77">
        <v>2047</v>
      </c>
      <c r="AB51" s="80">
        <f t="shared" si="1"/>
        <v>344</v>
      </c>
    </row>
    <row r="52" spans="24:28" x14ac:dyDescent="0.3">
      <c r="X52" s="77">
        <v>2029</v>
      </c>
      <c r="Y52" s="80">
        <v>596</v>
      </c>
      <c r="AA52" s="77">
        <v>2049</v>
      </c>
      <c r="AB52" s="80">
        <f t="shared" si="1"/>
        <v>742</v>
      </c>
    </row>
    <row r="53" spans="24:28" x14ac:dyDescent="0.3">
      <c r="X53" s="77">
        <v>2029</v>
      </c>
      <c r="Y53" s="80">
        <v>742</v>
      </c>
      <c r="AA53" s="77">
        <v>2050</v>
      </c>
      <c r="AB53" s="80">
        <f t="shared" si="1"/>
        <v>490</v>
      </c>
    </row>
    <row r="54" spans="24:28" x14ac:dyDescent="0.3">
      <c r="X54" s="77">
        <v>2029</v>
      </c>
      <c r="Y54" s="80">
        <v>543</v>
      </c>
      <c r="AA54" s="77">
        <v>2051</v>
      </c>
      <c r="AB54" s="80">
        <f t="shared" si="1"/>
        <v>891</v>
      </c>
    </row>
    <row r="55" spans="24:28" x14ac:dyDescent="0.3">
      <c r="X55" s="77">
        <v>2029</v>
      </c>
      <c r="Y55" s="80">
        <v>547</v>
      </c>
      <c r="AA55" s="77" t="s">
        <v>26</v>
      </c>
      <c r="AB55" s="80">
        <f t="shared" si="1"/>
        <v>1312</v>
      </c>
    </row>
    <row r="56" spans="24:28" x14ac:dyDescent="0.3">
      <c r="X56" s="77">
        <v>2030</v>
      </c>
      <c r="Y56" s="80">
        <v>742</v>
      </c>
      <c r="AB56" s="80">
        <f>SUM(AB41:AB55)</f>
        <v>22282</v>
      </c>
    </row>
    <row r="57" spans="24:28" x14ac:dyDescent="0.3">
      <c r="X57" s="77">
        <v>2031</v>
      </c>
      <c r="Y57" s="80">
        <v>1092</v>
      </c>
    </row>
    <row r="58" spans="24:28" x14ac:dyDescent="0.3">
      <c r="X58" s="77">
        <v>2031</v>
      </c>
      <c r="Y58" s="80">
        <v>991</v>
      </c>
    </row>
    <row r="59" spans="24:28" x14ac:dyDescent="0.3">
      <c r="X59" s="77">
        <v>2031</v>
      </c>
      <c r="Y59" s="80">
        <v>743</v>
      </c>
    </row>
    <row r="60" spans="24:28" x14ac:dyDescent="0.3">
      <c r="X60" s="77">
        <v>2033</v>
      </c>
      <c r="Y60" s="80">
        <v>743</v>
      </c>
    </row>
    <row r="61" spans="24:28" x14ac:dyDescent="0.3">
      <c r="X61" s="77">
        <v>2034</v>
      </c>
      <c r="Y61" s="80">
        <v>742</v>
      </c>
    </row>
    <row r="62" spans="24:28" x14ac:dyDescent="0.3">
      <c r="X62" s="77">
        <v>2034</v>
      </c>
      <c r="Y62" s="80">
        <v>689</v>
      </c>
    </row>
    <row r="63" spans="24:28" x14ac:dyDescent="0.3">
      <c r="X63" s="77">
        <v>2041</v>
      </c>
      <c r="Y63" s="80">
        <v>1235</v>
      </c>
    </row>
    <row r="64" spans="24:28" x14ac:dyDescent="0.3">
      <c r="X64" s="77">
        <v>2047</v>
      </c>
      <c r="Y64" s="80">
        <v>344</v>
      </c>
    </row>
    <row r="65" spans="2:36" x14ac:dyDescent="0.3">
      <c r="X65" s="77">
        <v>2049</v>
      </c>
      <c r="Y65" s="80">
        <v>396</v>
      </c>
    </row>
    <row r="66" spans="2:36" x14ac:dyDescent="0.3">
      <c r="X66" s="77">
        <v>2049</v>
      </c>
      <c r="Y66" s="80">
        <v>346</v>
      </c>
    </row>
    <row r="67" spans="2:36" x14ac:dyDescent="0.3">
      <c r="X67" s="77">
        <v>2050</v>
      </c>
      <c r="Y67" s="80">
        <v>490</v>
      </c>
    </row>
    <row r="68" spans="2:36" x14ac:dyDescent="0.3">
      <c r="X68" s="77">
        <v>2051</v>
      </c>
      <c r="Y68" s="80">
        <v>891</v>
      </c>
    </row>
    <row r="69" spans="2:36" x14ac:dyDescent="0.3">
      <c r="X69" s="77" t="s">
        <v>26</v>
      </c>
      <c r="Y69" s="80">
        <v>1312</v>
      </c>
    </row>
    <row r="70" spans="2:36" x14ac:dyDescent="0.3">
      <c r="Y70" s="80">
        <f>SUM(Y41:Y69)</f>
        <v>22282</v>
      </c>
    </row>
    <row r="72" spans="2:36" x14ac:dyDescent="0.3">
      <c r="B72" s="63" t="s">
        <v>6</v>
      </c>
    </row>
    <row r="73" spans="2:36" x14ac:dyDescent="0.3">
      <c r="X73" s="81" t="s">
        <v>72</v>
      </c>
      <c r="AA73" s="81" t="s">
        <v>72</v>
      </c>
    </row>
    <row r="74" spans="2:36" x14ac:dyDescent="0.3">
      <c r="X74" s="79"/>
      <c r="AD74" s="4" t="s">
        <v>1</v>
      </c>
      <c r="AE74" s="4" t="s">
        <v>3</v>
      </c>
      <c r="AF74" s="4" t="s">
        <v>29</v>
      </c>
      <c r="AG74" s="4" t="s">
        <v>30</v>
      </c>
      <c r="AH74" s="4" t="s">
        <v>31</v>
      </c>
      <c r="AI74" s="4" t="s">
        <v>32</v>
      </c>
      <c r="AJ74" s="4" t="s">
        <v>33</v>
      </c>
    </row>
    <row r="75" spans="2:36" x14ac:dyDescent="0.3">
      <c r="X75" s="77">
        <v>2024</v>
      </c>
      <c r="Y75" s="80">
        <v>750</v>
      </c>
      <c r="AA75" s="77">
        <v>2024</v>
      </c>
      <c r="AB75" s="80">
        <f>SUMIF($X$75:$X$102,$AA75,$Y$75:$Y$102)</f>
        <v>750</v>
      </c>
      <c r="AD75" s="3" t="s">
        <v>66</v>
      </c>
      <c r="AE75" s="3" t="s">
        <v>6</v>
      </c>
      <c r="AF75" s="3" t="s">
        <v>68</v>
      </c>
      <c r="AG75" s="40">
        <f>SUM(AB75:AB80)</f>
        <v>11751</v>
      </c>
      <c r="AH75" s="3" t="s">
        <v>35</v>
      </c>
      <c r="AI75" s="3" t="s">
        <v>36</v>
      </c>
      <c r="AJ75" s="3" t="s">
        <v>29</v>
      </c>
    </row>
    <row r="76" spans="2:36" x14ac:dyDescent="0.3">
      <c r="X76" s="77">
        <v>2025</v>
      </c>
      <c r="Y76" s="80">
        <v>499</v>
      </c>
      <c r="AA76" s="77">
        <v>2025</v>
      </c>
      <c r="AB76" s="80">
        <f t="shared" ref="AB76:AB90" si="2">SUMIF($X$75:$X$102,$AA76,$Y$75:$Y$102)</f>
        <v>499</v>
      </c>
      <c r="AD76" s="3" t="s">
        <v>66</v>
      </c>
      <c r="AE76" s="3" t="s">
        <v>6</v>
      </c>
      <c r="AF76" s="3" t="s">
        <v>39</v>
      </c>
      <c r="AG76" s="40">
        <f>SUM(AB81:AB83)</f>
        <v>4310</v>
      </c>
      <c r="AH76" s="3" t="s">
        <v>35</v>
      </c>
      <c r="AI76" s="3" t="s">
        <v>36</v>
      </c>
      <c r="AJ76" s="3" t="s">
        <v>29</v>
      </c>
    </row>
    <row r="77" spans="2:36" x14ac:dyDescent="0.3">
      <c r="X77" s="77">
        <v>2026</v>
      </c>
      <c r="Y77" s="80">
        <v>898</v>
      </c>
      <c r="AA77" s="77">
        <v>2026</v>
      </c>
      <c r="AB77" s="80">
        <f t="shared" si="2"/>
        <v>2642</v>
      </c>
      <c r="AD77" s="3" t="s">
        <v>66</v>
      </c>
      <c r="AE77" s="3" t="s">
        <v>6</v>
      </c>
      <c r="AF77" s="3" t="s">
        <v>69</v>
      </c>
      <c r="AG77" s="40">
        <f>SUM(AB84:AB90)</f>
        <v>5881</v>
      </c>
      <c r="AH77" s="3" t="s">
        <v>35</v>
      </c>
      <c r="AI77" s="3" t="s">
        <v>36</v>
      </c>
      <c r="AJ77" s="3" t="s">
        <v>29</v>
      </c>
    </row>
    <row r="78" spans="2:36" x14ac:dyDescent="0.3">
      <c r="X78" s="77">
        <v>2026</v>
      </c>
      <c r="Y78" s="80">
        <v>748</v>
      </c>
      <c r="AA78" s="77">
        <v>2027</v>
      </c>
      <c r="AB78" s="80">
        <f t="shared" si="2"/>
        <v>3395</v>
      </c>
      <c r="AD78" s="3" t="s">
        <v>66</v>
      </c>
      <c r="AE78" s="3" t="s">
        <v>6</v>
      </c>
      <c r="AF78" s="3" t="s">
        <v>41</v>
      </c>
      <c r="AG78" s="40">
        <f>SUM(AG75:AG77)</f>
        <v>21942</v>
      </c>
      <c r="AH78" s="3" t="s">
        <v>35</v>
      </c>
      <c r="AI78" s="3" t="s">
        <v>36</v>
      </c>
      <c r="AJ78" s="3" t="s">
        <v>29</v>
      </c>
    </row>
    <row r="79" spans="2:36" x14ac:dyDescent="0.3">
      <c r="X79" s="77">
        <v>2026</v>
      </c>
      <c r="Y79" s="80">
        <v>996</v>
      </c>
      <c r="AA79" s="77">
        <v>2028</v>
      </c>
      <c r="AB79" s="80">
        <f t="shared" si="2"/>
        <v>2582</v>
      </c>
    </row>
    <row r="80" spans="2:36" x14ac:dyDescent="0.3">
      <c r="X80" s="77">
        <v>2027</v>
      </c>
      <c r="Y80" s="80">
        <v>498</v>
      </c>
      <c r="AA80" s="77">
        <v>2029</v>
      </c>
      <c r="AB80" s="80">
        <f t="shared" si="2"/>
        <v>1883</v>
      </c>
    </row>
    <row r="81" spans="24:28" x14ac:dyDescent="0.3">
      <c r="X81" s="77">
        <v>2027</v>
      </c>
      <c r="Y81" s="80">
        <v>1155</v>
      </c>
      <c r="AA81" s="77">
        <v>2030</v>
      </c>
      <c r="AB81" s="80">
        <f t="shared" si="2"/>
        <v>741</v>
      </c>
    </row>
    <row r="82" spans="24:28" x14ac:dyDescent="0.3">
      <c r="X82" s="77">
        <v>2027</v>
      </c>
      <c r="Y82" s="80">
        <v>745</v>
      </c>
      <c r="AA82" s="77">
        <v>2031</v>
      </c>
      <c r="AB82" s="80">
        <f t="shared" si="2"/>
        <v>2826</v>
      </c>
    </row>
    <row r="83" spans="24:28" x14ac:dyDescent="0.3">
      <c r="X83" s="77">
        <v>2027</v>
      </c>
      <c r="Y83" s="80">
        <v>997</v>
      </c>
      <c r="AA83" s="77">
        <v>2033</v>
      </c>
      <c r="AB83" s="80">
        <f t="shared" si="2"/>
        <v>743</v>
      </c>
    </row>
    <row r="84" spans="24:28" x14ac:dyDescent="0.3">
      <c r="X84" s="77">
        <v>2028</v>
      </c>
      <c r="Y84" s="80">
        <v>992</v>
      </c>
      <c r="AA84" s="77">
        <v>2034</v>
      </c>
      <c r="AB84" s="80">
        <f t="shared" si="2"/>
        <v>742</v>
      </c>
    </row>
    <row r="85" spans="24:28" x14ac:dyDescent="0.3">
      <c r="X85" s="77">
        <v>2028</v>
      </c>
      <c r="Y85" s="80">
        <v>995</v>
      </c>
      <c r="AA85" s="77">
        <v>2041</v>
      </c>
      <c r="AB85" s="80">
        <f t="shared" si="2"/>
        <v>1235</v>
      </c>
    </row>
    <row r="86" spans="24:28" x14ac:dyDescent="0.3">
      <c r="X86" s="77">
        <v>2028</v>
      </c>
      <c r="Y86" s="80">
        <v>595</v>
      </c>
      <c r="AA86" s="77">
        <v>2047</v>
      </c>
      <c r="AB86" s="80">
        <f t="shared" si="2"/>
        <v>344</v>
      </c>
    </row>
    <row r="87" spans="24:28" x14ac:dyDescent="0.3">
      <c r="X87" s="77">
        <v>2029</v>
      </c>
      <c r="Y87" s="80">
        <v>596</v>
      </c>
      <c r="AA87" s="77">
        <v>2049</v>
      </c>
      <c r="AB87" s="80">
        <f t="shared" si="2"/>
        <v>742</v>
      </c>
    </row>
    <row r="88" spans="24:28" x14ac:dyDescent="0.3">
      <c r="X88" s="77">
        <v>2029</v>
      </c>
      <c r="Y88" s="80">
        <v>741</v>
      </c>
      <c r="AA88" s="77">
        <v>2050</v>
      </c>
      <c r="AB88" s="80">
        <f t="shared" si="2"/>
        <v>490</v>
      </c>
    </row>
    <row r="89" spans="24:28" x14ac:dyDescent="0.3">
      <c r="X89" s="77">
        <v>2029</v>
      </c>
      <c r="Y89" s="80">
        <v>546</v>
      </c>
      <c r="AA89" s="77">
        <v>2051</v>
      </c>
      <c r="AB89" s="80">
        <f t="shared" si="2"/>
        <v>890</v>
      </c>
    </row>
    <row r="90" spans="24:28" x14ac:dyDescent="0.3">
      <c r="X90" s="77">
        <v>2030</v>
      </c>
      <c r="Y90" s="80">
        <v>741</v>
      </c>
      <c r="AA90" s="77" t="s">
        <v>26</v>
      </c>
      <c r="AB90" s="80">
        <f t="shared" si="2"/>
        <v>1438</v>
      </c>
    </row>
    <row r="91" spans="24:28" x14ac:dyDescent="0.3">
      <c r="X91" s="77">
        <v>2031</v>
      </c>
      <c r="Y91" s="80">
        <v>1092</v>
      </c>
      <c r="AB91" s="80">
        <f>SUM(AB75:AB90)</f>
        <v>21942</v>
      </c>
    </row>
    <row r="92" spans="24:28" x14ac:dyDescent="0.3">
      <c r="X92" s="77">
        <v>2031</v>
      </c>
      <c r="Y92" s="80">
        <v>991</v>
      </c>
    </row>
    <row r="93" spans="24:28" x14ac:dyDescent="0.3">
      <c r="X93" s="77">
        <v>2031</v>
      </c>
      <c r="Y93" s="80">
        <v>743</v>
      </c>
    </row>
    <row r="94" spans="24:28" x14ac:dyDescent="0.3">
      <c r="X94" s="77">
        <v>2033</v>
      </c>
      <c r="Y94" s="80">
        <v>743</v>
      </c>
    </row>
    <row r="95" spans="24:28" x14ac:dyDescent="0.3">
      <c r="X95" s="77">
        <v>2034</v>
      </c>
      <c r="Y95" s="80">
        <v>742</v>
      </c>
    </row>
    <row r="96" spans="24:28" x14ac:dyDescent="0.3">
      <c r="X96" s="77">
        <v>2041</v>
      </c>
      <c r="Y96" s="80">
        <v>1235</v>
      </c>
    </row>
    <row r="97" spans="2:36" x14ac:dyDescent="0.3">
      <c r="X97" s="77">
        <v>2047</v>
      </c>
      <c r="Y97" s="80">
        <v>344</v>
      </c>
    </row>
    <row r="98" spans="2:36" x14ac:dyDescent="0.3">
      <c r="X98" s="77">
        <v>2049</v>
      </c>
      <c r="Y98" s="80">
        <v>396</v>
      </c>
    </row>
    <row r="99" spans="2:36" x14ac:dyDescent="0.3">
      <c r="X99" s="77">
        <v>2049</v>
      </c>
      <c r="Y99" s="80">
        <v>346</v>
      </c>
    </row>
    <row r="100" spans="2:36" x14ac:dyDescent="0.3">
      <c r="X100" s="77">
        <v>2050</v>
      </c>
      <c r="Y100" s="80">
        <v>490</v>
      </c>
    </row>
    <row r="101" spans="2:36" x14ac:dyDescent="0.3">
      <c r="X101" s="77">
        <v>2051</v>
      </c>
      <c r="Y101" s="80">
        <v>890</v>
      </c>
    </row>
    <row r="102" spans="2:36" x14ac:dyDescent="0.3">
      <c r="X102" s="77" t="s">
        <v>26</v>
      </c>
      <c r="Y102" s="80">
        <v>1438</v>
      </c>
    </row>
    <row r="103" spans="2:36" x14ac:dyDescent="0.3">
      <c r="Y103" s="80">
        <f>SUM(Y75:Y102)</f>
        <v>21942</v>
      </c>
    </row>
    <row r="108" spans="2:36" x14ac:dyDescent="0.3">
      <c r="B108" s="63" t="s">
        <v>7</v>
      </c>
      <c r="X108" s="81" t="s">
        <v>72</v>
      </c>
      <c r="AA108" s="81" t="s">
        <v>72</v>
      </c>
    </row>
    <row r="109" spans="2:36" x14ac:dyDescent="0.3">
      <c r="AD109" s="4" t="s">
        <v>1</v>
      </c>
      <c r="AE109" s="4" t="s">
        <v>3</v>
      </c>
      <c r="AF109" s="4" t="s">
        <v>29</v>
      </c>
      <c r="AG109" s="4" t="s">
        <v>30</v>
      </c>
      <c r="AH109" s="4" t="s">
        <v>31</v>
      </c>
      <c r="AI109" s="4" t="s">
        <v>32</v>
      </c>
      <c r="AJ109" s="4" t="s">
        <v>33</v>
      </c>
    </row>
    <row r="110" spans="2:36" x14ac:dyDescent="0.3">
      <c r="X110" s="77">
        <v>2027</v>
      </c>
      <c r="Y110" s="80">
        <v>1162</v>
      </c>
      <c r="AA110" s="77">
        <v>2024</v>
      </c>
      <c r="AB110" s="80">
        <f t="shared" ref="AB110:AB124" si="3">SUMIF($X$110:$X$136,$AA110,$Y$110:$Y$136)</f>
        <v>750</v>
      </c>
      <c r="AD110" s="3" t="s">
        <v>66</v>
      </c>
      <c r="AE110" s="3" t="s">
        <v>7</v>
      </c>
      <c r="AF110" s="3" t="s">
        <v>68</v>
      </c>
      <c r="AG110" s="40">
        <f>SUM(AB110:AB115)</f>
        <v>11753</v>
      </c>
      <c r="AH110" s="3" t="s">
        <v>35</v>
      </c>
      <c r="AI110" s="3" t="s">
        <v>36</v>
      </c>
      <c r="AJ110" s="3" t="s">
        <v>29</v>
      </c>
    </row>
    <row r="111" spans="2:36" x14ac:dyDescent="0.3">
      <c r="X111" s="77">
        <v>2024</v>
      </c>
      <c r="Y111" s="80">
        <v>750</v>
      </c>
      <c r="AA111" s="77">
        <v>2025</v>
      </c>
      <c r="AB111" s="80">
        <f t="shared" si="3"/>
        <v>498</v>
      </c>
      <c r="AD111" s="3" t="s">
        <v>66</v>
      </c>
      <c r="AE111" s="3" t="s">
        <v>7</v>
      </c>
      <c r="AF111" s="3" t="s">
        <v>39</v>
      </c>
      <c r="AG111" s="40">
        <f>SUM(AB116:AB118)</f>
        <v>4310</v>
      </c>
      <c r="AH111" s="3" t="s">
        <v>35</v>
      </c>
      <c r="AI111" s="3" t="s">
        <v>36</v>
      </c>
      <c r="AJ111" s="3" t="s">
        <v>29</v>
      </c>
    </row>
    <row r="112" spans="2:36" x14ac:dyDescent="0.3">
      <c r="X112" s="77">
        <v>2025</v>
      </c>
      <c r="Y112" s="80">
        <v>498</v>
      </c>
      <c r="AA112" s="77">
        <v>2026</v>
      </c>
      <c r="AB112" s="80">
        <f t="shared" si="3"/>
        <v>2641</v>
      </c>
      <c r="AD112" s="3" t="s">
        <v>66</v>
      </c>
      <c r="AE112" s="3" t="s">
        <v>7</v>
      </c>
      <c r="AF112" s="3" t="s">
        <v>69</v>
      </c>
      <c r="AG112" s="40">
        <f>SUM(AB119:AB125)</f>
        <v>5581</v>
      </c>
      <c r="AH112" s="3" t="s">
        <v>35</v>
      </c>
      <c r="AI112" s="3" t="s">
        <v>36</v>
      </c>
      <c r="AJ112" s="3" t="s">
        <v>29</v>
      </c>
    </row>
    <row r="113" spans="24:36" x14ac:dyDescent="0.3">
      <c r="X113" s="77">
        <v>2026</v>
      </c>
      <c r="Y113" s="80">
        <v>898</v>
      </c>
      <c r="AA113" s="77">
        <v>2027</v>
      </c>
      <c r="AB113" s="80">
        <f t="shared" si="3"/>
        <v>3401</v>
      </c>
      <c r="AD113" s="3" t="s">
        <v>66</v>
      </c>
      <c r="AE113" s="3" t="s">
        <v>7</v>
      </c>
      <c r="AF113" s="3" t="s">
        <v>41</v>
      </c>
      <c r="AG113" s="40">
        <f>SUM(AG110:AG112)</f>
        <v>21644</v>
      </c>
      <c r="AH113" s="3" t="s">
        <v>35</v>
      </c>
      <c r="AI113" s="3" t="s">
        <v>36</v>
      </c>
      <c r="AJ113" s="3" t="s">
        <v>29</v>
      </c>
    </row>
    <row r="114" spans="24:36" x14ac:dyDescent="0.3">
      <c r="X114" s="77">
        <v>2026</v>
      </c>
      <c r="Y114" s="80">
        <v>748</v>
      </c>
      <c r="AA114" s="77">
        <v>2028</v>
      </c>
      <c r="AB114" s="80">
        <f t="shared" si="3"/>
        <v>2581</v>
      </c>
    </row>
    <row r="115" spans="24:36" x14ac:dyDescent="0.3">
      <c r="X115" s="77">
        <v>2026</v>
      </c>
      <c r="Y115" s="80">
        <v>995</v>
      </c>
      <c r="AA115" s="77">
        <v>2029</v>
      </c>
      <c r="AB115" s="80">
        <f t="shared" si="3"/>
        <v>1882</v>
      </c>
    </row>
    <row r="116" spans="24:36" x14ac:dyDescent="0.3">
      <c r="X116" s="77">
        <v>2027</v>
      </c>
      <c r="Y116" s="80">
        <v>498</v>
      </c>
      <c r="AA116" s="77">
        <v>2030</v>
      </c>
      <c r="AB116" s="80">
        <f t="shared" si="3"/>
        <v>741</v>
      </c>
    </row>
    <row r="117" spans="24:36" x14ac:dyDescent="0.3">
      <c r="X117" s="77">
        <v>2027</v>
      </c>
      <c r="Y117" s="80">
        <v>744</v>
      </c>
      <c r="AA117" s="77">
        <v>2031</v>
      </c>
      <c r="AB117" s="80">
        <f t="shared" si="3"/>
        <v>2826</v>
      </c>
    </row>
    <row r="118" spans="24:36" x14ac:dyDescent="0.3">
      <c r="X118" s="77">
        <v>2027</v>
      </c>
      <c r="Y118" s="80">
        <v>997</v>
      </c>
      <c r="AA118" s="77">
        <v>2033</v>
      </c>
      <c r="AB118" s="80">
        <f t="shared" si="3"/>
        <v>743</v>
      </c>
    </row>
    <row r="119" spans="24:36" x14ac:dyDescent="0.3">
      <c r="X119" s="77">
        <v>2028</v>
      </c>
      <c r="Y119" s="80">
        <v>992</v>
      </c>
      <c r="AA119" s="77">
        <v>2034</v>
      </c>
      <c r="AB119" s="80">
        <f t="shared" si="3"/>
        <v>742</v>
      </c>
    </row>
    <row r="120" spans="24:36" x14ac:dyDescent="0.3">
      <c r="X120" s="77">
        <v>2028</v>
      </c>
      <c r="Y120" s="80">
        <v>995</v>
      </c>
      <c r="AA120" s="77">
        <v>2041</v>
      </c>
      <c r="AB120" s="80">
        <f t="shared" si="3"/>
        <v>1235</v>
      </c>
    </row>
    <row r="121" spans="24:36" x14ac:dyDescent="0.3">
      <c r="X121" s="77">
        <v>2028</v>
      </c>
      <c r="Y121" s="80">
        <v>594</v>
      </c>
      <c r="AA121" s="77">
        <v>2047</v>
      </c>
      <c r="AB121" s="80">
        <f t="shared" si="3"/>
        <v>344</v>
      </c>
    </row>
    <row r="122" spans="24:36" x14ac:dyDescent="0.3">
      <c r="X122" s="77">
        <v>2029</v>
      </c>
      <c r="Y122" s="80">
        <v>595</v>
      </c>
      <c r="AA122" s="77">
        <v>2049</v>
      </c>
      <c r="AB122" s="80">
        <f t="shared" si="3"/>
        <v>742</v>
      </c>
    </row>
    <row r="123" spans="24:36" x14ac:dyDescent="0.3">
      <c r="X123" s="77">
        <v>2029</v>
      </c>
      <c r="Y123" s="80">
        <v>741</v>
      </c>
      <c r="AA123" s="77">
        <v>2050</v>
      </c>
      <c r="AB123" s="80">
        <f t="shared" si="3"/>
        <v>490</v>
      </c>
    </row>
    <row r="124" spans="24:36" x14ac:dyDescent="0.3">
      <c r="X124" s="77">
        <v>2029</v>
      </c>
      <c r="Y124" s="80">
        <v>546</v>
      </c>
      <c r="AA124" s="77">
        <v>2051</v>
      </c>
      <c r="AB124" s="80">
        <f t="shared" si="3"/>
        <v>890</v>
      </c>
    </row>
    <row r="125" spans="24:36" x14ac:dyDescent="0.3">
      <c r="X125" s="77">
        <v>2030</v>
      </c>
      <c r="Y125" s="80">
        <v>741</v>
      </c>
      <c r="AA125" s="77" t="s">
        <v>26</v>
      </c>
      <c r="AB125" s="80">
        <f>SUMIF($X$110:$X$137,$AA125,$Y$110:$Y$137)</f>
        <v>1138</v>
      </c>
    </row>
    <row r="126" spans="24:36" x14ac:dyDescent="0.3">
      <c r="X126" s="77">
        <v>2031</v>
      </c>
      <c r="Y126" s="80">
        <v>1092</v>
      </c>
      <c r="AB126" s="80">
        <f>SUM(AB110:AB125)</f>
        <v>21644</v>
      </c>
    </row>
    <row r="127" spans="24:36" x14ac:dyDescent="0.3">
      <c r="X127" s="77">
        <v>2031</v>
      </c>
      <c r="Y127" s="80">
        <v>991</v>
      </c>
    </row>
    <row r="128" spans="24:36" x14ac:dyDescent="0.3">
      <c r="X128" s="77">
        <v>2031</v>
      </c>
      <c r="Y128" s="80">
        <v>743</v>
      </c>
    </row>
    <row r="129" spans="24:25" x14ac:dyDescent="0.3">
      <c r="X129" s="77">
        <v>2033</v>
      </c>
      <c r="Y129" s="80">
        <v>743</v>
      </c>
    </row>
    <row r="130" spans="24:25" x14ac:dyDescent="0.3">
      <c r="X130" s="77">
        <v>2034</v>
      </c>
      <c r="Y130" s="80">
        <v>742</v>
      </c>
    </row>
    <row r="131" spans="24:25" x14ac:dyDescent="0.3">
      <c r="X131" s="77">
        <v>2041</v>
      </c>
      <c r="Y131" s="80">
        <v>1235</v>
      </c>
    </row>
    <row r="132" spans="24:25" x14ac:dyDescent="0.3">
      <c r="X132" s="77">
        <v>2047</v>
      </c>
      <c r="Y132" s="80">
        <v>344</v>
      </c>
    </row>
    <row r="133" spans="24:25" x14ac:dyDescent="0.3">
      <c r="X133" s="77">
        <v>2049</v>
      </c>
      <c r="Y133" s="80">
        <v>396</v>
      </c>
    </row>
    <row r="134" spans="24:25" x14ac:dyDescent="0.3">
      <c r="X134" s="77">
        <v>2049</v>
      </c>
      <c r="Y134" s="80">
        <v>346</v>
      </c>
    </row>
    <row r="135" spans="24:25" x14ac:dyDescent="0.3">
      <c r="X135" s="77">
        <v>2050</v>
      </c>
      <c r="Y135" s="80">
        <v>490</v>
      </c>
    </row>
    <row r="136" spans="24:25" x14ac:dyDescent="0.3">
      <c r="X136" s="77">
        <v>2051</v>
      </c>
      <c r="Y136" s="80">
        <v>890</v>
      </c>
    </row>
    <row r="137" spans="24:25" x14ac:dyDescent="0.3">
      <c r="X137" s="77" t="s">
        <v>26</v>
      </c>
      <c r="Y137" s="80">
        <v>1138</v>
      </c>
    </row>
    <row r="138" spans="24:25" x14ac:dyDescent="0.3">
      <c r="Y138" s="80">
        <f>SUM(Y110:Y137)</f>
        <v>21644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C866-4C39-4E75-8F6A-A1A6C9E4A700}">
  <sheetPr>
    <tabColor rgb="FF00B0F0"/>
  </sheetPr>
  <dimension ref="A1"/>
  <sheetViews>
    <sheetView showGridLines="0" workbookViewId="0">
      <selection activeCell="K36" sqref="K36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87CB-8B9C-4C57-B2D8-64EC7E59F6BC}">
  <dimension ref="A1:Q278"/>
  <sheetViews>
    <sheetView showGridLines="0" workbookViewId="0">
      <selection activeCell="D16" sqref="D16:D28"/>
    </sheetView>
  </sheetViews>
  <sheetFormatPr defaultRowHeight="13.8" x14ac:dyDescent="0.25"/>
  <cols>
    <col min="1" max="1" width="4.77734375" style="2" bestFit="1" customWidth="1"/>
    <col min="2" max="2" width="8" style="2" bestFit="1" customWidth="1"/>
    <col min="3" max="3" width="11.33203125" style="2" bestFit="1" customWidth="1"/>
    <col min="4" max="4" width="13.44140625" style="2" bestFit="1" customWidth="1"/>
    <col min="5" max="5" width="7.88671875" style="2" bestFit="1" customWidth="1"/>
    <col min="6" max="6" width="3.109375" style="2" customWidth="1"/>
    <col min="7" max="7" width="5.5546875" style="2" bestFit="1" customWidth="1"/>
    <col min="8" max="8" width="6.77734375" style="2" bestFit="1" customWidth="1"/>
    <col min="9" max="9" width="13.44140625" style="2" bestFit="1" customWidth="1"/>
    <col min="10" max="10" width="7.88671875" style="2" bestFit="1" customWidth="1"/>
    <col min="11" max="11" width="4" style="2" bestFit="1" customWidth="1"/>
    <col min="12" max="12" width="8" style="2" bestFit="1" customWidth="1"/>
    <col min="13" max="13" width="12.33203125" style="2" bestFit="1" customWidth="1"/>
    <col min="14" max="14" width="1.77734375" style="2" customWidth="1"/>
    <col min="15" max="15" width="4.6640625" style="2" customWidth="1"/>
    <col min="16" max="16" width="11.21875" style="2" bestFit="1" customWidth="1"/>
    <col min="17" max="17" width="9.6640625" style="2" customWidth="1"/>
    <col min="18" max="18" width="8" style="2" bestFit="1" customWidth="1"/>
    <col min="19" max="19" width="7.88671875" style="2" bestFit="1" customWidth="1"/>
    <col min="20" max="16384" width="8.88671875" style="2"/>
  </cols>
  <sheetData>
    <row r="1" spans="1:17" ht="14.4" x14ac:dyDescent="0.3">
      <c r="G1"/>
      <c r="H1"/>
      <c r="I1"/>
      <c r="J1"/>
      <c r="K1"/>
      <c r="L1"/>
      <c r="M1"/>
    </row>
    <row r="2" spans="1:17" x14ac:dyDescent="0.25">
      <c r="A2" s="63" t="s">
        <v>5</v>
      </c>
      <c r="B2" s="4" t="s">
        <v>27</v>
      </c>
      <c r="C2" s="1" t="s">
        <v>28</v>
      </c>
      <c r="D2" s="1" t="s">
        <v>29</v>
      </c>
      <c r="E2" s="4" t="s">
        <v>8</v>
      </c>
      <c r="G2" s="4" t="s">
        <v>1</v>
      </c>
      <c r="H2" s="4" t="s">
        <v>3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</row>
    <row r="3" spans="1:17" x14ac:dyDescent="0.25">
      <c r="A3" s="14"/>
      <c r="B3" s="3">
        <v>2025</v>
      </c>
      <c r="C3" s="40">
        <v>11365</v>
      </c>
      <c r="D3" s="40">
        <v>825000</v>
      </c>
      <c r="E3" s="40">
        <f>SUM(C3:D3)</f>
        <v>836365</v>
      </c>
      <c r="G3" s="3" t="s">
        <v>34</v>
      </c>
      <c r="H3" s="3" t="s">
        <v>5</v>
      </c>
      <c r="I3" s="3" t="s">
        <v>38</v>
      </c>
      <c r="J3" s="40">
        <f>SUM(D3:D7)/1000</f>
        <v>3300</v>
      </c>
      <c r="K3" s="3" t="s">
        <v>35</v>
      </c>
      <c r="L3" s="3" t="s">
        <v>36</v>
      </c>
      <c r="M3" s="3" t="s">
        <v>29</v>
      </c>
      <c r="O3" s="69" t="s">
        <v>50</v>
      </c>
    </row>
    <row r="4" spans="1:17" x14ac:dyDescent="0.25">
      <c r="A4" s="14"/>
      <c r="B4" s="3">
        <v>2026</v>
      </c>
      <c r="C4" s="40">
        <v>11811</v>
      </c>
      <c r="D4" s="40">
        <v>775000</v>
      </c>
      <c r="E4" s="40">
        <f t="shared" ref="E4:E12" si="0">SUM(C4:D4)</f>
        <v>786811</v>
      </c>
      <c r="F4" s="3"/>
      <c r="G4" s="3" t="s">
        <v>34</v>
      </c>
      <c r="H4" s="3" t="s">
        <v>5</v>
      </c>
      <c r="I4" s="3" t="s">
        <v>39</v>
      </c>
      <c r="J4" s="40">
        <f>SUM(D8:D11)/1000</f>
        <v>2750</v>
      </c>
      <c r="K4" s="3" t="s">
        <v>35</v>
      </c>
      <c r="L4" s="3" t="s">
        <v>36</v>
      </c>
      <c r="M4" s="3" t="s">
        <v>29</v>
      </c>
      <c r="O4" s="69" t="s">
        <v>51</v>
      </c>
    </row>
    <row r="5" spans="1:17" x14ac:dyDescent="0.25">
      <c r="B5" s="3">
        <v>2027</v>
      </c>
      <c r="C5" s="40">
        <v>250159</v>
      </c>
      <c r="D5" s="40">
        <v>400000</v>
      </c>
      <c r="E5" s="40">
        <f t="shared" si="0"/>
        <v>650159</v>
      </c>
      <c r="G5" s="3" t="s">
        <v>34</v>
      </c>
      <c r="H5" s="3" t="s">
        <v>5</v>
      </c>
      <c r="I5" s="3" t="s">
        <v>40</v>
      </c>
      <c r="J5" s="40">
        <f>(D13+D12)/1000</f>
        <v>1350</v>
      </c>
      <c r="K5" s="3" t="s">
        <v>35</v>
      </c>
      <c r="L5" s="3" t="s">
        <v>36</v>
      </c>
      <c r="M5" s="3" t="s">
        <v>29</v>
      </c>
      <c r="O5" s="69" t="s">
        <v>26</v>
      </c>
    </row>
    <row r="6" spans="1:17" x14ac:dyDescent="0.25">
      <c r="B6" s="3">
        <v>2028</v>
      </c>
      <c r="C6" s="40">
        <v>19002</v>
      </c>
      <c r="D6" s="40">
        <v>850000</v>
      </c>
      <c r="E6" s="40">
        <f t="shared" si="0"/>
        <v>869002</v>
      </c>
      <c r="F6" s="4"/>
      <c r="G6" s="3" t="s">
        <v>34</v>
      </c>
      <c r="H6" s="3" t="s">
        <v>5</v>
      </c>
      <c r="I6" s="3" t="s">
        <v>41</v>
      </c>
      <c r="J6" s="40">
        <f>SUM(J3:J5)</f>
        <v>7400</v>
      </c>
      <c r="K6" s="3" t="s">
        <v>35</v>
      </c>
      <c r="L6" s="3" t="s">
        <v>36</v>
      </c>
      <c r="M6" s="3" t="s">
        <v>29</v>
      </c>
    </row>
    <row r="7" spans="1:17" ht="14.4" x14ac:dyDescent="0.3">
      <c r="B7" s="3">
        <v>2029</v>
      </c>
      <c r="C7" s="40">
        <v>131561</v>
      </c>
      <c r="D7" s="40">
        <v>450000</v>
      </c>
      <c r="E7" s="40">
        <f t="shared" si="0"/>
        <v>581561</v>
      </c>
      <c r="F7" s="40"/>
      <c r="G7"/>
      <c r="H7"/>
      <c r="I7"/>
      <c r="J7"/>
      <c r="K7"/>
      <c r="L7"/>
      <c r="M7"/>
    </row>
    <row r="8" spans="1:17" ht="14.4" x14ac:dyDescent="0.3">
      <c r="A8" s="39"/>
      <c r="B8" s="3">
        <v>2030</v>
      </c>
      <c r="C8" s="40">
        <v>9000</v>
      </c>
      <c r="D8" s="40">
        <v>700000</v>
      </c>
      <c r="E8" s="40">
        <f t="shared" si="0"/>
        <v>709000</v>
      </c>
      <c r="F8" s="40"/>
      <c r="G8"/>
      <c r="H8"/>
      <c r="I8"/>
      <c r="J8"/>
      <c r="K8"/>
      <c r="L8"/>
      <c r="M8"/>
    </row>
    <row r="9" spans="1:17" ht="14.4" x14ac:dyDescent="0.3">
      <c r="A9" s="39"/>
      <c r="B9" s="3">
        <v>2031</v>
      </c>
      <c r="C9" s="40">
        <v>9600</v>
      </c>
      <c r="D9" s="40">
        <v>600000</v>
      </c>
      <c r="E9" s="40">
        <f t="shared" si="0"/>
        <v>609600</v>
      </c>
      <c r="F9" s="40"/>
      <c r="G9"/>
      <c r="H9"/>
      <c r="I9"/>
      <c r="J9"/>
      <c r="K9"/>
      <c r="L9"/>
      <c r="M9"/>
    </row>
    <row r="10" spans="1:17" ht="14.4" x14ac:dyDescent="0.3">
      <c r="B10" s="3">
        <v>2032</v>
      </c>
      <c r="C10" s="40">
        <v>10400</v>
      </c>
      <c r="D10" s="40">
        <v>700000</v>
      </c>
      <c r="E10" s="40">
        <f t="shared" si="0"/>
        <v>710400</v>
      </c>
      <c r="F10" s="40"/>
      <c r="G10"/>
      <c r="H10"/>
      <c r="I10"/>
      <c r="J10"/>
      <c r="K10"/>
      <c r="L10"/>
      <c r="M10"/>
    </row>
    <row r="11" spans="1:17" ht="14.4" x14ac:dyDescent="0.3">
      <c r="B11" s="3">
        <v>2033</v>
      </c>
      <c r="C11" s="40">
        <v>11900</v>
      </c>
      <c r="D11" s="40">
        <v>750000</v>
      </c>
      <c r="E11" s="40">
        <f t="shared" si="0"/>
        <v>761900</v>
      </c>
      <c r="F11" s="40"/>
      <c r="G11"/>
      <c r="H11"/>
      <c r="I11"/>
      <c r="J11"/>
      <c r="K11"/>
      <c r="L11"/>
      <c r="M11"/>
    </row>
    <row r="12" spans="1:17" ht="14.4" x14ac:dyDescent="0.3">
      <c r="B12" s="3">
        <v>2034</v>
      </c>
      <c r="C12" s="40">
        <v>12800</v>
      </c>
      <c r="D12" s="40">
        <v>400000</v>
      </c>
      <c r="E12" s="40">
        <f t="shared" si="0"/>
        <v>412800</v>
      </c>
      <c r="F12" s="40"/>
      <c r="G12"/>
      <c r="H12"/>
      <c r="I12"/>
      <c r="J12"/>
      <c r="K12"/>
      <c r="L12"/>
      <c r="M12"/>
    </row>
    <row r="13" spans="1:17" ht="14.4" x14ac:dyDescent="0.3">
      <c r="B13" s="3" t="s">
        <v>26</v>
      </c>
      <c r="C13" s="40">
        <v>256831</v>
      </c>
      <c r="D13" s="40">
        <v>950000</v>
      </c>
      <c r="E13" s="40">
        <f>SUM(C13:D13)</f>
        <v>1206831</v>
      </c>
      <c r="F13" s="40"/>
      <c r="G13"/>
      <c r="H13"/>
      <c r="I13"/>
      <c r="J13"/>
      <c r="K13"/>
      <c r="L13"/>
      <c r="M13"/>
    </row>
    <row r="14" spans="1:17" ht="14.4" x14ac:dyDescent="0.3">
      <c r="B14" s="6" t="s">
        <v>8</v>
      </c>
      <c r="C14" s="45">
        <f>SUM(C3:C13)</f>
        <v>734429</v>
      </c>
      <c r="D14" s="45">
        <f t="shared" ref="D14:E14" si="1">SUM(D3:D13)</f>
        <v>7400000</v>
      </c>
      <c r="E14" s="45">
        <f t="shared" si="1"/>
        <v>8134429</v>
      </c>
      <c r="F14" s="40"/>
      <c r="G14"/>
      <c r="H14"/>
      <c r="I14"/>
      <c r="J14"/>
      <c r="K14"/>
      <c r="L14"/>
      <c r="M14"/>
    </row>
    <row r="15" spans="1:17" ht="14.4" x14ac:dyDescent="0.3">
      <c r="G15"/>
      <c r="H15"/>
      <c r="I15"/>
      <c r="J15"/>
      <c r="K15"/>
      <c r="L15"/>
      <c r="M15"/>
    </row>
    <row r="16" spans="1:17" x14ac:dyDescent="0.25">
      <c r="A16" s="63" t="s">
        <v>4</v>
      </c>
      <c r="B16" s="4" t="s">
        <v>27</v>
      </c>
      <c r="C16" s="1" t="s">
        <v>28</v>
      </c>
      <c r="D16" s="1" t="s">
        <v>29</v>
      </c>
      <c r="E16" s="4" t="s">
        <v>8</v>
      </c>
      <c r="G16" s="4" t="s">
        <v>1</v>
      </c>
      <c r="H16" s="4" t="s">
        <v>3</v>
      </c>
      <c r="I16" s="4" t="s">
        <v>29</v>
      </c>
      <c r="J16" s="4" t="s">
        <v>30</v>
      </c>
      <c r="K16" s="4" t="s">
        <v>31</v>
      </c>
      <c r="L16" s="4" t="s">
        <v>32</v>
      </c>
      <c r="M16" s="4" t="s">
        <v>33</v>
      </c>
      <c r="Q16" s="40"/>
    </row>
    <row r="17" spans="1:15" x14ac:dyDescent="0.25">
      <c r="A17" s="14"/>
      <c r="B17" s="3">
        <v>2024</v>
      </c>
      <c r="C17" s="40">
        <v>461</v>
      </c>
      <c r="D17" s="40">
        <v>300000</v>
      </c>
      <c r="E17" s="40">
        <f>SUM(C17:D17)</f>
        <v>300461</v>
      </c>
      <c r="G17" s="3" t="s">
        <v>34</v>
      </c>
      <c r="H17" s="3" t="s">
        <v>4</v>
      </c>
      <c r="I17" s="3" t="s">
        <v>38</v>
      </c>
      <c r="J17" s="40">
        <f>SUM(D17:D22)/1000</f>
        <v>3600</v>
      </c>
      <c r="K17" s="3" t="s">
        <v>35</v>
      </c>
      <c r="L17" s="3" t="s">
        <v>36</v>
      </c>
      <c r="M17" s="3" t="s">
        <v>29</v>
      </c>
      <c r="O17" s="69" t="s">
        <v>50</v>
      </c>
    </row>
    <row r="18" spans="1:15" x14ac:dyDescent="0.25">
      <c r="A18" s="14"/>
      <c r="B18" s="3">
        <v>2025</v>
      </c>
      <c r="C18" s="40">
        <v>10765</v>
      </c>
      <c r="D18" s="40">
        <v>825000</v>
      </c>
      <c r="E18" s="40">
        <f t="shared" ref="E18:E27" si="2">SUM(C18:D18)</f>
        <v>835765</v>
      </c>
      <c r="F18" s="3"/>
      <c r="G18" s="3" t="s">
        <v>34</v>
      </c>
      <c r="H18" s="3" t="s">
        <v>4</v>
      </c>
      <c r="I18" s="3" t="s">
        <v>39</v>
      </c>
      <c r="J18" s="40">
        <f>SUM(D23:D26)/1000</f>
        <v>2750</v>
      </c>
      <c r="K18" s="3" t="s">
        <v>35</v>
      </c>
      <c r="L18" s="3" t="s">
        <v>36</v>
      </c>
      <c r="M18" s="3" t="s">
        <v>29</v>
      </c>
      <c r="O18" s="69" t="s">
        <v>51</v>
      </c>
    </row>
    <row r="19" spans="1:15" x14ac:dyDescent="0.25">
      <c r="B19" s="3">
        <v>2026</v>
      </c>
      <c r="C19" s="40">
        <v>11811</v>
      </c>
      <c r="D19" s="40">
        <v>775000</v>
      </c>
      <c r="E19" s="40">
        <f t="shared" si="2"/>
        <v>786811</v>
      </c>
      <c r="G19" s="3" t="s">
        <v>34</v>
      </c>
      <c r="H19" s="3" t="s">
        <v>4</v>
      </c>
      <c r="I19" s="3" t="s">
        <v>40</v>
      </c>
      <c r="J19" s="40">
        <f>D27/1000</f>
        <v>1350</v>
      </c>
      <c r="K19" s="3" t="s">
        <v>35</v>
      </c>
      <c r="L19" s="3" t="s">
        <v>36</v>
      </c>
      <c r="M19" s="3" t="s">
        <v>29</v>
      </c>
      <c r="O19" s="69" t="s">
        <v>26</v>
      </c>
    </row>
    <row r="20" spans="1:15" x14ac:dyDescent="0.25">
      <c r="B20" s="3">
        <v>2027</v>
      </c>
      <c r="C20" s="40">
        <v>250159</v>
      </c>
      <c r="D20" s="40">
        <v>400000</v>
      </c>
      <c r="E20" s="40">
        <f t="shared" si="2"/>
        <v>650159</v>
      </c>
      <c r="F20" s="4"/>
      <c r="G20" s="3" t="s">
        <v>34</v>
      </c>
      <c r="H20" s="3" t="s">
        <v>4</v>
      </c>
      <c r="I20" s="3" t="s">
        <v>41</v>
      </c>
      <c r="J20" s="40">
        <f>SUM(J17:J19)</f>
        <v>7700</v>
      </c>
      <c r="K20" s="3" t="s">
        <v>35</v>
      </c>
      <c r="L20" s="3" t="s">
        <v>36</v>
      </c>
      <c r="M20" s="3" t="s">
        <v>29</v>
      </c>
    </row>
    <row r="21" spans="1:15" ht="14.4" x14ac:dyDescent="0.3">
      <c r="B21" s="3">
        <v>2028</v>
      </c>
      <c r="C21" s="40">
        <v>18902</v>
      </c>
      <c r="D21" s="40">
        <v>850000</v>
      </c>
      <c r="E21" s="40">
        <f t="shared" si="2"/>
        <v>868902</v>
      </c>
      <c r="F21" s="40"/>
      <c r="G21"/>
      <c r="H21"/>
      <c r="I21"/>
      <c r="J21"/>
      <c r="K21"/>
      <c r="L21"/>
      <c r="M21"/>
    </row>
    <row r="22" spans="1:15" ht="14.4" x14ac:dyDescent="0.3">
      <c r="A22" s="39"/>
      <c r="B22" s="3">
        <v>2029</v>
      </c>
      <c r="C22" s="40">
        <v>132661</v>
      </c>
      <c r="D22" s="40">
        <v>450000</v>
      </c>
      <c r="E22" s="40">
        <f t="shared" si="2"/>
        <v>582661</v>
      </c>
      <c r="F22" s="40"/>
      <c r="G22"/>
      <c r="H22"/>
      <c r="I22"/>
      <c r="J22"/>
      <c r="K22"/>
      <c r="L22"/>
      <c r="M22"/>
    </row>
    <row r="23" spans="1:15" ht="14.4" x14ac:dyDescent="0.3">
      <c r="A23" s="39"/>
      <c r="B23" s="3">
        <v>2030</v>
      </c>
      <c r="C23" s="40">
        <v>9100</v>
      </c>
      <c r="D23" s="40">
        <v>700000</v>
      </c>
      <c r="E23" s="40">
        <f t="shared" si="2"/>
        <v>709100</v>
      </c>
      <c r="F23" s="40"/>
      <c r="G23"/>
      <c r="H23"/>
      <c r="I23"/>
      <c r="J23"/>
      <c r="K23"/>
      <c r="L23"/>
      <c r="M23"/>
    </row>
    <row r="24" spans="1:15" ht="14.4" x14ac:dyDescent="0.3">
      <c r="B24" s="3">
        <v>2031</v>
      </c>
      <c r="C24" s="40">
        <v>9700</v>
      </c>
      <c r="D24" s="40">
        <v>600000</v>
      </c>
      <c r="E24" s="40">
        <f t="shared" si="2"/>
        <v>609700</v>
      </c>
      <c r="F24" s="40"/>
      <c r="G24"/>
      <c r="H24"/>
      <c r="I24"/>
      <c r="J24"/>
      <c r="K24"/>
      <c r="L24"/>
      <c r="M24"/>
    </row>
    <row r="25" spans="1:15" ht="14.4" x14ac:dyDescent="0.3">
      <c r="B25" s="3">
        <v>2032</v>
      </c>
      <c r="C25" s="40">
        <v>10400</v>
      </c>
      <c r="D25" s="40">
        <v>700000</v>
      </c>
      <c r="E25" s="40">
        <f t="shared" si="2"/>
        <v>710400</v>
      </c>
      <c r="F25" s="40"/>
      <c r="G25"/>
      <c r="H25"/>
      <c r="I25"/>
      <c r="J25"/>
      <c r="K25"/>
      <c r="L25"/>
      <c r="M25"/>
    </row>
    <row r="26" spans="1:15" ht="14.4" x14ac:dyDescent="0.3">
      <c r="B26" s="3">
        <v>2033</v>
      </c>
      <c r="C26" s="40">
        <v>12000</v>
      </c>
      <c r="D26" s="40">
        <v>750000</v>
      </c>
      <c r="E26" s="40">
        <f t="shared" si="2"/>
        <v>762000</v>
      </c>
      <c r="F26" s="40"/>
      <c r="G26"/>
      <c r="H26"/>
      <c r="I26"/>
      <c r="J26"/>
      <c r="K26"/>
      <c r="L26"/>
      <c r="M26"/>
    </row>
    <row r="27" spans="1:15" ht="14.4" x14ac:dyDescent="0.3">
      <c r="B27" s="3" t="s">
        <v>26</v>
      </c>
      <c r="C27" s="40">
        <v>268951</v>
      </c>
      <c r="D27" s="40">
        <v>1350000</v>
      </c>
      <c r="E27" s="40">
        <f t="shared" si="2"/>
        <v>1618951</v>
      </c>
      <c r="F27" s="40"/>
      <c r="G27"/>
      <c r="H27"/>
      <c r="I27"/>
      <c r="J27"/>
      <c r="K27"/>
      <c r="L27"/>
      <c r="M27"/>
    </row>
    <row r="28" spans="1:15" ht="14.4" x14ac:dyDescent="0.3">
      <c r="B28" s="6" t="s">
        <v>8</v>
      </c>
      <c r="C28" s="45">
        <f>SUM(C17:C27)</f>
        <v>734910</v>
      </c>
      <c r="D28" s="45">
        <f t="shared" ref="D28:E28" si="3">SUM(D17:D27)</f>
        <v>7700000</v>
      </c>
      <c r="E28" s="45">
        <f t="shared" si="3"/>
        <v>8434910</v>
      </c>
      <c r="F28" s="40"/>
      <c r="G28"/>
      <c r="H28"/>
      <c r="I28"/>
      <c r="J28"/>
      <c r="K28"/>
      <c r="L28"/>
      <c r="M28"/>
    </row>
    <row r="29" spans="1:15" ht="14.4" x14ac:dyDescent="0.3">
      <c r="B29" s="7"/>
      <c r="C29" s="45"/>
      <c r="F29" s="40"/>
      <c r="G29"/>
      <c r="H29"/>
      <c r="I29"/>
      <c r="J29"/>
      <c r="K29"/>
      <c r="L29"/>
      <c r="M29"/>
    </row>
    <row r="30" spans="1:15" x14ac:dyDescent="0.25">
      <c r="A30" s="63" t="s">
        <v>6</v>
      </c>
      <c r="B30" s="4" t="s">
        <v>27</v>
      </c>
      <c r="C30" s="1" t="s">
        <v>28</v>
      </c>
      <c r="D30" s="1" t="s">
        <v>29</v>
      </c>
      <c r="E30" s="4" t="s">
        <v>8</v>
      </c>
      <c r="G30" s="4" t="s">
        <v>1</v>
      </c>
      <c r="H30" s="4" t="s">
        <v>3</v>
      </c>
      <c r="I30" s="4" t="s">
        <v>29</v>
      </c>
      <c r="J30" s="4" t="s">
        <v>30</v>
      </c>
      <c r="K30" s="4" t="s">
        <v>31</v>
      </c>
      <c r="L30" s="4" t="s">
        <v>32</v>
      </c>
      <c r="M30" s="4" t="s">
        <v>33</v>
      </c>
    </row>
    <row r="31" spans="1:15" x14ac:dyDescent="0.25">
      <c r="B31" s="3">
        <v>2024</v>
      </c>
      <c r="C31" s="40">
        <v>1612</v>
      </c>
      <c r="D31" s="40">
        <v>300000</v>
      </c>
      <c r="E31" s="40">
        <f t="shared" ref="E31:E41" si="4">SUM(C31:D31)</f>
        <v>301612</v>
      </c>
      <c r="G31" s="3" t="s">
        <v>34</v>
      </c>
      <c r="H31" s="3" t="s">
        <v>6</v>
      </c>
      <c r="I31" s="3" t="s">
        <v>38</v>
      </c>
      <c r="J31" s="40">
        <f>SUM(D31:D36)/1000</f>
        <v>3600</v>
      </c>
      <c r="K31" s="3" t="s">
        <v>35</v>
      </c>
      <c r="L31" s="3" t="s">
        <v>36</v>
      </c>
      <c r="M31" s="3" t="s">
        <v>29</v>
      </c>
      <c r="O31" s="69" t="s">
        <v>50</v>
      </c>
    </row>
    <row r="32" spans="1:15" x14ac:dyDescent="0.25">
      <c r="B32" s="3">
        <v>2025</v>
      </c>
      <c r="C32" s="40">
        <v>10765</v>
      </c>
      <c r="D32" s="40">
        <v>825000</v>
      </c>
      <c r="E32" s="40">
        <f t="shared" si="4"/>
        <v>835765</v>
      </c>
      <c r="F32" s="3"/>
      <c r="G32" s="3" t="s">
        <v>34</v>
      </c>
      <c r="H32" s="3" t="s">
        <v>6</v>
      </c>
      <c r="I32" s="3" t="s">
        <v>39</v>
      </c>
      <c r="J32" s="40">
        <f>SUM(D37:D40)/1000</f>
        <v>2750</v>
      </c>
      <c r="K32" s="3" t="s">
        <v>35</v>
      </c>
      <c r="L32" s="3" t="s">
        <v>36</v>
      </c>
      <c r="M32" s="3" t="s">
        <v>29</v>
      </c>
      <c r="O32" s="69" t="s">
        <v>51</v>
      </c>
    </row>
    <row r="33" spans="1:15" x14ac:dyDescent="0.25">
      <c r="B33" s="3">
        <v>2026</v>
      </c>
      <c r="C33" s="40">
        <v>11811</v>
      </c>
      <c r="D33" s="40">
        <v>775000</v>
      </c>
      <c r="E33" s="40">
        <f t="shared" si="4"/>
        <v>786811</v>
      </c>
      <c r="G33" s="3" t="s">
        <v>34</v>
      </c>
      <c r="H33" s="3" t="s">
        <v>6</v>
      </c>
      <c r="I33" s="3" t="s">
        <v>40</v>
      </c>
      <c r="J33" s="40">
        <f>D41/1000</f>
        <v>1350</v>
      </c>
      <c r="K33" s="3" t="s">
        <v>35</v>
      </c>
      <c r="L33" s="3" t="s">
        <v>36</v>
      </c>
      <c r="M33" s="3" t="s">
        <v>29</v>
      </c>
      <c r="O33" s="69" t="s">
        <v>26</v>
      </c>
    </row>
    <row r="34" spans="1:15" x14ac:dyDescent="0.25">
      <c r="B34" s="3">
        <v>2027</v>
      </c>
      <c r="C34" s="40">
        <v>250159</v>
      </c>
      <c r="D34" s="40">
        <v>400000</v>
      </c>
      <c r="E34" s="40">
        <f t="shared" si="4"/>
        <v>650159</v>
      </c>
      <c r="F34" s="4"/>
      <c r="G34" s="3" t="s">
        <v>34</v>
      </c>
      <c r="H34" s="3" t="s">
        <v>6</v>
      </c>
      <c r="I34" s="3" t="s">
        <v>41</v>
      </c>
      <c r="J34" s="40">
        <f>SUM(J31:J33)</f>
        <v>7700</v>
      </c>
      <c r="K34" s="3" t="s">
        <v>35</v>
      </c>
      <c r="L34" s="3" t="s">
        <v>36</v>
      </c>
      <c r="M34" s="3" t="s">
        <v>29</v>
      </c>
    </row>
    <row r="35" spans="1:15" x14ac:dyDescent="0.25">
      <c r="B35" s="3">
        <v>2028</v>
      </c>
      <c r="C35" s="40">
        <v>18902</v>
      </c>
      <c r="D35" s="40">
        <v>850000</v>
      </c>
      <c r="E35" s="40">
        <f t="shared" si="4"/>
        <v>868902</v>
      </c>
      <c r="F35" s="4"/>
      <c r="G35" s="3"/>
      <c r="H35" s="3"/>
      <c r="I35" s="3"/>
      <c r="J35" s="40"/>
      <c r="K35" s="3"/>
      <c r="L35" s="3"/>
      <c r="M35" s="3"/>
    </row>
    <row r="36" spans="1:15" x14ac:dyDescent="0.25">
      <c r="B36" s="3">
        <v>2029</v>
      </c>
      <c r="C36" s="40">
        <v>132661</v>
      </c>
      <c r="D36" s="40">
        <v>450000</v>
      </c>
      <c r="E36" s="40">
        <f t="shared" si="4"/>
        <v>582661</v>
      </c>
      <c r="F36" s="4"/>
      <c r="G36" s="3"/>
      <c r="H36" s="3"/>
      <c r="I36" s="3"/>
      <c r="J36" s="40"/>
      <c r="K36" s="3"/>
      <c r="L36" s="3"/>
      <c r="M36" s="3"/>
    </row>
    <row r="37" spans="1:15" x14ac:dyDescent="0.25">
      <c r="B37" s="3">
        <v>2030</v>
      </c>
      <c r="C37" s="40">
        <v>9100</v>
      </c>
      <c r="D37" s="40">
        <v>700000</v>
      </c>
      <c r="E37" s="40">
        <f t="shared" si="4"/>
        <v>709100</v>
      </c>
      <c r="F37" s="4"/>
      <c r="G37" s="3"/>
      <c r="H37" s="3"/>
      <c r="I37" s="3"/>
      <c r="J37" s="40"/>
      <c r="K37" s="3"/>
      <c r="L37" s="3"/>
      <c r="M37" s="3"/>
    </row>
    <row r="38" spans="1:15" x14ac:dyDescent="0.25">
      <c r="B38" s="3">
        <v>2031</v>
      </c>
      <c r="C38" s="40">
        <v>9700</v>
      </c>
      <c r="D38" s="40">
        <v>600000</v>
      </c>
      <c r="E38" s="40">
        <f t="shared" si="4"/>
        <v>609700</v>
      </c>
      <c r="F38" s="4"/>
      <c r="G38" s="3"/>
      <c r="H38" s="3"/>
      <c r="I38" s="3"/>
      <c r="J38" s="40"/>
      <c r="K38" s="3"/>
      <c r="L38" s="3"/>
      <c r="M38" s="3"/>
    </row>
    <row r="39" spans="1:15" ht="14.4" x14ac:dyDescent="0.3">
      <c r="B39" s="3">
        <v>2032</v>
      </c>
      <c r="C39" s="40">
        <v>10400</v>
      </c>
      <c r="D39" s="40">
        <v>700000</v>
      </c>
      <c r="E39" s="40">
        <f t="shared" si="4"/>
        <v>710400</v>
      </c>
      <c r="F39" s="40"/>
      <c r="G39"/>
      <c r="H39"/>
      <c r="I39"/>
      <c r="J39"/>
      <c r="K39"/>
      <c r="L39"/>
      <c r="M39"/>
    </row>
    <row r="40" spans="1:15" ht="14.4" x14ac:dyDescent="0.3">
      <c r="B40" s="3">
        <v>2033</v>
      </c>
      <c r="C40" s="40">
        <v>12000</v>
      </c>
      <c r="D40" s="40">
        <v>750000</v>
      </c>
      <c r="E40" s="40">
        <f t="shared" si="4"/>
        <v>762000</v>
      </c>
      <c r="F40" s="40"/>
      <c r="G40"/>
      <c r="H40"/>
      <c r="I40"/>
      <c r="J40"/>
      <c r="K40"/>
      <c r="L40"/>
      <c r="M40"/>
    </row>
    <row r="41" spans="1:15" ht="14.4" x14ac:dyDescent="0.3">
      <c r="B41" s="3" t="s">
        <v>26</v>
      </c>
      <c r="C41" s="40">
        <v>268951</v>
      </c>
      <c r="D41" s="40">
        <v>1350000</v>
      </c>
      <c r="E41" s="40">
        <f t="shared" si="4"/>
        <v>1618951</v>
      </c>
      <c r="F41" s="40"/>
      <c r="G41"/>
      <c r="H41"/>
      <c r="I41"/>
      <c r="J41"/>
      <c r="K41"/>
      <c r="L41"/>
      <c r="M41"/>
    </row>
    <row r="42" spans="1:15" ht="14.4" x14ac:dyDescent="0.3">
      <c r="B42" s="6" t="s">
        <v>8</v>
      </c>
      <c r="C42" s="45">
        <f>SUM(C31:C41)</f>
        <v>736061</v>
      </c>
      <c r="D42" s="45">
        <f>SUM(D31:D41)</f>
        <v>7700000</v>
      </c>
      <c r="E42" s="45">
        <f>SUM(E31:E41)</f>
        <v>8436061</v>
      </c>
      <c r="F42" s="40"/>
      <c r="G42"/>
      <c r="H42"/>
      <c r="I42"/>
      <c r="J42"/>
      <c r="K42"/>
      <c r="L42"/>
      <c r="M42"/>
    </row>
    <row r="43" spans="1:15" x14ac:dyDescent="0.25">
      <c r="C43" s="40"/>
      <c r="F43" s="40"/>
      <c r="G43" s="3"/>
      <c r="H43" s="40"/>
      <c r="I43" s="3"/>
      <c r="J43" s="40"/>
      <c r="K43" s="3"/>
      <c r="L43" s="3"/>
      <c r="M43" s="3"/>
    </row>
    <row r="44" spans="1:15" x14ac:dyDescent="0.25">
      <c r="B44" s="9"/>
    </row>
    <row r="45" spans="1:15" x14ac:dyDescent="0.25">
      <c r="A45" s="63" t="s">
        <v>7</v>
      </c>
      <c r="B45" s="4" t="s">
        <v>27</v>
      </c>
      <c r="C45" s="1" t="s">
        <v>28</v>
      </c>
      <c r="D45" s="1" t="s">
        <v>29</v>
      </c>
      <c r="E45" s="4" t="s">
        <v>8</v>
      </c>
      <c r="G45" s="4" t="s">
        <v>1</v>
      </c>
      <c r="H45" s="4" t="s">
        <v>3</v>
      </c>
      <c r="I45" s="4" t="s">
        <v>29</v>
      </c>
      <c r="J45" s="4" t="s">
        <v>30</v>
      </c>
      <c r="K45" s="4" t="s">
        <v>31</v>
      </c>
      <c r="L45" s="4" t="s">
        <v>32</v>
      </c>
      <c r="M45" s="4" t="s">
        <v>33</v>
      </c>
    </row>
    <row r="46" spans="1:15" x14ac:dyDescent="0.25">
      <c r="B46" s="3">
        <v>2024</v>
      </c>
      <c r="C46" s="40">
        <v>8793</v>
      </c>
      <c r="D46" s="40">
        <v>300000</v>
      </c>
      <c r="E46" s="40">
        <f t="shared" ref="E46:E56" si="5">SUM(C46:D46)</f>
        <v>308793</v>
      </c>
      <c r="G46" s="3" t="s">
        <v>34</v>
      </c>
      <c r="H46" s="3" t="s">
        <v>7</v>
      </c>
      <c r="I46" s="3" t="s">
        <v>38</v>
      </c>
      <c r="J46" s="40">
        <f>SUM(D46:D51)/1000</f>
        <v>3600</v>
      </c>
      <c r="K46" s="3" t="s">
        <v>35</v>
      </c>
      <c r="L46" s="3" t="s">
        <v>36</v>
      </c>
      <c r="M46" s="3" t="s">
        <v>29</v>
      </c>
      <c r="O46" s="69" t="s">
        <v>50</v>
      </c>
    </row>
    <row r="47" spans="1:15" x14ac:dyDescent="0.25">
      <c r="B47" s="3">
        <v>2025</v>
      </c>
      <c r="C47" s="40">
        <v>10765</v>
      </c>
      <c r="D47" s="40">
        <v>825000</v>
      </c>
      <c r="E47" s="40">
        <f t="shared" si="5"/>
        <v>835765</v>
      </c>
      <c r="F47" s="3"/>
      <c r="G47" s="3" t="s">
        <v>34</v>
      </c>
      <c r="H47" s="3" t="s">
        <v>7</v>
      </c>
      <c r="I47" s="3" t="s">
        <v>39</v>
      </c>
      <c r="J47" s="40">
        <f>SUM(D52:D55)/1000</f>
        <v>2750</v>
      </c>
      <c r="K47" s="3" t="s">
        <v>35</v>
      </c>
      <c r="L47" s="3" t="s">
        <v>36</v>
      </c>
      <c r="M47" s="3" t="s">
        <v>29</v>
      </c>
      <c r="O47" s="69" t="s">
        <v>51</v>
      </c>
    </row>
    <row r="48" spans="1:15" x14ac:dyDescent="0.25">
      <c r="B48" s="3">
        <v>2026</v>
      </c>
      <c r="C48" s="40">
        <v>11811</v>
      </c>
      <c r="D48" s="40">
        <v>775000</v>
      </c>
      <c r="E48" s="40">
        <f t="shared" si="5"/>
        <v>786811</v>
      </c>
      <c r="G48" s="3" t="s">
        <v>34</v>
      </c>
      <c r="H48" s="3" t="s">
        <v>7</v>
      </c>
      <c r="I48" s="3" t="s">
        <v>40</v>
      </c>
      <c r="J48" s="40">
        <f>D56/1000</f>
        <v>950</v>
      </c>
      <c r="K48" s="3" t="s">
        <v>35</v>
      </c>
      <c r="L48" s="3" t="s">
        <v>36</v>
      </c>
      <c r="M48" s="3" t="s">
        <v>29</v>
      </c>
      <c r="O48" s="69" t="s">
        <v>26</v>
      </c>
    </row>
    <row r="49" spans="1:13" x14ac:dyDescent="0.25">
      <c r="B49" s="3">
        <v>2027</v>
      </c>
      <c r="C49" s="40">
        <v>250159</v>
      </c>
      <c r="D49" s="40">
        <v>400000</v>
      </c>
      <c r="E49" s="40">
        <f t="shared" si="5"/>
        <v>650159</v>
      </c>
      <c r="F49" s="4"/>
      <c r="G49" s="3" t="s">
        <v>34</v>
      </c>
      <c r="H49" s="3" t="s">
        <v>7</v>
      </c>
      <c r="I49" s="3" t="s">
        <v>41</v>
      </c>
      <c r="J49" s="40">
        <f>SUM(J46:J48)</f>
        <v>7300</v>
      </c>
      <c r="K49" s="3" t="s">
        <v>35</v>
      </c>
      <c r="L49" s="3" t="s">
        <v>36</v>
      </c>
      <c r="M49" s="3" t="s">
        <v>29</v>
      </c>
    </row>
    <row r="50" spans="1:13" ht="14.4" x14ac:dyDescent="0.3">
      <c r="B50" s="3">
        <v>2028</v>
      </c>
      <c r="C50" s="40">
        <v>18902</v>
      </c>
      <c r="D50" s="40">
        <v>850000</v>
      </c>
      <c r="E50" s="40">
        <f t="shared" si="5"/>
        <v>868902</v>
      </c>
      <c r="F50" s="40"/>
      <c r="G50"/>
      <c r="H50"/>
      <c r="I50"/>
      <c r="J50"/>
      <c r="K50"/>
      <c r="L50"/>
      <c r="M50"/>
    </row>
    <row r="51" spans="1:13" ht="14.4" x14ac:dyDescent="0.3">
      <c r="B51" s="3">
        <v>2029</v>
      </c>
      <c r="C51" s="40">
        <v>132661</v>
      </c>
      <c r="D51" s="40">
        <v>450000</v>
      </c>
      <c r="E51" s="40">
        <f t="shared" si="5"/>
        <v>582661</v>
      </c>
      <c r="F51" s="40"/>
      <c r="G51"/>
      <c r="H51"/>
      <c r="I51"/>
      <c r="J51"/>
      <c r="K51"/>
      <c r="L51"/>
      <c r="M51"/>
    </row>
    <row r="52" spans="1:13" ht="14.4" x14ac:dyDescent="0.3">
      <c r="B52" s="3">
        <v>2030</v>
      </c>
      <c r="C52" s="40">
        <v>9100</v>
      </c>
      <c r="D52" s="40">
        <v>700000</v>
      </c>
      <c r="E52" s="40">
        <f t="shared" si="5"/>
        <v>709100</v>
      </c>
      <c r="F52" s="40"/>
      <c r="G52"/>
      <c r="H52"/>
      <c r="I52"/>
      <c r="J52"/>
      <c r="K52"/>
      <c r="L52"/>
      <c r="M52"/>
    </row>
    <row r="53" spans="1:13" ht="14.4" x14ac:dyDescent="0.3">
      <c r="B53" s="3">
        <v>2031</v>
      </c>
      <c r="C53" s="40">
        <v>9700</v>
      </c>
      <c r="D53" s="40">
        <v>600000</v>
      </c>
      <c r="E53" s="40">
        <f t="shared" si="5"/>
        <v>609700</v>
      </c>
      <c r="F53" s="40"/>
      <c r="G53"/>
      <c r="H53"/>
      <c r="I53"/>
      <c r="J53"/>
      <c r="K53"/>
      <c r="L53"/>
      <c r="M53"/>
    </row>
    <row r="54" spans="1:13" ht="14.4" x14ac:dyDescent="0.3">
      <c r="B54" s="3">
        <v>2032</v>
      </c>
      <c r="C54" s="40">
        <v>10400</v>
      </c>
      <c r="D54" s="40">
        <v>700000</v>
      </c>
      <c r="E54" s="40">
        <f t="shared" si="5"/>
        <v>710400</v>
      </c>
      <c r="F54" s="40"/>
      <c r="G54"/>
      <c r="H54"/>
      <c r="I54"/>
      <c r="J54"/>
      <c r="K54"/>
      <c r="L54"/>
      <c r="M54"/>
    </row>
    <row r="55" spans="1:13" ht="14.4" x14ac:dyDescent="0.3">
      <c r="B55" s="3">
        <v>2033</v>
      </c>
      <c r="C55" s="40">
        <v>12000</v>
      </c>
      <c r="D55" s="40">
        <v>750000</v>
      </c>
      <c r="E55" s="40">
        <f t="shared" si="5"/>
        <v>762000</v>
      </c>
      <c r="F55" s="40"/>
      <c r="G55"/>
      <c r="H55"/>
      <c r="I55"/>
      <c r="J55"/>
      <c r="K55"/>
      <c r="L55"/>
      <c r="M55"/>
    </row>
    <row r="56" spans="1:13" ht="14.4" x14ac:dyDescent="0.3">
      <c r="B56" s="3" t="s">
        <v>26</v>
      </c>
      <c r="C56" s="40">
        <v>268951</v>
      </c>
      <c r="D56" s="40">
        <v>950000</v>
      </c>
      <c r="E56" s="40">
        <f t="shared" si="5"/>
        <v>1218951</v>
      </c>
      <c r="F56" s="40"/>
      <c r="G56"/>
      <c r="H56"/>
      <c r="I56"/>
      <c r="J56"/>
      <c r="K56"/>
      <c r="L56"/>
      <c r="M56"/>
    </row>
    <row r="57" spans="1:13" ht="14.4" x14ac:dyDescent="0.3">
      <c r="B57" s="6" t="s">
        <v>8</v>
      </c>
      <c r="C57" s="45">
        <f>SUM(C46:C56)</f>
        <v>743242</v>
      </c>
      <c r="D57" s="45">
        <f t="shared" ref="D57:E57" si="6">SUM(D46:D56)</f>
        <v>7300000</v>
      </c>
      <c r="E57" s="45">
        <f t="shared" si="6"/>
        <v>8043242</v>
      </c>
      <c r="F57" s="40"/>
      <c r="G57"/>
      <c r="H57"/>
      <c r="I57"/>
      <c r="J57"/>
      <c r="K57"/>
      <c r="L57"/>
      <c r="M57"/>
    </row>
    <row r="58" spans="1:13" x14ac:dyDescent="0.25">
      <c r="A58" s="15"/>
      <c r="B58" s="3"/>
    </row>
    <row r="59" spans="1:13" ht="14.4" x14ac:dyDescent="0.3">
      <c r="A59" s="15"/>
      <c r="B59"/>
      <c r="C59"/>
      <c r="D59"/>
      <c r="E59"/>
      <c r="F59"/>
      <c r="G59"/>
      <c r="H59"/>
      <c r="I59"/>
      <c r="J59"/>
      <c r="K59"/>
      <c r="L59"/>
      <c r="M59"/>
    </row>
    <row r="60" spans="1:13" ht="14.4" x14ac:dyDescent="0.3">
      <c r="A60" s="15"/>
      <c r="B60"/>
      <c r="C60"/>
      <c r="D60"/>
      <c r="E60"/>
      <c r="F60"/>
      <c r="G60"/>
      <c r="H60"/>
      <c r="I60"/>
      <c r="J60"/>
      <c r="K60"/>
      <c r="L60"/>
      <c r="M60"/>
    </row>
    <row r="61" spans="1:13" ht="14.4" x14ac:dyDescent="0.3">
      <c r="A61" s="15"/>
      <c r="B61"/>
      <c r="C61"/>
      <c r="D61"/>
      <c r="E61"/>
      <c r="F61"/>
      <c r="G61"/>
      <c r="H61"/>
      <c r="I61"/>
      <c r="J61"/>
      <c r="K61"/>
      <c r="L61"/>
      <c r="M61"/>
    </row>
    <row r="62" spans="1:13" ht="14.4" x14ac:dyDescent="0.3">
      <c r="B62"/>
      <c r="C62"/>
      <c r="D62"/>
      <c r="E62"/>
      <c r="F62"/>
      <c r="G62"/>
      <c r="H62"/>
      <c r="I62"/>
      <c r="J62"/>
      <c r="K62"/>
      <c r="L62"/>
      <c r="M62"/>
    </row>
    <row r="63" spans="1:13" ht="14.4" x14ac:dyDescent="0.3">
      <c r="B63"/>
      <c r="C63"/>
      <c r="D63"/>
      <c r="E63"/>
      <c r="F63"/>
      <c r="G63"/>
      <c r="H63"/>
      <c r="I63"/>
      <c r="J63"/>
      <c r="K63"/>
      <c r="L63"/>
      <c r="M63"/>
    </row>
    <row r="64" spans="1:13" ht="14.4" x14ac:dyDescent="0.3">
      <c r="B64"/>
      <c r="C64"/>
      <c r="D64"/>
      <c r="E64"/>
      <c r="F64"/>
      <c r="G64"/>
      <c r="H64"/>
      <c r="I64"/>
      <c r="J64"/>
      <c r="K64"/>
      <c r="L64"/>
      <c r="M64"/>
    </row>
    <row r="65" spans="2:13" ht="14.4" x14ac:dyDescent="0.3">
      <c r="B65"/>
      <c r="C65"/>
      <c r="D65"/>
      <c r="E65"/>
      <c r="F65"/>
      <c r="G65"/>
      <c r="H65"/>
      <c r="I65"/>
      <c r="J65"/>
      <c r="K65"/>
      <c r="L65"/>
      <c r="M65"/>
    </row>
    <row r="66" spans="2:13" ht="14.4" x14ac:dyDescent="0.3">
      <c r="B66"/>
      <c r="C66"/>
      <c r="D66"/>
      <c r="E66"/>
      <c r="F66"/>
      <c r="G66"/>
      <c r="H66"/>
      <c r="I66"/>
      <c r="J66"/>
      <c r="K66"/>
      <c r="L66"/>
      <c r="M66"/>
    </row>
    <row r="67" spans="2:13" ht="14.4" x14ac:dyDescent="0.3">
      <c r="B67"/>
      <c r="C67"/>
      <c r="D67"/>
      <c r="E67"/>
      <c r="F67"/>
      <c r="G67"/>
      <c r="H67"/>
      <c r="I67"/>
      <c r="J67"/>
      <c r="K67"/>
      <c r="L67"/>
      <c r="M67"/>
    </row>
    <row r="68" spans="2:13" ht="14.4" x14ac:dyDescent="0.3">
      <c r="B68"/>
      <c r="C68"/>
      <c r="D68"/>
      <c r="E68"/>
      <c r="F68"/>
      <c r="G68"/>
      <c r="H68"/>
      <c r="I68"/>
      <c r="J68"/>
      <c r="K68"/>
      <c r="L68"/>
      <c r="M68"/>
    </row>
    <row r="69" spans="2:13" ht="14.4" x14ac:dyDescent="0.3">
      <c r="B69"/>
      <c r="C69"/>
      <c r="D69"/>
      <c r="E69"/>
      <c r="F69"/>
      <c r="G69"/>
      <c r="H69"/>
      <c r="I69"/>
      <c r="J69"/>
      <c r="K69"/>
      <c r="L69"/>
      <c r="M69"/>
    </row>
    <row r="70" spans="2:13" ht="14.4" x14ac:dyDescent="0.3">
      <c r="B70"/>
      <c r="C70"/>
      <c r="D70"/>
      <c r="E70"/>
      <c r="F70"/>
      <c r="G70"/>
      <c r="H70"/>
      <c r="I70"/>
      <c r="J70"/>
      <c r="K70"/>
      <c r="L70"/>
      <c r="M70"/>
    </row>
    <row r="71" spans="2:13" ht="14.4" x14ac:dyDescent="0.3">
      <c r="B71"/>
      <c r="C71"/>
      <c r="D71"/>
      <c r="E71" s="45"/>
      <c r="F71" s="40"/>
      <c r="G71"/>
      <c r="H71"/>
      <c r="I71"/>
      <c r="J71"/>
      <c r="K71"/>
      <c r="L71"/>
      <c r="M71"/>
    </row>
    <row r="72" spans="2:13" x14ac:dyDescent="0.25">
      <c r="B72" s="1"/>
      <c r="C72" s="4"/>
      <c r="E72" s="1"/>
      <c r="F72" s="4"/>
    </row>
    <row r="73" spans="2:13" x14ac:dyDescent="0.25">
      <c r="C73" s="40"/>
      <c r="F73" s="40"/>
    </row>
    <row r="74" spans="2:13" x14ac:dyDescent="0.25">
      <c r="C74" s="40"/>
      <c r="F74" s="40"/>
    </row>
    <row r="75" spans="2:13" x14ac:dyDescent="0.25">
      <c r="C75" s="40"/>
      <c r="F75" s="40"/>
    </row>
    <row r="76" spans="2:13" x14ac:dyDescent="0.25">
      <c r="C76" s="40"/>
      <c r="F76" s="40"/>
    </row>
    <row r="77" spans="2:13" x14ac:dyDescent="0.25">
      <c r="C77" s="40"/>
      <c r="F77" s="40"/>
    </row>
    <row r="78" spans="2:13" x14ac:dyDescent="0.25">
      <c r="C78" s="40"/>
      <c r="F78" s="40"/>
    </row>
    <row r="79" spans="2:13" x14ac:dyDescent="0.25">
      <c r="C79" s="40"/>
      <c r="F79" s="40"/>
    </row>
    <row r="80" spans="2:13" x14ac:dyDescent="0.25">
      <c r="C80" s="40"/>
      <c r="F80" s="40"/>
      <c r="I80" s="48"/>
    </row>
    <row r="81" spans="3:6" x14ac:dyDescent="0.25">
      <c r="C81" s="40"/>
      <c r="F81" s="40"/>
    </row>
    <row r="83" spans="3:6" ht="14.4" x14ac:dyDescent="0.3">
      <c r="E83" s="4"/>
      <c r="F83" s="44"/>
    </row>
    <row r="106" spans="2:6" x14ac:dyDescent="0.25">
      <c r="B106" s="9"/>
    </row>
    <row r="108" spans="2:6" x14ac:dyDescent="0.25">
      <c r="B108" s="1"/>
      <c r="C108" s="4"/>
      <c r="D108" s="4"/>
      <c r="E108" s="1"/>
      <c r="F108" s="4"/>
    </row>
    <row r="109" spans="2:6" x14ac:dyDescent="0.25">
      <c r="C109" s="40"/>
      <c r="F109" s="40"/>
    </row>
    <row r="110" spans="2:6" x14ac:dyDescent="0.25">
      <c r="C110" s="40"/>
      <c r="F110" s="40"/>
    </row>
    <row r="111" spans="2:6" x14ac:dyDescent="0.25">
      <c r="C111" s="40"/>
      <c r="F111" s="40"/>
    </row>
    <row r="112" spans="2:6" x14ac:dyDescent="0.25">
      <c r="C112" s="40"/>
      <c r="F112" s="40"/>
    </row>
    <row r="113" spans="2:6" x14ac:dyDescent="0.25">
      <c r="C113" s="40"/>
      <c r="F113" s="40"/>
    </row>
    <row r="114" spans="2:6" x14ac:dyDescent="0.25">
      <c r="C114" s="40"/>
      <c r="F114" s="40"/>
    </row>
    <row r="115" spans="2:6" x14ac:dyDescent="0.25">
      <c r="B115" s="7"/>
      <c r="C115" s="45"/>
      <c r="F115" s="40"/>
    </row>
    <row r="116" spans="2:6" x14ac:dyDescent="0.25">
      <c r="C116" s="40"/>
      <c r="F116" s="40"/>
    </row>
    <row r="117" spans="2:6" x14ac:dyDescent="0.25">
      <c r="C117" s="40"/>
      <c r="F117" s="40"/>
    </row>
    <row r="118" spans="2:6" x14ac:dyDescent="0.25">
      <c r="B118" s="7"/>
      <c r="C118" s="45"/>
      <c r="F118" s="40"/>
    </row>
    <row r="120" spans="2:6" x14ac:dyDescent="0.25">
      <c r="B120" s="9"/>
    </row>
    <row r="133" spans="1:6" x14ac:dyDescent="0.25">
      <c r="A133" s="8"/>
      <c r="B133" s="9"/>
    </row>
    <row r="134" spans="1:6" x14ac:dyDescent="0.25">
      <c r="A134" s="15"/>
      <c r="B134" s="3"/>
    </row>
    <row r="135" spans="1:6" x14ac:dyDescent="0.25">
      <c r="A135" s="15"/>
      <c r="B135" s="3"/>
    </row>
    <row r="136" spans="1:6" x14ac:dyDescent="0.25">
      <c r="A136" s="15"/>
      <c r="B136" s="3"/>
    </row>
    <row r="137" spans="1:6" x14ac:dyDescent="0.25">
      <c r="A137" s="15"/>
      <c r="B137" s="3"/>
    </row>
    <row r="138" spans="1:6" x14ac:dyDescent="0.25">
      <c r="A138" s="15"/>
      <c r="B138" s="3"/>
    </row>
    <row r="139" spans="1:6" x14ac:dyDescent="0.25">
      <c r="A139" s="15"/>
      <c r="B139" s="3"/>
    </row>
    <row r="140" spans="1:6" x14ac:dyDescent="0.25">
      <c r="A140" s="15"/>
      <c r="B140" s="7"/>
      <c r="C140" s="3"/>
      <c r="E140" s="7"/>
    </row>
    <row r="141" spans="1:6" x14ac:dyDescent="0.25">
      <c r="A141" s="15"/>
    </row>
    <row r="142" spans="1:6" x14ac:dyDescent="0.25">
      <c r="A142" s="15"/>
      <c r="B142" s="1"/>
      <c r="C142" s="4"/>
      <c r="E142" s="1"/>
      <c r="F142" s="4"/>
    </row>
    <row r="143" spans="1:6" x14ac:dyDescent="0.25">
      <c r="A143" s="15"/>
      <c r="C143" s="40"/>
      <c r="F143" s="40"/>
    </row>
    <row r="144" spans="1:6" x14ac:dyDescent="0.25">
      <c r="A144" s="15"/>
      <c r="C144" s="40"/>
      <c r="F144" s="40"/>
    </row>
    <row r="145" spans="1:6" x14ac:dyDescent="0.25">
      <c r="A145" s="15"/>
      <c r="C145" s="40"/>
      <c r="F145" s="40"/>
    </row>
    <row r="146" spans="1:6" x14ac:dyDescent="0.25">
      <c r="A146" s="15"/>
      <c r="C146" s="40"/>
      <c r="F146" s="40"/>
    </row>
    <row r="147" spans="1:6" x14ac:dyDescent="0.25">
      <c r="A147" s="15"/>
      <c r="C147" s="40"/>
      <c r="F147" s="40"/>
    </row>
    <row r="148" spans="1:6" x14ac:dyDescent="0.25">
      <c r="A148" s="15"/>
      <c r="C148" s="40"/>
      <c r="F148" s="40"/>
    </row>
    <row r="149" spans="1:6" x14ac:dyDescent="0.25">
      <c r="A149" s="15"/>
      <c r="C149" s="40"/>
      <c r="F149" s="40"/>
    </row>
    <row r="150" spans="1:6" x14ac:dyDescent="0.25">
      <c r="A150" s="15"/>
      <c r="C150" s="40"/>
      <c r="F150" s="40"/>
    </row>
    <row r="151" spans="1:6" x14ac:dyDescent="0.25">
      <c r="A151" s="15"/>
      <c r="C151" s="40"/>
      <c r="F151" s="40"/>
    </row>
    <row r="152" spans="1:6" x14ac:dyDescent="0.25">
      <c r="A152" s="15"/>
    </row>
    <row r="153" spans="1:6" ht="14.4" x14ac:dyDescent="0.3">
      <c r="A153" s="15"/>
      <c r="E153" s="4"/>
      <c r="F153" s="44"/>
    </row>
    <row r="154" spans="1:6" x14ac:dyDescent="0.25">
      <c r="A154" s="15"/>
      <c r="B154" s="3"/>
    </row>
    <row r="155" spans="1:6" x14ac:dyDescent="0.25">
      <c r="A155" s="15"/>
      <c r="B155" s="3"/>
    </row>
    <row r="156" spans="1:6" x14ac:dyDescent="0.25">
      <c r="A156" s="15"/>
      <c r="B156" s="3"/>
    </row>
    <row r="157" spans="1:6" x14ac:dyDescent="0.25">
      <c r="A157" s="15"/>
      <c r="B157" s="3"/>
    </row>
    <row r="158" spans="1:6" x14ac:dyDescent="0.25">
      <c r="A158" s="15"/>
      <c r="B158" s="3"/>
    </row>
    <row r="159" spans="1:6" x14ac:dyDescent="0.25">
      <c r="A159" s="15"/>
      <c r="B159" s="3"/>
    </row>
    <row r="160" spans="1:6" x14ac:dyDescent="0.25">
      <c r="A160" s="15"/>
      <c r="B160" s="3"/>
    </row>
    <row r="161" spans="1:6" x14ac:dyDescent="0.25">
      <c r="A161" s="15"/>
      <c r="B161" s="3"/>
    </row>
    <row r="162" spans="1:6" x14ac:dyDescent="0.25">
      <c r="A162" s="15"/>
      <c r="B162" s="3"/>
    </row>
    <row r="163" spans="1:6" x14ac:dyDescent="0.25">
      <c r="A163" s="15"/>
      <c r="B163" s="3"/>
    </row>
    <row r="164" spans="1:6" x14ac:dyDescent="0.25">
      <c r="A164" s="15"/>
      <c r="B164" s="3"/>
    </row>
    <row r="167" spans="1:6" x14ac:dyDescent="0.25">
      <c r="B167" s="9"/>
    </row>
    <row r="169" spans="1:6" x14ac:dyDescent="0.25">
      <c r="B169" s="1"/>
      <c r="C169" s="4"/>
      <c r="D169" s="4"/>
      <c r="E169" s="1"/>
      <c r="F169" s="4"/>
    </row>
    <row r="170" spans="1:6" x14ac:dyDescent="0.25">
      <c r="C170" s="40"/>
      <c r="F170" s="40"/>
    </row>
    <row r="171" spans="1:6" x14ac:dyDescent="0.25">
      <c r="C171" s="40"/>
      <c r="F171" s="40"/>
    </row>
    <row r="172" spans="1:6" x14ac:dyDescent="0.25">
      <c r="C172" s="40"/>
      <c r="F172" s="40"/>
    </row>
    <row r="173" spans="1:6" x14ac:dyDescent="0.25">
      <c r="C173" s="40"/>
      <c r="F173" s="40"/>
    </row>
    <row r="174" spans="1:6" x14ac:dyDescent="0.25">
      <c r="C174" s="40"/>
      <c r="F174" s="40"/>
    </row>
    <row r="175" spans="1:6" x14ac:dyDescent="0.25">
      <c r="C175" s="40"/>
      <c r="F175" s="40"/>
    </row>
    <row r="176" spans="1:6" x14ac:dyDescent="0.25">
      <c r="B176" s="7"/>
      <c r="C176" s="45"/>
      <c r="F176" s="40"/>
    </row>
    <row r="177" spans="2:6" x14ac:dyDescent="0.25">
      <c r="C177" s="40"/>
      <c r="F177" s="40"/>
    </row>
    <row r="178" spans="2:6" x14ac:dyDescent="0.25">
      <c r="C178" s="40"/>
      <c r="F178" s="40"/>
    </row>
    <row r="179" spans="2:6" x14ac:dyDescent="0.25">
      <c r="B179" s="7"/>
      <c r="C179" s="45"/>
      <c r="F179" s="40"/>
    </row>
    <row r="181" spans="2:6" x14ac:dyDescent="0.25">
      <c r="B181" s="9"/>
    </row>
    <row r="193" spans="1:6" x14ac:dyDescent="0.25">
      <c r="A193" s="8"/>
      <c r="B193" s="9"/>
    </row>
    <row r="194" spans="1:6" x14ac:dyDescent="0.25">
      <c r="A194" s="15"/>
      <c r="B194" s="3"/>
    </row>
    <row r="195" spans="1:6" x14ac:dyDescent="0.25">
      <c r="A195" s="15"/>
      <c r="B195" s="3"/>
    </row>
    <row r="196" spans="1:6" x14ac:dyDescent="0.25">
      <c r="A196" s="15"/>
      <c r="B196" s="3"/>
    </row>
    <row r="197" spans="1:6" x14ac:dyDescent="0.25">
      <c r="A197" s="15"/>
      <c r="B197" s="3"/>
    </row>
    <row r="198" spans="1:6" x14ac:dyDescent="0.25">
      <c r="A198" s="15"/>
      <c r="B198" s="3"/>
    </row>
    <row r="199" spans="1:6" x14ac:dyDescent="0.25">
      <c r="A199" s="15"/>
      <c r="B199" s="3"/>
    </row>
    <row r="200" spans="1:6" x14ac:dyDescent="0.25">
      <c r="A200" s="15"/>
      <c r="B200" s="3"/>
    </row>
    <row r="201" spans="1:6" x14ac:dyDescent="0.25">
      <c r="A201" s="15"/>
      <c r="B201" s="7"/>
      <c r="C201" s="3"/>
      <c r="E201" s="7"/>
    </row>
    <row r="202" spans="1:6" x14ac:dyDescent="0.25">
      <c r="A202" s="15"/>
    </row>
    <row r="203" spans="1:6" x14ac:dyDescent="0.25">
      <c r="A203" s="15"/>
      <c r="B203" s="1"/>
      <c r="C203" s="4"/>
      <c r="E203" s="1"/>
      <c r="F203" s="4"/>
    </row>
    <row r="204" spans="1:6" x14ac:dyDescent="0.25">
      <c r="A204" s="15"/>
      <c r="C204" s="40"/>
      <c r="F204" s="40"/>
    </row>
    <row r="205" spans="1:6" x14ac:dyDescent="0.25">
      <c r="A205" s="15"/>
      <c r="C205" s="40"/>
      <c r="F205" s="40"/>
    </row>
    <row r="206" spans="1:6" x14ac:dyDescent="0.25">
      <c r="A206" s="15"/>
      <c r="C206" s="40"/>
      <c r="F206" s="40"/>
    </row>
    <row r="207" spans="1:6" x14ac:dyDescent="0.25">
      <c r="A207" s="15"/>
      <c r="C207" s="40"/>
      <c r="F207" s="40"/>
    </row>
    <row r="208" spans="1:6" x14ac:dyDescent="0.25">
      <c r="A208" s="15"/>
      <c r="C208" s="40"/>
      <c r="F208" s="40"/>
    </row>
    <row r="209" spans="1:6" x14ac:dyDescent="0.25">
      <c r="A209" s="15"/>
      <c r="C209" s="40"/>
      <c r="F209" s="40"/>
    </row>
    <row r="210" spans="1:6" x14ac:dyDescent="0.25">
      <c r="A210" s="15"/>
      <c r="C210" s="40"/>
      <c r="F210" s="40"/>
    </row>
    <row r="211" spans="1:6" x14ac:dyDescent="0.25">
      <c r="A211" s="15"/>
      <c r="C211" s="40"/>
      <c r="F211" s="40"/>
    </row>
    <row r="212" spans="1:6" x14ac:dyDescent="0.25">
      <c r="A212" s="15"/>
      <c r="C212" s="40"/>
      <c r="F212" s="40"/>
    </row>
    <row r="213" spans="1:6" x14ac:dyDescent="0.25">
      <c r="A213" s="15"/>
    </row>
    <row r="214" spans="1:6" ht="14.4" x14ac:dyDescent="0.3">
      <c r="A214" s="15"/>
      <c r="E214" s="4"/>
      <c r="F214" s="44"/>
    </row>
    <row r="215" spans="1:6" x14ac:dyDescent="0.25">
      <c r="A215" s="15"/>
      <c r="B215" s="3"/>
    </row>
    <row r="216" spans="1:6" x14ac:dyDescent="0.25">
      <c r="A216" s="15"/>
      <c r="B216" s="3"/>
    </row>
    <row r="217" spans="1:6" x14ac:dyDescent="0.25">
      <c r="A217" s="15"/>
      <c r="B217" s="3"/>
    </row>
    <row r="218" spans="1:6" x14ac:dyDescent="0.25">
      <c r="A218" s="15"/>
      <c r="B218" s="3"/>
    </row>
    <row r="219" spans="1:6" x14ac:dyDescent="0.25">
      <c r="A219" s="15"/>
      <c r="B219" s="3"/>
    </row>
    <row r="220" spans="1:6" x14ac:dyDescent="0.25">
      <c r="A220" s="15"/>
      <c r="B220" s="3"/>
    </row>
    <row r="221" spans="1:6" x14ac:dyDescent="0.25">
      <c r="A221" s="15"/>
      <c r="B221" s="3"/>
    </row>
    <row r="222" spans="1:6" x14ac:dyDescent="0.25">
      <c r="A222" s="15"/>
      <c r="B222" s="3"/>
    </row>
    <row r="223" spans="1:6" x14ac:dyDescent="0.25">
      <c r="A223" s="15"/>
      <c r="B223" s="3"/>
    </row>
    <row r="224" spans="1:6" x14ac:dyDescent="0.25">
      <c r="A224" s="15"/>
      <c r="B224" s="3"/>
    </row>
    <row r="225" spans="1:6" x14ac:dyDescent="0.25">
      <c r="A225" s="15"/>
      <c r="B225" s="3"/>
    </row>
    <row r="226" spans="1:6" x14ac:dyDescent="0.25">
      <c r="A226" s="15"/>
      <c r="B226" s="3"/>
    </row>
    <row r="229" spans="1:6" x14ac:dyDescent="0.25">
      <c r="B229" s="9"/>
    </row>
    <row r="232" spans="1:6" x14ac:dyDescent="0.25">
      <c r="B232" s="1"/>
      <c r="C232" s="4"/>
      <c r="D232" s="4"/>
      <c r="E232" s="1"/>
      <c r="F232" s="4"/>
    </row>
    <row r="233" spans="1:6" x14ac:dyDescent="0.25">
      <c r="C233" s="40"/>
      <c r="F233" s="40"/>
    </row>
    <row r="234" spans="1:6" x14ac:dyDescent="0.25">
      <c r="C234" s="40"/>
      <c r="F234" s="40"/>
    </row>
    <row r="235" spans="1:6" x14ac:dyDescent="0.25">
      <c r="C235" s="40"/>
      <c r="F235" s="40"/>
    </row>
    <row r="236" spans="1:6" x14ac:dyDescent="0.25">
      <c r="C236" s="40"/>
      <c r="F236" s="40"/>
    </row>
    <row r="237" spans="1:6" x14ac:dyDescent="0.25">
      <c r="C237" s="40"/>
      <c r="F237" s="40"/>
    </row>
    <row r="238" spans="1:6" x14ac:dyDescent="0.25">
      <c r="C238" s="40"/>
      <c r="F238" s="40"/>
    </row>
    <row r="239" spans="1:6" x14ac:dyDescent="0.25">
      <c r="B239" s="7"/>
      <c r="C239" s="45"/>
      <c r="F239" s="40"/>
    </row>
    <row r="240" spans="1:6" x14ac:dyDescent="0.25">
      <c r="C240" s="40"/>
      <c r="F240" s="40"/>
    </row>
    <row r="241" spans="2:6" x14ac:dyDescent="0.25">
      <c r="C241" s="40"/>
      <c r="F241" s="40"/>
    </row>
    <row r="242" spans="2:6" x14ac:dyDescent="0.25">
      <c r="B242" s="7"/>
      <c r="C242" s="45"/>
      <c r="F242" s="40"/>
    </row>
    <row r="244" spans="2:6" x14ac:dyDescent="0.25">
      <c r="B244" s="9"/>
    </row>
    <row r="257" spans="1:6" x14ac:dyDescent="0.25">
      <c r="A257" s="8"/>
      <c r="B257" s="9"/>
    </row>
    <row r="258" spans="1:6" x14ac:dyDescent="0.25">
      <c r="A258" s="15"/>
      <c r="B258" s="3"/>
    </row>
    <row r="259" spans="1:6" x14ac:dyDescent="0.25">
      <c r="A259" s="15"/>
      <c r="B259" s="3"/>
    </row>
    <row r="260" spans="1:6" x14ac:dyDescent="0.25">
      <c r="A260" s="15"/>
      <c r="B260" s="3"/>
    </row>
    <row r="261" spans="1:6" x14ac:dyDescent="0.25">
      <c r="A261" s="15"/>
      <c r="B261" s="3"/>
    </row>
    <row r="262" spans="1:6" x14ac:dyDescent="0.25">
      <c r="A262" s="15"/>
      <c r="B262" s="3"/>
    </row>
    <row r="265" spans="1:6" x14ac:dyDescent="0.25">
      <c r="B265" s="7"/>
      <c r="C265" s="3"/>
      <c r="E265" s="7"/>
    </row>
    <row r="267" spans="1:6" x14ac:dyDescent="0.25">
      <c r="B267" s="1"/>
      <c r="C267" s="4"/>
      <c r="E267" s="1"/>
      <c r="F267" s="4"/>
    </row>
    <row r="268" spans="1:6" x14ac:dyDescent="0.25">
      <c r="C268" s="40"/>
      <c r="F268" s="40"/>
    </row>
    <row r="269" spans="1:6" x14ac:dyDescent="0.25">
      <c r="C269" s="40"/>
      <c r="F269" s="40"/>
    </row>
    <row r="270" spans="1:6" x14ac:dyDescent="0.25">
      <c r="C270" s="40"/>
      <c r="F270" s="40"/>
    </row>
    <row r="271" spans="1:6" x14ac:dyDescent="0.25">
      <c r="C271" s="40"/>
      <c r="F271" s="40"/>
    </row>
    <row r="272" spans="1:6" x14ac:dyDescent="0.25">
      <c r="C272" s="40"/>
      <c r="F272" s="40"/>
    </row>
    <row r="273" spans="3:6" x14ac:dyDescent="0.25">
      <c r="C273" s="40"/>
      <c r="F273" s="40"/>
    </row>
    <row r="274" spans="3:6" x14ac:dyDescent="0.25">
      <c r="C274" s="40"/>
      <c r="F274" s="40"/>
    </row>
    <row r="275" spans="3:6" x14ac:dyDescent="0.25">
      <c r="C275" s="40"/>
      <c r="F275" s="40"/>
    </row>
    <row r="276" spans="3:6" x14ac:dyDescent="0.25">
      <c r="C276" s="40"/>
      <c r="F276" s="40"/>
    </row>
    <row r="278" spans="3:6" ht="14.4" x14ac:dyDescent="0.3">
      <c r="E278" s="4"/>
      <c r="F278" s="44"/>
    </row>
  </sheetData>
  <pageMargins left="0.7" right="0.7" top="0.75" bottom="0.75" header="0.3" footer="0.3"/>
  <ignoredErrors>
    <ignoredError sqref="E17:E26 J17:J18 E46:E56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ADC2-1A5A-4AC8-A413-A97656C67F33}">
  <dimension ref="A1:O76"/>
  <sheetViews>
    <sheetView showGridLines="0" topLeftCell="A3" workbookViewId="0">
      <selection activeCell="O17" sqref="O17"/>
    </sheetView>
  </sheetViews>
  <sheetFormatPr defaultRowHeight="13.8" x14ac:dyDescent="0.3"/>
  <cols>
    <col min="1" max="1" width="8.88671875" style="60"/>
    <col min="2" max="2" width="8.77734375" style="60" customWidth="1"/>
    <col min="3" max="3" width="7.88671875" style="60" bestFit="1" customWidth="1"/>
    <col min="4" max="4" width="9.33203125" style="60" bestFit="1" customWidth="1"/>
    <col min="5" max="5" width="13.6640625" style="60" bestFit="1" customWidth="1"/>
    <col min="6" max="6" width="10.44140625" style="60" bestFit="1" customWidth="1"/>
    <col min="7" max="7" width="11.109375" style="60" bestFit="1" customWidth="1"/>
    <col min="8" max="8" width="8.5546875" style="60" bestFit="1" customWidth="1"/>
    <col min="9" max="9" width="13.44140625" style="60" bestFit="1" customWidth="1"/>
    <col min="10" max="10" width="8.88671875" style="60"/>
    <col min="11" max="11" width="8" style="60" bestFit="1" customWidth="1"/>
    <col min="12" max="12" width="13.44140625" style="60" bestFit="1" customWidth="1"/>
    <col min="13" max="13" width="4.5546875" style="60" customWidth="1"/>
    <col min="14" max="14" width="5" style="60" bestFit="1" customWidth="1"/>
    <col min="15" max="15" width="5.6640625" style="60" bestFit="1" customWidth="1"/>
    <col min="16" max="16384" width="8.88671875" style="60"/>
  </cols>
  <sheetData>
    <row r="1" spans="1:15" ht="14.4" x14ac:dyDescent="0.3">
      <c r="B1" s="2"/>
      <c r="C1" s="40"/>
      <c r="D1" s="2"/>
      <c r="E1" s="2"/>
      <c r="F1" s="40"/>
      <c r="G1" s="2"/>
      <c r="H1" s="2"/>
    </row>
    <row r="2" spans="1:15" ht="14.4" x14ac:dyDescent="0.3">
      <c r="A2" s="65" t="s">
        <v>43</v>
      </c>
      <c r="B2" s="8" t="s">
        <v>44</v>
      </c>
      <c r="C2" s="40"/>
      <c r="D2" s="2"/>
      <c r="E2" s="2"/>
      <c r="F2" s="40"/>
      <c r="G2" s="2"/>
      <c r="H2" s="2"/>
    </row>
    <row r="3" spans="1:15" ht="14.4" x14ac:dyDescent="0.3">
      <c r="A3"/>
      <c r="B3" s="8"/>
      <c r="C3" s="40"/>
      <c r="D3" s="2"/>
      <c r="E3" s="2"/>
      <c r="F3" s="40"/>
      <c r="G3" s="2"/>
      <c r="H3" s="2"/>
    </row>
    <row r="4" spans="1:15" ht="14.4" x14ac:dyDescent="0.3">
      <c r="A4"/>
      <c r="B4" s="8"/>
      <c r="C4" s="40"/>
      <c r="D4" s="2"/>
      <c r="E4" s="2"/>
      <c r="F4" s="40"/>
      <c r="G4" s="2"/>
      <c r="H4" s="6" t="s">
        <v>52</v>
      </c>
      <c r="I4" s="66"/>
      <c r="K4" s="6" t="s">
        <v>0</v>
      </c>
    </row>
    <row r="5" spans="1:15" ht="14.4" x14ac:dyDescent="0.3">
      <c r="A5" s="65" t="s">
        <v>5</v>
      </c>
      <c r="B5" s="2"/>
      <c r="C5" s="2"/>
      <c r="D5" s="2"/>
      <c r="E5" s="2"/>
      <c r="F5" s="2"/>
      <c r="G5" s="2"/>
      <c r="H5" s="66"/>
      <c r="I5" s="66"/>
    </row>
    <row r="6" spans="1:15" ht="14.4" x14ac:dyDescent="0.3">
      <c r="B6" s="2"/>
      <c r="C6" s="2"/>
      <c r="D6" s="2"/>
      <c r="E6" s="4"/>
      <c r="F6" s="44"/>
      <c r="G6" s="2"/>
      <c r="H6" s="4" t="s">
        <v>27</v>
      </c>
      <c r="I6" s="4" t="s">
        <v>29</v>
      </c>
      <c r="K6" s="4" t="s">
        <v>27</v>
      </c>
      <c r="L6" s="4" t="s">
        <v>29</v>
      </c>
      <c r="N6" s="60" t="b">
        <f t="shared" ref="N6:N18" si="0">H6=K6</f>
        <v>1</v>
      </c>
      <c r="O6" s="60" t="b">
        <f t="shared" ref="O6:O18" si="1">I6=L6</f>
        <v>1</v>
      </c>
    </row>
    <row r="7" spans="1:15" ht="14.4" x14ac:dyDescent="0.3">
      <c r="B7" s="2"/>
      <c r="C7" s="43"/>
      <c r="D7" s="2"/>
      <c r="E7" s="2"/>
      <c r="F7" s="43"/>
      <c r="G7" s="2"/>
      <c r="H7" s="3">
        <v>2025</v>
      </c>
      <c r="I7" s="40">
        <v>825</v>
      </c>
      <c r="K7" s="3">
        <v>2025</v>
      </c>
      <c r="L7" s="40">
        <v>825</v>
      </c>
      <c r="N7" s="60" t="b">
        <f t="shared" si="0"/>
        <v>1</v>
      </c>
      <c r="O7" s="60" t="b">
        <f t="shared" si="1"/>
        <v>1</v>
      </c>
    </row>
    <row r="8" spans="1:15" ht="14.4" x14ac:dyDescent="0.3">
      <c r="B8" s="5"/>
      <c r="C8" s="21"/>
      <c r="D8" s="2"/>
      <c r="E8" s="5"/>
      <c r="F8" s="21"/>
      <c r="H8" s="3">
        <v>2026</v>
      </c>
      <c r="I8" s="40">
        <v>775</v>
      </c>
      <c r="K8" s="3">
        <v>2026</v>
      </c>
      <c r="L8" s="40">
        <v>775</v>
      </c>
      <c r="N8" s="60" t="b">
        <f t="shared" si="0"/>
        <v>1</v>
      </c>
      <c r="O8" s="60" t="b">
        <f t="shared" si="1"/>
        <v>1</v>
      </c>
    </row>
    <row r="9" spans="1:15" ht="14.4" x14ac:dyDescent="0.3">
      <c r="B9" s="5"/>
      <c r="C9" s="21"/>
      <c r="D9" s="2"/>
      <c r="E9" s="5"/>
      <c r="F9" s="61"/>
      <c r="H9" s="3">
        <v>2027</v>
      </c>
      <c r="I9" s="40">
        <v>400</v>
      </c>
      <c r="K9" s="3">
        <v>2027</v>
      </c>
      <c r="L9" s="40">
        <v>400</v>
      </c>
      <c r="N9" s="60" t="b">
        <f t="shared" si="0"/>
        <v>1</v>
      </c>
      <c r="O9" s="60" t="b">
        <f t="shared" si="1"/>
        <v>1</v>
      </c>
    </row>
    <row r="10" spans="1:15" ht="14.4" x14ac:dyDescent="0.3">
      <c r="B10" s="5"/>
      <c r="C10" s="21"/>
      <c r="D10" s="2"/>
      <c r="E10" s="5"/>
      <c r="F10" s="62"/>
      <c r="H10" s="3">
        <v>2028</v>
      </c>
      <c r="I10" s="40">
        <v>850</v>
      </c>
      <c r="K10" s="3">
        <v>2028</v>
      </c>
      <c r="L10" s="40">
        <v>850</v>
      </c>
      <c r="N10" s="60" t="b">
        <f t="shared" si="0"/>
        <v>1</v>
      </c>
      <c r="O10" s="60" t="b">
        <f t="shared" si="1"/>
        <v>1</v>
      </c>
    </row>
    <row r="11" spans="1:15" ht="14.4" x14ac:dyDescent="0.3">
      <c r="B11" s="5"/>
      <c r="C11" s="21"/>
      <c r="D11" s="2"/>
      <c r="E11" s="5"/>
      <c r="F11" s="21"/>
      <c r="H11" s="3">
        <v>2029</v>
      </c>
      <c r="I11" s="40">
        <v>450</v>
      </c>
      <c r="K11" s="3">
        <v>2029</v>
      </c>
      <c r="L11" s="40">
        <v>450</v>
      </c>
      <c r="N11" s="60" t="b">
        <f t="shared" si="0"/>
        <v>1</v>
      </c>
      <c r="O11" s="60" t="b">
        <f t="shared" si="1"/>
        <v>1</v>
      </c>
    </row>
    <row r="12" spans="1:15" ht="14.4" x14ac:dyDescent="0.3">
      <c r="B12" s="5"/>
      <c r="C12" s="21"/>
      <c r="D12" s="2"/>
      <c r="E12" s="5"/>
      <c r="F12" s="21"/>
      <c r="H12" s="3">
        <v>2030</v>
      </c>
      <c r="I12" s="40">
        <v>700</v>
      </c>
      <c r="K12" s="3">
        <v>2030</v>
      </c>
      <c r="L12" s="40">
        <v>700</v>
      </c>
      <c r="N12" s="60" t="b">
        <f t="shared" si="0"/>
        <v>1</v>
      </c>
      <c r="O12" s="60" t="b">
        <f t="shared" si="1"/>
        <v>1</v>
      </c>
    </row>
    <row r="13" spans="1:15" ht="14.4" x14ac:dyDescent="0.3">
      <c r="B13" s="5"/>
      <c r="C13" s="21"/>
      <c r="D13" s="2"/>
      <c r="E13" s="5"/>
      <c r="F13" s="21"/>
      <c r="H13" s="3">
        <v>2031</v>
      </c>
      <c r="I13" s="40">
        <v>600</v>
      </c>
      <c r="K13" s="3">
        <v>2031</v>
      </c>
      <c r="L13" s="40">
        <v>600</v>
      </c>
      <c r="N13" s="60" t="b">
        <f t="shared" si="0"/>
        <v>1</v>
      </c>
      <c r="O13" s="60" t="b">
        <f t="shared" si="1"/>
        <v>1</v>
      </c>
    </row>
    <row r="14" spans="1:15" ht="14.4" x14ac:dyDescent="0.3">
      <c r="B14" s="5"/>
      <c r="C14" s="21"/>
      <c r="D14" s="2"/>
      <c r="E14" s="5"/>
      <c r="F14" s="21"/>
      <c r="H14" s="3">
        <v>2032</v>
      </c>
      <c r="I14" s="40">
        <v>700</v>
      </c>
      <c r="K14" s="3">
        <v>2032</v>
      </c>
      <c r="L14" s="40">
        <v>700</v>
      </c>
      <c r="N14" s="60" t="b">
        <f t="shared" si="0"/>
        <v>1</v>
      </c>
      <c r="O14" s="60" t="b">
        <f t="shared" si="1"/>
        <v>1</v>
      </c>
    </row>
    <row r="15" spans="1:15" ht="14.4" x14ac:dyDescent="0.3">
      <c r="B15" s="5"/>
      <c r="C15" s="21"/>
      <c r="D15" s="2"/>
      <c r="E15" s="5"/>
      <c r="F15" s="21"/>
      <c r="H15" s="3">
        <v>2033</v>
      </c>
      <c r="I15" s="40">
        <v>750</v>
      </c>
      <c r="K15" s="3">
        <v>2033</v>
      </c>
      <c r="L15" s="40">
        <v>750</v>
      </c>
      <c r="N15" s="60" t="b">
        <f t="shared" si="0"/>
        <v>1</v>
      </c>
      <c r="O15" s="60" t="b">
        <f t="shared" si="1"/>
        <v>1</v>
      </c>
    </row>
    <row r="16" spans="1:15" ht="14.4" x14ac:dyDescent="0.3">
      <c r="B16" s="2"/>
      <c r="C16" s="2"/>
      <c r="D16" s="2"/>
      <c r="E16" s="2"/>
      <c r="F16" s="2"/>
      <c r="H16" s="3">
        <v>2034</v>
      </c>
      <c r="I16" s="40">
        <v>400</v>
      </c>
      <c r="K16" s="3">
        <v>2034</v>
      </c>
      <c r="L16" s="40">
        <v>400</v>
      </c>
      <c r="N16" s="60" t="b">
        <f t="shared" si="0"/>
        <v>1</v>
      </c>
      <c r="O16" s="60" t="b">
        <f t="shared" si="1"/>
        <v>1</v>
      </c>
    </row>
    <row r="17" spans="1:15" ht="14.4" x14ac:dyDescent="0.3">
      <c r="B17" s="2"/>
      <c r="C17" s="2"/>
      <c r="D17" s="2"/>
      <c r="E17" s="17"/>
      <c r="F17" s="16"/>
      <c r="H17" s="3" t="s">
        <v>26</v>
      </c>
      <c r="I17" s="40">
        <v>950</v>
      </c>
      <c r="K17" s="3" t="s">
        <v>26</v>
      </c>
      <c r="L17" s="40">
        <v>950</v>
      </c>
      <c r="N17" s="60" t="b">
        <f t="shared" si="0"/>
        <v>1</v>
      </c>
      <c r="O17" s="60" t="b">
        <f t="shared" si="1"/>
        <v>1</v>
      </c>
    </row>
    <row r="18" spans="1:15" ht="14.4" x14ac:dyDescent="0.3">
      <c r="H18" s="6" t="s">
        <v>8</v>
      </c>
      <c r="I18" s="45">
        <f t="shared" ref="I18" si="2">SUM(I7:I17)</f>
        <v>7400</v>
      </c>
      <c r="K18" s="6" t="s">
        <v>8</v>
      </c>
      <c r="L18" s="45">
        <f>SUM(L7:L17)</f>
        <v>7400</v>
      </c>
      <c r="N18" s="60" t="b">
        <f t="shared" si="0"/>
        <v>1</v>
      </c>
      <c r="O18" s="60" t="b">
        <f t="shared" si="1"/>
        <v>1</v>
      </c>
    </row>
    <row r="20" spans="1:15" x14ac:dyDescent="0.3">
      <c r="K20" s="64" t="s">
        <v>2</v>
      </c>
      <c r="L20" s="44">
        <f>26/26</f>
        <v>1</v>
      </c>
    </row>
    <row r="22" spans="1:15" ht="14.4" x14ac:dyDescent="0.3">
      <c r="A22"/>
      <c r="B22" s="8"/>
      <c r="C22" s="40"/>
      <c r="D22" s="2"/>
      <c r="E22" s="2"/>
      <c r="F22" s="40"/>
      <c r="G22" s="2"/>
      <c r="H22" s="2"/>
    </row>
    <row r="23" spans="1:15" ht="14.4" x14ac:dyDescent="0.3">
      <c r="A23"/>
      <c r="B23" s="8"/>
      <c r="C23" s="40"/>
      <c r="D23" s="2"/>
      <c r="E23" s="2"/>
      <c r="F23" s="40"/>
      <c r="G23" s="2"/>
      <c r="H23" s="2"/>
    </row>
    <row r="24" spans="1:15" ht="14.4" x14ac:dyDescent="0.3">
      <c r="B24" s="2"/>
      <c r="C24" s="40"/>
      <c r="D24" s="2"/>
      <c r="E24" s="2"/>
      <c r="F24" s="40"/>
      <c r="G24" s="2"/>
      <c r="H24" s="6" t="s">
        <v>52</v>
      </c>
      <c r="I24" s="66"/>
      <c r="K24" s="6" t="s">
        <v>0</v>
      </c>
    </row>
    <row r="25" spans="1:15" ht="14.4" x14ac:dyDescent="0.3">
      <c r="A25" s="65" t="s">
        <v>4</v>
      </c>
      <c r="B25" s="2"/>
      <c r="C25" s="2"/>
      <c r="D25" s="2"/>
      <c r="E25" s="2"/>
      <c r="F25" s="2"/>
      <c r="G25" s="2"/>
      <c r="H25" s="66"/>
      <c r="I25" s="66"/>
    </row>
    <row r="26" spans="1:15" ht="14.4" x14ac:dyDescent="0.3">
      <c r="B26" s="2"/>
      <c r="C26" s="2"/>
      <c r="D26" s="2"/>
      <c r="E26" s="4"/>
      <c r="F26" s="44"/>
      <c r="G26" s="2"/>
      <c r="H26" s="4" t="s">
        <v>27</v>
      </c>
      <c r="I26" s="4" t="s">
        <v>29</v>
      </c>
      <c r="K26" s="4" t="s">
        <v>27</v>
      </c>
      <c r="L26" s="4" t="s">
        <v>29</v>
      </c>
      <c r="N26" s="60" t="b">
        <f t="shared" ref="N26:N38" si="3">H26=K26</f>
        <v>1</v>
      </c>
      <c r="O26" s="60" t="b">
        <f t="shared" ref="O26:O38" si="4">I26=L26</f>
        <v>1</v>
      </c>
    </row>
    <row r="27" spans="1:15" ht="14.4" x14ac:dyDescent="0.3">
      <c r="B27" s="2"/>
      <c r="C27" s="43"/>
      <c r="D27" s="2"/>
      <c r="E27" s="2"/>
      <c r="F27" s="43"/>
      <c r="G27" s="2"/>
      <c r="H27" s="3">
        <v>2024</v>
      </c>
      <c r="I27" s="40">
        <v>300</v>
      </c>
      <c r="K27" s="3">
        <v>2024</v>
      </c>
      <c r="L27" s="40">
        <v>300</v>
      </c>
      <c r="N27" s="60" t="b">
        <f t="shared" si="3"/>
        <v>1</v>
      </c>
      <c r="O27" s="60" t="b">
        <f t="shared" si="4"/>
        <v>1</v>
      </c>
    </row>
    <row r="28" spans="1:15" ht="14.4" x14ac:dyDescent="0.3">
      <c r="B28" s="5"/>
      <c r="C28" s="21"/>
      <c r="D28" s="2"/>
      <c r="E28" s="5"/>
      <c r="F28" s="21"/>
      <c r="H28" s="3">
        <v>2025</v>
      </c>
      <c r="I28" s="40">
        <v>825</v>
      </c>
      <c r="K28" s="3">
        <v>2025</v>
      </c>
      <c r="L28" s="40">
        <v>825</v>
      </c>
      <c r="N28" s="60" t="b">
        <f t="shared" si="3"/>
        <v>1</v>
      </c>
      <c r="O28" s="60" t="b">
        <f t="shared" si="4"/>
        <v>1</v>
      </c>
    </row>
    <row r="29" spans="1:15" ht="14.4" x14ac:dyDescent="0.3">
      <c r="B29" s="5"/>
      <c r="C29" s="21"/>
      <c r="D29" s="2"/>
      <c r="E29" s="5"/>
      <c r="F29" s="61"/>
      <c r="H29" s="3">
        <v>2026</v>
      </c>
      <c r="I29" s="40">
        <v>775</v>
      </c>
      <c r="K29" s="3">
        <v>2026</v>
      </c>
      <c r="L29" s="40">
        <v>775</v>
      </c>
      <c r="N29" s="60" t="b">
        <f t="shared" si="3"/>
        <v>1</v>
      </c>
      <c r="O29" s="60" t="b">
        <f t="shared" si="4"/>
        <v>1</v>
      </c>
    </row>
    <row r="30" spans="1:15" ht="14.4" x14ac:dyDescent="0.3">
      <c r="B30" s="5"/>
      <c r="C30" s="21"/>
      <c r="D30" s="2"/>
      <c r="E30" s="5"/>
      <c r="F30" s="62"/>
      <c r="H30" s="3">
        <v>2027</v>
      </c>
      <c r="I30" s="40">
        <v>400</v>
      </c>
      <c r="K30" s="3">
        <v>2027</v>
      </c>
      <c r="L30" s="40">
        <v>400</v>
      </c>
      <c r="N30" s="60" t="b">
        <f t="shared" si="3"/>
        <v>1</v>
      </c>
      <c r="O30" s="60" t="b">
        <f t="shared" si="4"/>
        <v>1</v>
      </c>
    </row>
    <row r="31" spans="1:15" ht="14.4" x14ac:dyDescent="0.3">
      <c r="B31" s="5"/>
      <c r="C31" s="21"/>
      <c r="D31" s="2"/>
      <c r="E31" s="5"/>
      <c r="F31" s="21"/>
      <c r="H31" s="3">
        <v>2028</v>
      </c>
      <c r="I31" s="40">
        <v>850</v>
      </c>
      <c r="K31" s="3">
        <v>2028</v>
      </c>
      <c r="L31" s="40">
        <v>850</v>
      </c>
      <c r="N31" s="60" t="b">
        <f t="shared" si="3"/>
        <v>1</v>
      </c>
      <c r="O31" s="60" t="b">
        <f t="shared" si="4"/>
        <v>1</v>
      </c>
    </row>
    <row r="32" spans="1:15" ht="14.4" x14ac:dyDescent="0.3">
      <c r="B32" s="5"/>
      <c r="C32" s="21"/>
      <c r="D32" s="2"/>
      <c r="E32" s="5"/>
      <c r="F32" s="21"/>
      <c r="H32" s="3">
        <v>2029</v>
      </c>
      <c r="I32" s="40">
        <v>450</v>
      </c>
      <c r="K32" s="3">
        <v>2029</v>
      </c>
      <c r="L32" s="40">
        <v>450</v>
      </c>
      <c r="N32" s="60" t="b">
        <f t="shared" si="3"/>
        <v>1</v>
      </c>
      <c r="O32" s="60" t="b">
        <f t="shared" si="4"/>
        <v>1</v>
      </c>
    </row>
    <row r="33" spans="1:15" ht="14.4" x14ac:dyDescent="0.3">
      <c r="B33" s="5"/>
      <c r="C33" s="21"/>
      <c r="D33" s="2"/>
      <c r="E33" s="5"/>
      <c r="F33" s="21"/>
      <c r="H33" s="3">
        <v>2030</v>
      </c>
      <c r="I33" s="40">
        <v>700</v>
      </c>
      <c r="K33" s="3">
        <v>2030</v>
      </c>
      <c r="L33" s="74">
        <v>900</v>
      </c>
      <c r="N33" s="60" t="b">
        <f t="shared" si="3"/>
        <v>1</v>
      </c>
      <c r="O33" s="70" t="b">
        <f t="shared" si="4"/>
        <v>0</v>
      </c>
    </row>
    <row r="34" spans="1:15" ht="14.4" x14ac:dyDescent="0.3">
      <c r="B34" s="5"/>
      <c r="C34" s="21"/>
      <c r="D34" s="2"/>
      <c r="E34" s="5"/>
      <c r="F34" s="21"/>
      <c r="H34" s="3">
        <v>2031</v>
      </c>
      <c r="I34" s="40">
        <v>600</v>
      </c>
      <c r="K34" s="3">
        <v>2031</v>
      </c>
      <c r="L34" s="40">
        <v>600</v>
      </c>
      <c r="N34" s="60" t="b">
        <f t="shared" si="3"/>
        <v>1</v>
      </c>
      <c r="O34" s="60" t="b">
        <f t="shared" si="4"/>
        <v>1</v>
      </c>
    </row>
    <row r="35" spans="1:15" ht="14.4" x14ac:dyDescent="0.3">
      <c r="B35" s="5"/>
      <c r="C35" s="21"/>
      <c r="D35" s="2"/>
      <c r="E35" s="5"/>
      <c r="F35" s="21"/>
      <c r="H35" s="3">
        <v>2032</v>
      </c>
      <c r="I35" s="40">
        <v>700</v>
      </c>
      <c r="K35" s="3">
        <v>2032</v>
      </c>
      <c r="L35" s="40">
        <v>700</v>
      </c>
      <c r="N35" s="60" t="b">
        <f t="shared" si="3"/>
        <v>1</v>
      </c>
      <c r="O35" s="60" t="b">
        <f t="shared" si="4"/>
        <v>1</v>
      </c>
    </row>
    <row r="36" spans="1:15" ht="14.4" x14ac:dyDescent="0.3">
      <c r="B36" s="2"/>
      <c r="C36" s="2"/>
      <c r="D36" s="2"/>
      <c r="E36" s="2"/>
      <c r="F36" s="2"/>
      <c r="H36" s="3">
        <v>2033</v>
      </c>
      <c r="I36" s="40">
        <v>750</v>
      </c>
      <c r="K36" s="3">
        <v>2033</v>
      </c>
      <c r="L36" s="40">
        <v>750</v>
      </c>
      <c r="N36" s="60" t="b">
        <f t="shared" si="3"/>
        <v>1</v>
      </c>
      <c r="O36" s="60" t="b">
        <f t="shared" si="4"/>
        <v>1</v>
      </c>
    </row>
    <row r="37" spans="1:15" ht="14.4" x14ac:dyDescent="0.3">
      <c r="B37" s="2"/>
      <c r="C37" s="2"/>
      <c r="D37" s="2"/>
      <c r="E37" s="17"/>
      <c r="F37" s="16"/>
      <c r="H37" s="3" t="s">
        <v>26</v>
      </c>
      <c r="I37" s="40">
        <v>1350</v>
      </c>
      <c r="K37" s="3" t="s">
        <v>26</v>
      </c>
      <c r="L37" s="40">
        <v>1350</v>
      </c>
      <c r="N37" s="60" t="b">
        <f t="shared" si="3"/>
        <v>1</v>
      </c>
      <c r="O37" s="60" t="b">
        <f t="shared" si="4"/>
        <v>1</v>
      </c>
    </row>
    <row r="38" spans="1:15" ht="14.4" x14ac:dyDescent="0.3">
      <c r="H38" s="6" t="s">
        <v>8</v>
      </c>
      <c r="I38" s="45">
        <f t="shared" ref="I38" si="5">SUM(I27:I37)</f>
        <v>7700</v>
      </c>
      <c r="K38" s="6" t="s">
        <v>8</v>
      </c>
      <c r="L38" s="45">
        <v>7700</v>
      </c>
      <c r="N38" s="60" t="b">
        <f t="shared" si="3"/>
        <v>1</v>
      </c>
      <c r="O38" s="60" t="b">
        <f t="shared" si="4"/>
        <v>1</v>
      </c>
    </row>
    <row r="40" spans="1:15" x14ac:dyDescent="0.3">
      <c r="K40" s="64" t="s">
        <v>2</v>
      </c>
      <c r="L40" s="44">
        <f>25/26</f>
        <v>0.96153846153846156</v>
      </c>
    </row>
    <row r="42" spans="1:15" ht="14.4" x14ac:dyDescent="0.3">
      <c r="H42" s="6" t="s">
        <v>52</v>
      </c>
      <c r="I42" s="66"/>
      <c r="K42" s="6" t="s">
        <v>0</v>
      </c>
    </row>
    <row r="43" spans="1:15" ht="14.4" x14ac:dyDescent="0.3">
      <c r="A43" s="65" t="s">
        <v>6</v>
      </c>
      <c r="B43" s="2"/>
      <c r="C43" s="2"/>
      <c r="D43" s="2"/>
      <c r="E43" s="2"/>
      <c r="F43" s="2"/>
      <c r="G43" s="2"/>
      <c r="H43" s="66"/>
      <c r="I43" s="66"/>
    </row>
    <row r="44" spans="1:15" ht="14.4" x14ac:dyDescent="0.3">
      <c r="B44" s="2"/>
      <c r="C44" s="2"/>
      <c r="D44" s="2"/>
      <c r="E44" s="4"/>
      <c r="F44" s="44"/>
      <c r="G44" s="2"/>
      <c r="H44" s="4" t="s">
        <v>27</v>
      </c>
      <c r="I44" s="4" t="s">
        <v>29</v>
      </c>
      <c r="K44" s="4" t="s">
        <v>27</v>
      </c>
      <c r="L44" s="4" t="s">
        <v>29</v>
      </c>
      <c r="N44" s="60" t="b">
        <f t="shared" ref="N44:N56" si="6">H44=K44</f>
        <v>1</v>
      </c>
      <c r="O44" s="60" t="b">
        <f t="shared" ref="O44:O56" si="7">I44=L44</f>
        <v>1</v>
      </c>
    </row>
    <row r="45" spans="1:15" ht="14.4" x14ac:dyDescent="0.3">
      <c r="B45" s="2"/>
      <c r="C45" s="43"/>
      <c r="D45" s="2"/>
      <c r="E45" s="2"/>
      <c r="F45" s="43"/>
      <c r="G45" s="2"/>
      <c r="H45" s="3">
        <v>2024</v>
      </c>
      <c r="I45" s="40">
        <v>300</v>
      </c>
      <c r="K45" s="3">
        <v>2024</v>
      </c>
      <c r="L45" s="40">
        <v>300</v>
      </c>
      <c r="N45" s="60" t="b">
        <f t="shared" si="6"/>
        <v>1</v>
      </c>
      <c r="O45" s="60" t="b">
        <f t="shared" si="7"/>
        <v>1</v>
      </c>
    </row>
    <row r="46" spans="1:15" ht="14.4" x14ac:dyDescent="0.3">
      <c r="B46" s="5"/>
      <c r="C46" s="21"/>
      <c r="D46" s="2"/>
      <c r="E46" s="5"/>
      <c r="F46" s="21"/>
      <c r="H46" s="3">
        <v>2025</v>
      </c>
      <c r="I46" s="40">
        <v>825</v>
      </c>
      <c r="K46" s="3">
        <v>2025</v>
      </c>
      <c r="L46" s="40">
        <v>825</v>
      </c>
      <c r="N46" s="60" t="b">
        <f t="shared" si="6"/>
        <v>1</v>
      </c>
      <c r="O46" s="60" t="b">
        <f t="shared" si="7"/>
        <v>1</v>
      </c>
    </row>
    <row r="47" spans="1:15" ht="14.4" x14ac:dyDescent="0.3">
      <c r="B47" s="5"/>
      <c r="C47" s="21"/>
      <c r="D47" s="2"/>
      <c r="E47" s="5"/>
      <c r="F47" s="61"/>
      <c r="H47" s="3">
        <v>2026</v>
      </c>
      <c r="I47" s="40">
        <v>775</v>
      </c>
      <c r="K47" s="3">
        <v>2026</v>
      </c>
      <c r="L47" s="40">
        <v>775</v>
      </c>
      <c r="N47" s="60" t="b">
        <f t="shared" si="6"/>
        <v>1</v>
      </c>
      <c r="O47" s="60" t="b">
        <f t="shared" si="7"/>
        <v>1</v>
      </c>
    </row>
    <row r="48" spans="1:15" ht="14.4" x14ac:dyDescent="0.3">
      <c r="B48" s="5"/>
      <c r="C48" s="21"/>
      <c r="D48" s="2"/>
      <c r="E48" s="5"/>
      <c r="F48" s="62"/>
      <c r="H48" s="3">
        <v>2027</v>
      </c>
      <c r="I48" s="40">
        <v>400</v>
      </c>
      <c r="K48" s="3">
        <v>2027</v>
      </c>
      <c r="L48" s="40">
        <v>400</v>
      </c>
      <c r="N48" s="60" t="b">
        <f t="shared" si="6"/>
        <v>1</v>
      </c>
      <c r="O48" s="60" t="b">
        <f t="shared" si="7"/>
        <v>1</v>
      </c>
    </row>
    <row r="49" spans="1:15" ht="14.4" x14ac:dyDescent="0.3">
      <c r="B49" s="5"/>
      <c r="C49" s="21"/>
      <c r="D49" s="2"/>
      <c r="E49" s="5"/>
      <c r="F49" s="21"/>
      <c r="H49" s="3">
        <v>2028</v>
      </c>
      <c r="I49" s="40">
        <v>850</v>
      </c>
      <c r="K49" s="3">
        <v>2028</v>
      </c>
      <c r="L49" s="40">
        <v>850</v>
      </c>
      <c r="N49" s="60" t="b">
        <f t="shared" si="6"/>
        <v>1</v>
      </c>
      <c r="O49" s="60" t="b">
        <f t="shared" si="7"/>
        <v>1</v>
      </c>
    </row>
    <row r="50" spans="1:15" ht="14.4" x14ac:dyDescent="0.3">
      <c r="B50" s="5"/>
      <c r="C50" s="21"/>
      <c r="D50" s="2"/>
      <c r="E50" s="5"/>
      <c r="F50" s="21"/>
      <c r="H50" s="3">
        <v>2029</v>
      </c>
      <c r="I50" s="40">
        <v>450</v>
      </c>
      <c r="K50" s="3">
        <v>2029</v>
      </c>
      <c r="L50" s="40">
        <v>450</v>
      </c>
      <c r="N50" s="60" t="b">
        <f t="shared" si="6"/>
        <v>1</v>
      </c>
      <c r="O50" s="60" t="b">
        <f t="shared" si="7"/>
        <v>1</v>
      </c>
    </row>
    <row r="51" spans="1:15" ht="14.4" x14ac:dyDescent="0.3">
      <c r="B51" s="5"/>
      <c r="C51" s="21"/>
      <c r="D51" s="2"/>
      <c r="E51" s="5"/>
      <c r="F51" s="21"/>
      <c r="H51" s="3">
        <v>2030</v>
      </c>
      <c r="I51" s="40">
        <v>700</v>
      </c>
      <c r="K51" s="3">
        <v>2030</v>
      </c>
      <c r="L51" s="40">
        <v>700</v>
      </c>
      <c r="N51" s="60" t="b">
        <f t="shared" si="6"/>
        <v>1</v>
      </c>
      <c r="O51" s="60" t="b">
        <f t="shared" si="7"/>
        <v>1</v>
      </c>
    </row>
    <row r="52" spans="1:15" ht="14.4" x14ac:dyDescent="0.3">
      <c r="B52" s="5"/>
      <c r="C52" s="21"/>
      <c r="D52" s="2"/>
      <c r="E52" s="5"/>
      <c r="F52" s="21"/>
      <c r="H52" s="3">
        <v>2031</v>
      </c>
      <c r="I52" s="40">
        <v>600</v>
      </c>
      <c r="K52" s="3">
        <v>2031</v>
      </c>
      <c r="L52" s="40">
        <v>600</v>
      </c>
      <c r="N52" s="60" t="b">
        <f t="shared" si="6"/>
        <v>1</v>
      </c>
      <c r="O52" s="60" t="b">
        <f t="shared" si="7"/>
        <v>1</v>
      </c>
    </row>
    <row r="53" spans="1:15" ht="14.4" x14ac:dyDescent="0.3">
      <c r="B53" s="5"/>
      <c r="C53" s="21"/>
      <c r="D53" s="2"/>
      <c r="E53" s="5"/>
      <c r="F53" s="21"/>
      <c r="H53" s="3">
        <v>2032</v>
      </c>
      <c r="I53" s="40">
        <v>700</v>
      </c>
      <c r="K53" s="3">
        <v>2032</v>
      </c>
      <c r="L53" s="40">
        <v>700</v>
      </c>
      <c r="N53" s="60" t="b">
        <f t="shared" si="6"/>
        <v>1</v>
      </c>
      <c r="O53" s="60" t="b">
        <f t="shared" si="7"/>
        <v>1</v>
      </c>
    </row>
    <row r="54" spans="1:15" ht="14.4" x14ac:dyDescent="0.3">
      <c r="B54" s="2"/>
      <c r="C54" s="2"/>
      <c r="D54" s="2"/>
      <c r="E54" s="2"/>
      <c r="F54" s="2"/>
      <c r="H54" s="3">
        <v>2033</v>
      </c>
      <c r="I54" s="40">
        <v>750</v>
      </c>
      <c r="K54" s="3">
        <v>2033</v>
      </c>
      <c r="L54" s="40">
        <v>750</v>
      </c>
      <c r="N54" s="60" t="b">
        <f t="shared" si="6"/>
        <v>1</v>
      </c>
      <c r="O54" s="60" t="b">
        <f t="shared" si="7"/>
        <v>1</v>
      </c>
    </row>
    <row r="55" spans="1:15" ht="14.4" x14ac:dyDescent="0.3">
      <c r="B55" s="2"/>
      <c r="C55" s="2"/>
      <c r="D55" s="2"/>
      <c r="E55" s="17"/>
      <c r="F55" s="16"/>
      <c r="H55" s="3" t="s">
        <v>26</v>
      </c>
      <c r="I55" s="40">
        <v>1350</v>
      </c>
      <c r="K55" s="3" t="s">
        <v>26</v>
      </c>
      <c r="L55" s="40">
        <v>1350</v>
      </c>
      <c r="N55" s="60" t="b">
        <f t="shared" si="6"/>
        <v>1</v>
      </c>
      <c r="O55" s="60" t="b">
        <f t="shared" si="7"/>
        <v>1</v>
      </c>
    </row>
    <row r="56" spans="1:15" ht="14.4" x14ac:dyDescent="0.3">
      <c r="H56" s="6" t="s">
        <v>8</v>
      </c>
      <c r="I56" s="45">
        <f t="shared" ref="I56" si="8">SUM(I45:I55)</f>
        <v>7700</v>
      </c>
      <c r="K56" s="6" t="s">
        <v>8</v>
      </c>
      <c r="L56" s="45">
        <f>SUM(L45:L55)</f>
        <v>7700</v>
      </c>
      <c r="N56" s="60" t="b">
        <f t="shared" si="6"/>
        <v>1</v>
      </c>
      <c r="O56" s="60" t="b">
        <f t="shared" si="7"/>
        <v>1</v>
      </c>
    </row>
    <row r="58" spans="1:15" x14ac:dyDescent="0.3">
      <c r="K58" s="64" t="s">
        <v>2</v>
      </c>
      <c r="L58" s="44">
        <f>26/26</f>
        <v>1</v>
      </c>
    </row>
    <row r="60" spans="1:15" ht="14.4" x14ac:dyDescent="0.3">
      <c r="H60" s="6" t="s">
        <v>52</v>
      </c>
      <c r="I60" s="66"/>
      <c r="K60" s="6" t="s">
        <v>0</v>
      </c>
    </row>
    <row r="61" spans="1:15" ht="14.4" x14ac:dyDescent="0.3">
      <c r="A61" s="65" t="s">
        <v>7</v>
      </c>
      <c r="B61" s="2"/>
      <c r="C61" s="2"/>
      <c r="D61" s="2"/>
      <c r="E61" s="2"/>
      <c r="F61" s="2"/>
      <c r="G61" s="2"/>
      <c r="H61" s="66"/>
      <c r="I61" s="66"/>
    </row>
    <row r="62" spans="1:15" ht="14.4" x14ac:dyDescent="0.3">
      <c r="B62" s="2"/>
      <c r="C62" s="2"/>
      <c r="D62" s="2"/>
      <c r="E62" s="4"/>
      <c r="F62" s="44"/>
      <c r="G62" s="2"/>
      <c r="H62" s="4" t="s">
        <v>27</v>
      </c>
      <c r="I62" s="4" t="s">
        <v>29</v>
      </c>
      <c r="K62" s="4" t="s">
        <v>27</v>
      </c>
      <c r="L62" s="4" t="s">
        <v>29</v>
      </c>
      <c r="N62" s="60" t="b">
        <f t="shared" ref="N62:N74" si="9">H62=K62</f>
        <v>1</v>
      </c>
      <c r="O62" s="60" t="b">
        <f t="shared" ref="O62:O74" si="10">I62=L62</f>
        <v>1</v>
      </c>
    </row>
    <row r="63" spans="1:15" ht="14.4" x14ac:dyDescent="0.3">
      <c r="B63" s="2"/>
      <c r="C63" s="43"/>
      <c r="D63" s="2"/>
      <c r="E63" s="2"/>
      <c r="F63" s="43"/>
      <c r="G63" s="2"/>
      <c r="H63" s="3">
        <v>2024</v>
      </c>
      <c r="I63" s="40">
        <v>300</v>
      </c>
      <c r="K63" s="3">
        <v>2024</v>
      </c>
      <c r="L63" s="40">
        <v>300</v>
      </c>
      <c r="N63" s="60" t="b">
        <f t="shared" si="9"/>
        <v>1</v>
      </c>
      <c r="O63" s="60" t="b">
        <f t="shared" si="10"/>
        <v>1</v>
      </c>
    </row>
    <row r="64" spans="1:15" ht="14.4" x14ac:dyDescent="0.3">
      <c r="B64" s="5"/>
      <c r="C64" s="21"/>
      <c r="D64" s="2"/>
      <c r="E64" s="5"/>
      <c r="F64" s="21"/>
      <c r="H64" s="3">
        <v>2025</v>
      </c>
      <c r="I64" s="40">
        <v>825</v>
      </c>
      <c r="K64" s="3">
        <v>2025</v>
      </c>
      <c r="L64" s="40">
        <v>825</v>
      </c>
      <c r="N64" s="60" t="b">
        <f t="shared" si="9"/>
        <v>1</v>
      </c>
      <c r="O64" s="60" t="b">
        <f t="shared" si="10"/>
        <v>1</v>
      </c>
    </row>
    <row r="65" spans="2:15" ht="14.4" x14ac:dyDescent="0.3">
      <c r="B65" s="5"/>
      <c r="C65" s="21"/>
      <c r="D65" s="2"/>
      <c r="E65" s="5"/>
      <c r="F65" s="61"/>
      <c r="H65" s="3">
        <v>2026</v>
      </c>
      <c r="I65" s="40">
        <v>775</v>
      </c>
      <c r="K65" s="3">
        <v>2026</v>
      </c>
      <c r="L65" s="40">
        <v>775</v>
      </c>
      <c r="N65" s="60" t="b">
        <f t="shared" si="9"/>
        <v>1</v>
      </c>
      <c r="O65" s="60" t="b">
        <f t="shared" si="10"/>
        <v>1</v>
      </c>
    </row>
    <row r="66" spans="2:15" ht="14.4" x14ac:dyDescent="0.3">
      <c r="B66" s="5"/>
      <c r="C66" s="21"/>
      <c r="D66" s="2"/>
      <c r="E66" s="5"/>
      <c r="F66" s="62"/>
      <c r="H66" s="3">
        <v>2027</v>
      </c>
      <c r="I66" s="40">
        <v>400</v>
      </c>
      <c r="K66" s="3">
        <v>2027</v>
      </c>
      <c r="L66" s="40">
        <v>400</v>
      </c>
      <c r="N66" s="60" t="b">
        <f t="shared" si="9"/>
        <v>1</v>
      </c>
      <c r="O66" s="60" t="b">
        <f t="shared" si="10"/>
        <v>1</v>
      </c>
    </row>
    <row r="67" spans="2:15" ht="14.4" x14ac:dyDescent="0.3">
      <c r="B67" s="5"/>
      <c r="C67" s="21"/>
      <c r="D67" s="2"/>
      <c r="E67" s="5"/>
      <c r="F67" s="21"/>
      <c r="H67" s="3">
        <v>2028</v>
      </c>
      <c r="I67" s="40">
        <v>850</v>
      </c>
      <c r="K67" s="3">
        <v>2028</v>
      </c>
      <c r="L67" s="40">
        <v>850</v>
      </c>
      <c r="N67" s="60" t="b">
        <f t="shared" si="9"/>
        <v>1</v>
      </c>
      <c r="O67" s="60" t="b">
        <f t="shared" si="10"/>
        <v>1</v>
      </c>
    </row>
    <row r="68" spans="2:15" ht="14.4" x14ac:dyDescent="0.3">
      <c r="B68" s="5"/>
      <c r="C68" s="21"/>
      <c r="D68" s="2"/>
      <c r="E68" s="5"/>
      <c r="F68" s="21"/>
      <c r="H68" s="3">
        <v>2029</v>
      </c>
      <c r="I68" s="40">
        <v>450</v>
      </c>
      <c r="K68" s="3">
        <v>2029</v>
      </c>
      <c r="L68" s="40">
        <v>450</v>
      </c>
      <c r="N68" s="60" t="b">
        <f t="shared" si="9"/>
        <v>1</v>
      </c>
      <c r="O68" s="60" t="b">
        <f t="shared" si="10"/>
        <v>1</v>
      </c>
    </row>
    <row r="69" spans="2:15" ht="14.4" x14ac:dyDescent="0.3">
      <c r="B69" s="5"/>
      <c r="C69" s="21"/>
      <c r="D69" s="2"/>
      <c r="E69" s="5"/>
      <c r="F69" s="21"/>
      <c r="H69" s="3">
        <v>2030</v>
      </c>
      <c r="I69" s="40">
        <v>700</v>
      </c>
      <c r="K69" s="3">
        <v>2030</v>
      </c>
      <c r="L69" s="40">
        <v>700</v>
      </c>
      <c r="N69" s="60" t="b">
        <f t="shared" si="9"/>
        <v>1</v>
      </c>
      <c r="O69" s="60" t="b">
        <f t="shared" si="10"/>
        <v>1</v>
      </c>
    </row>
    <row r="70" spans="2:15" ht="14.4" x14ac:dyDescent="0.3">
      <c r="B70" s="5"/>
      <c r="C70" s="21"/>
      <c r="D70" s="2"/>
      <c r="E70" s="5"/>
      <c r="F70" s="21"/>
      <c r="H70" s="3">
        <v>2031</v>
      </c>
      <c r="I70" s="40">
        <v>600</v>
      </c>
      <c r="K70" s="3">
        <v>2031</v>
      </c>
      <c r="L70" s="40">
        <v>600</v>
      </c>
      <c r="N70" s="60" t="b">
        <f t="shared" si="9"/>
        <v>1</v>
      </c>
      <c r="O70" s="60" t="b">
        <f t="shared" si="10"/>
        <v>1</v>
      </c>
    </row>
    <row r="71" spans="2:15" ht="14.4" x14ac:dyDescent="0.3">
      <c r="B71" s="5"/>
      <c r="C71" s="21"/>
      <c r="D71" s="2"/>
      <c r="E71" s="5"/>
      <c r="F71" s="21"/>
      <c r="H71" s="3">
        <v>2032</v>
      </c>
      <c r="I71" s="40">
        <v>700</v>
      </c>
      <c r="K71" s="3">
        <v>2032</v>
      </c>
      <c r="L71" s="40">
        <v>700</v>
      </c>
      <c r="N71" s="60" t="b">
        <f t="shared" si="9"/>
        <v>1</v>
      </c>
      <c r="O71" s="60" t="b">
        <f t="shared" si="10"/>
        <v>1</v>
      </c>
    </row>
    <row r="72" spans="2:15" ht="14.4" x14ac:dyDescent="0.3">
      <c r="B72" s="2"/>
      <c r="C72" s="2"/>
      <c r="D72" s="2"/>
      <c r="E72" s="2"/>
      <c r="F72" s="2"/>
      <c r="H72" s="3">
        <v>2033</v>
      </c>
      <c r="I72" s="40">
        <v>750</v>
      </c>
      <c r="K72" s="3">
        <v>2033</v>
      </c>
      <c r="L72" s="40">
        <v>750</v>
      </c>
      <c r="N72" s="60" t="b">
        <f t="shared" si="9"/>
        <v>1</v>
      </c>
      <c r="O72" s="60" t="b">
        <f t="shared" si="10"/>
        <v>1</v>
      </c>
    </row>
    <row r="73" spans="2:15" ht="14.4" x14ac:dyDescent="0.3">
      <c r="B73" s="2"/>
      <c r="C73" s="2"/>
      <c r="D73" s="2"/>
      <c r="E73" s="17"/>
      <c r="F73" s="16"/>
      <c r="H73" s="3" t="s">
        <v>26</v>
      </c>
      <c r="I73" s="40">
        <v>950</v>
      </c>
      <c r="K73" s="3" t="s">
        <v>26</v>
      </c>
      <c r="L73" s="40">
        <v>950</v>
      </c>
      <c r="N73" s="60" t="b">
        <f t="shared" si="9"/>
        <v>1</v>
      </c>
      <c r="O73" s="60" t="b">
        <f t="shared" si="10"/>
        <v>1</v>
      </c>
    </row>
    <row r="74" spans="2:15" ht="14.4" x14ac:dyDescent="0.3">
      <c r="H74" s="6" t="s">
        <v>8</v>
      </c>
      <c r="I74" s="45">
        <f t="shared" ref="I74" si="11">SUM(I63:I73)</f>
        <v>7300</v>
      </c>
      <c r="K74" s="6" t="s">
        <v>8</v>
      </c>
      <c r="L74" s="45">
        <f>SUM(L63:L73)</f>
        <v>7300</v>
      </c>
      <c r="N74" s="60" t="b">
        <f t="shared" si="9"/>
        <v>1</v>
      </c>
      <c r="O74" s="60" t="b">
        <f t="shared" si="10"/>
        <v>1</v>
      </c>
    </row>
    <row r="76" spans="2:15" x14ac:dyDescent="0.3">
      <c r="K76" s="64" t="s">
        <v>2</v>
      </c>
      <c r="L76" s="44">
        <f>26/26</f>
        <v>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BCB4-25DB-47A0-8DCB-22E828568E62}">
  <dimension ref="B2:B71"/>
  <sheetViews>
    <sheetView showGridLines="0" workbookViewId="0">
      <selection activeCell="Q24" sqref="Q24"/>
    </sheetView>
  </sheetViews>
  <sheetFormatPr defaultRowHeight="14.4" x14ac:dyDescent="0.3"/>
  <cols>
    <col min="1" max="1" width="3.5546875" customWidth="1"/>
  </cols>
  <sheetData>
    <row r="2" spans="2:2" x14ac:dyDescent="0.3">
      <c r="B2" s="63" t="s">
        <v>5</v>
      </c>
    </row>
    <row r="25" spans="2:2" x14ac:dyDescent="0.3">
      <c r="B25" s="63" t="s">
        <v>4</v>
      </c>
    </row>
    <row r="48" spans="2:2" x14ac:dyDescent="0.3">
      <c r="B48" s="63" t="s">
        <v>6</v>
      </c>
    </row>
    <row r="71" spans="2:2" x14ac:dyDescent="0.3">
      <c r="B71" s="63" t="s">
        <v>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C770-3E85-4601-B941-81E2A76293CC}">
  <sheetPr>
    <tabColor rgb="FF00B0F0"/>
  </sheetPr>
  <dimension ref="A1"/>
  <sheetViews>
    <sheetView showGridLines="0" workbookViewId="0">
      <selection activeCell="K36" sqref="K36"/>
    </sheetView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6D40-E784-49A3-80D2-520078C97340}">
  <dimension ref="A1:AA296"/>
  <sheetViews>
    <sheetView showGridLines="0" workbookViewId="0">
      <selection activeCell="Q26" sqref="Q26"/>
    </sheetView>
  </sheetViews>
  <sheetFormatPr defaultRowHeight="13.8" x14ac:dyDescent="0.25"/>
  <cols>
    <col min="1" max="1" width="4.77734375" style="2" bestFit="1" customWidth="1"/>
    <col min="2" max="2" width="8" style="2" bestFit="1" customWidth="1"/>
    <col min="3" max="3" width="13.44140625" style="2" bestFit="1" customWidth="1"/>
    <col min="4" max="4" width="3.109375" style="2" customWidth="1"/>
    <col min="5" max="5" width="5.5546875" style="2" bestFit="1" customWidth="1"/>
    <col min="6" max="6" width="6.77734375" style="2" bestFit="1" customWidth="1"/>
    <col min="7" max="7" width="13.44140625" style="2" bestFit="1" customWidth="1"/>
    <col min="8" max="8" width="7.88671875" style="2" bestFit="1" customWidth="1"/>
    <col min="9" max="9" width="4" style="2" bestFit="1" customWidth="1"/>
    <col min="10" max="10" width="8" style="2" bestFit="1" customWidth="1"/>
    <col min="11" max="11" width="12.33203125" style="2" bestFit="1" customWidth="1"/>
    <col min="12" max="12" width="1.77734375" style="2" customWidth="1"/>
    <col min="13" max="13" width="4.6640625" style="2" customWidth="1"/>
    <col min="14" max="14" width="11.21875" style="2" bestFit="1" customWidth="1"/>
    <col min="15" max="15" width="9.6640625" style="2" customWidth="1"/>
    <col min="16" max="16" width="8" style="2" bestFit="1" customWidth="1"/>
    <col min="17" max="17" width="7.88671875" style="2" bestFit="1" customWidth="1"/>
    <col min="18" max="16384" width="8.88671875" style="2"/>
  </cols>
  <sheetData>
    <row r="1" spans="1:27" ht="14.4" x14ac:dyDescent="0.3">
      <c r="E1"/>
      <c r="F1"/>
      <c r="G1"/>
      <c r="H1"/>
      <c r="I1"/>
      <c r="J1"/>
      <c r="K1"/>
    </row>
    <row r="2" spans="1:27" x14ac:dyDescent="0.25">
      <c r="A2" s="63" t="s">
        <v>5</v>
      </c>
      <c r="B2" s="4" t="s">
        <v>27</v>
      </c>
      <c r="C2" s="1" t="s">
        <v>29</v>
      </c>
      <c r="E2" s="4" t="s">
        <v>1</v>
      </c>
      <c r="F2" s="4" t="s">
        <v>3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Q2" s="4"/>
      <c r="R2" s="4"/>
      <c r="S2" s="4"/>
      <c r="T2" s="4"/>
      <c r="U2" s="4"/>
      <c r="V2" s="4"/>
      <c r="W2" s="4"/>
      <c r="Z2" s="4"/>
      <c r="AA2" s="1"/>
    </row>
    <row r="3" spans="1:27" x14ac:dyDescent="0.25">
      <c r="A3" s="14"/>
      <c r="B3" s="3">
        <v>2025</v>
      </c>
      <c r="C3" s="40">
        <v>3168</v>
      </c>
      <c r="E3" s="3" t="s">
        <v>84</v>
      </c>
      <c r="F3" s="3" t="s">
        <v>5</v>
      </c>
      <c r="G3" s="3" t="s">
        <v>38</v>
      </c>
      <c r="H3" s="40">
        <f>SUM(C3:C7)</f>
        <v>18853</v>
      </c>
      <c r="I3" s="3" t="s">
        <v>35</v>
      </c>
      <c r="J3" s="3" t="s">
        <v>36</v>
      </c>
      <c r="K3" s="3" t="s">
        <v>29</v>
      </c>
      <c r="M3" s="69" t="s">
        <v>50</v>
      </c>
      <c r="Q3" s="3"/>
      <c r="R3" s="3"/>
      <c r="S3" s="3"/>
      <c r="T3" s="40"/>
      <c r="U3" s="3"/>
      <c r="V3" s="3"/>
      <c r="W3" s="3"/>
      <c r="Z3" s="3"/>
      <c r="AA3" s="40"/>
    </row>
    <row r="4" spans="1:27" x14ac:dyDescent="0.25">
      <c r="A4" s="14"/>
      <c r="B4" s="3">
        <v>2026</v>
      </c>
      <c r="C4" s="40">
        <v>3318</v>
      </c>
      <c r="D4" s="3"/>
      <c r="E4" s="3" t="s">
        <v>84</v>
      </c>
      <c r="F4" s="3" t="s">
        <v>5</v>
      </c>
      <c r="G4" s="3" t="s">
        <v>39</v>
      </c>
      <c r="H4" s="40">
        <f>SUM(C8:C11)</f>
        <v>10094</v>
      </c>
      <c r="I4" s="3" t="s">
        <v>35</v>
      </c>
      <c r="J4" s="3" t="s">
        <v>36</v>
      </c>
      <c r="K4" s="3" t="s">
        <v>29</v>
      </c>
      <c r="M4" s="69" t="s">
        <v>51</v>
      </c>
      <c r="Q4" s="3"/>
      <c r="R4" s="3"/>
      <c r="S4" s="3"/>
      <c r="T4" s="40"/>
      <c r="U4" s="3"/>
      <c r="V4" s="3"/>
      <c r="W4" s="3"/>
      <c r="Z4" s="3"/>
      <c r="AA4" s="40"/>
    </row>
    <row r="5" spans="1:27" x14ac:dyDescent="0.25">
      <c r="B5" s="3">
        <v>2027</v>
      </c>
      <c r="C5" s="40">
        <v>4465</v>
      </c>
      <c r="E5" s="3" t="s">
        <v>84</v>
      </c>
      <c r="F5" s="3" t="s">
        <v>5</v>
      </c>
      <c r="G5" s="3" t="s">
        <v>40</v>
      </c>
      <c r="H5" s="40">
        <f>SUM(C12:C16)</f>
        <v>4468</v>
      </c>
      <c r="I5" s="3" t="s">
        <v>35</v>
      </c>
      <c r="J5" s="3" t="s">
        <v>36</v>
      </c>
      <c r="K5" s="3" t="s">
        <v>29</v>
      </c>
      <c r="M5" s="69" t="s">
        <v>26</v>
      </c>
      <c r="Q5" s="3"/>
      <c r="R5" s="3"/>
      <c r="S5" s="3"/>
      <c r="T5" s="40"/>
      <c r="U5" s="3"/>
      <c r="V5" s="3"/>
      <c r="W5" s="3"/>
      <c r="Z5" s="3"/>
      <c r="AA5" s="40"/>
    </row>
    <row r="6" spans="1:27" x14ac:dyDescent="0.25">
      <c r="B6" s="3">
        <v>2028</v>
      </c>
      <c r="C6" s="40">
        <v>4226</v>
      </c>
      <c r="D6" s="4"/>
      <c r="E6" s="3" t="s">
        <v>84</v>
      </c>
      <c r="F6" s="3" t="s">
        <v>5</v>
      </c>
      <c r="G6" s="3" t="s">
        <v>41</v>
      </c>
      <c r="H6" s="40">
        <f>SUM(H3:H5)</f>
        <v>33415</v>
      </c>
      <c r="I6" s="3" t="s">
        <v>35</v>
      </c>
      <c r="J6" s="3" t="s">
        <v>36</v>
      </c>
      <c r="K6" s="3" t="s">
        <v>29</v>
      </c>
      <c r="Q6" s="3"/>
      <c r="R6" s="3"/>
      <c r="S6" s="3"/>
      <c r="T6" s="40"/>
      <c r="U6" s="3"/>
      <c r="V6" s="3"/>
      <c r="W6" s="3"/>
      <c r="Z6" s="3"/>
      <c r="AA6" s="40"/>
    </row>
    <row r="7" spans="1:27" ht="14.4" x14ac:dyDescent="0.3">
      <c r="B7" s="3">
        <v>2029</v>
      </c>
      <c r="C7" s="40">
        <v>3676</v>
      </c>
      <c r="D7" s="40"/>
      <c r="E7"/>
      <c r="F7"/>
      <c r="G7"/>
      <c r="H7" s="40">
        <f>H6-C17</f>
        <v>0</v>
      </c>
      <c r="I7"/>
      <c r="J7"/>
      <c r="K7"/>
      <c r="Q7" s="3"/>
      <c r="R7" s="3"/>
      <c r="Z7" s="3"/>
      <c r="AA7" s="40"/>
    </row>
    <row r="8" spans="1:27" ht="14.4" x14ac:dyDescent="0.3">
      <c r="A8" s="39"/>
      <c r="B8" s="3">
        <v>2030</v>
      </c>
      <c r="C8" s="40">
        <v>3935</v>
      </c>
      <c r="D8" s="40"/>
      <c r="E8"/>
      <c r="F8"/>
      <c r="G8"/>
      <c r="H8"/>
      <c r="I8"/>
      <c r="J8"/>
      <c r="K8"/>
      <c r="Z8" s="3"/>
      <c r="AA8" s="40"/>
    </row>
    <row r="9" spans="1:27" ht="14.4" x14ac:dyDescent="0.3">
      <c r="A9" s="39"/>
      <c r="B9" s="3">
        <v>2031</v>
      </c>
      <c r="C9" s="40">
        <v>1918</v>
      </c>
      <c r="D9" s="40"/>
      <c r="E9"/>
      <c r="F9"/>
      <c r="G9"/>
      <c r="H9"/>
      <c r="I9"/>
      <c r="J9"/>
      <c r="K9"/>
      <c r="Z9" s="3"/>
      <c r="AA9" s="40"/>
    </row>
    <row r="10" spans="1:27" ht="14.4" x14ac:dyDescent="0.3">
      <c r="B10" s="3">
        <v>2032</v>
      </c>
      <c r="C10" s="40">
        <v>1323</v>
      </c>
      <c r="D10" s="40"/>
      <c r="E10"/>
      <c r="F10"/>
      <c r="G10"/>
      <c r="H10"/>
      <c r="I10"/>
      <c r="J10"/>
      <c r="K10"/>
      <c r="Z10" s="3"/>
      <c r="AA10" s="40"/>
    </row>
    <row r="11" spans="1:27" ht="14.4" x14ac:dyDescent="0.3">
      <c r="B11" s="3">
        <v>2033</v>
      </c>
      <c r="C11" s="40">
        <v>2918</v>
      </c>
      <c r="D11" s="40"/>
      <c r="E11"/>
      <c r="F11"/>
      <c r="G11"/>
      <c r="H11"/>
      <c r="I11"/>
      <c r="J11"/>
      <c r="K11"/>
      <c r="Z11" s="3"/>
      <c r="AA11" s="40"/>
    </row>
    <row r="12" spans="1:27" ht="14.4" x14ac:dyDescent="0.3">
      <c r="B12" s="3">
        <v>2034</v>
      </c>
      <c r="C12" s="40">
        <v>1168</v>
      </c>
      <c r="D12" s="40"/>
      <c r="E12"/>
      <c r="F12"/>
      <c r="G12"/>
      <c r="H12"/>
      <c r="I12"/>
      <c r="J12"/>
      <c r="K12"/>
      <c r="Z12" s="3"/>
      <c r="AA12" s="40"/>
    </row>
    <row r="13" spans="1:27" ht="14.4" x14ac:dyDescent="0.3">
      <c r="B13" s="3">
        <v>2035</v>
      </c>
      <c r="C13" s="40">
        <v>600</v>
      </c>
      <c r="D13" s="40"/>
      <c r="E13"/>
      <c r="F13"/>
      <c r="G13"/>
      <c r="H13"/>
      <c r="I13"/>
      <c r="J13"/>
      <c r="K13"/>
      <c r="Z13" s="3"/>
      <c r="AA13" s="40"/>
    </row>
    <row r="14" spans="1:27" ht="14.4" x14ac:dyDescent="0.3">
      <c r="B14" s="3">
        <v>2049</v>
      </c>
      <c r="C14" s="40">
        <v>600</v>
      </c>
      <c r="D14" s="40"/>
      <c r="E14"/>
      <c r="F14"/>
      <c r="G14"/>
      <c r="H14"/>
      <c r="I14"/>
      <c r="J14"/>
      <c r="K14"/>
      <c r="Z14" s="3"/>
      <c r="AA14" s="40"/>
    </row>
    <row r="15" spans="1:27" ht="14.4" x14ac:dyDescent="0.3">
      <c r="B15" s="3">
        <v>2050</v>
      </c>
      <c r="C15" s="40">
        <v>1050</v>
      </c>
      <c r="D15" s="40"/>
      <c r="E15"/>
      <c r="F15"/>
      <c r="G15"/>
      <c r="H15"/>
      <c r="I15"/>
      <c r="J15"/>
      <c r="K15"/>
      <c r="Z15" s="3"/>
      <c r="AA15" s="40"/>
    </row>
    <row r="16" spans="1:27" ht="14.4" x14ac:dyDescent="0.3">
      <c r="B16" s="3">
        <v>2051</v>
      </c>
      <c r="C16" s="40">
        <v>1050</v>
      </c>
      <c r="D16" s="40"/>
      <c r="E16"/>
      <c r="F16"/>
      <c r="G16"/>
      <c r="H16"/>
      <c r="I16"/>
      <c r="J16"/>
      <c r="K16"/>
      <c r="Z16" s="3"/>
      <c r="AA16" s="40"/>
    </row>
    <row r="17" spans="1:27" ht="14.4" x14ac:dyDescent="0.3">
      <c r="B17" s="6" t="s">
        <v>8</v>
      </c>
      <c r="C17" s="45">
        <f>SUM(C3:C16)</f>
        <v>33415</v>
      </c>
      <c r="D17" s="40"/>
      <c r="E17"/>
      <c r="F17"/>
      <c r="G17"/>
      <c r="H17"/>
      <c r="I17"/>
      <c r="J17"/>
      <c r="K17"/>
      <c r="Z17" s="6"/>
      <c r="AA17" s="45"/>
    </row>
    <row r="18" spans="1:27" ht="14.4" x14ac:dyDescent="0.3">
      <c r="B18" s="6"/>
      <c r="C18" s="3"/>
      <c r="D18" s="40"/>
      <c r="E18"/>
      <c r="F18"/>
      <c r="G18"/>
      <c r="H18"/>
      <c r="I18"/>
      <c r="J18"/>
      <c r="K18"/>
    </row>
    <row r="19" spans="1:27" ht="14.4" x14ac:dyDescent="0.3">
      <c r="B19" s="6"/>
      <c r="C19" s="3"/>
      <c r="D19" s="40"/>
      <c r="E19"/>
      <c r="F19"/>
      <c r="G19"/>
      <c r="H19"/>
      <c r="I19"/>
      <c r="J19"/>
      <c r="K19"/>
    </row>
    <row r="20" spans="1:27" ht="14.4" x14ac:dyDescent="0.3">
      <c r="B20" s="6"/>
      <c r="C20" s="3"/>
      <c r="D20" s="40"/>
      <c r="E20"/>
      <c r="F20"/>
      <c r="G20"/>
      <c r="H20"/>
      <c r="I20"/>
      <c r="J20"/>
      <c r="K20"/>
    </row>
    <row r="21" spans="1:27" ht="14.4" x14ac:dyDescent="0.3">
      <c r="E21"/>
      <c r="F21"/>
      <c r="G21"/>
      <c r="H21"/>
      <c r="I21"/>
      <c r="J21"/>
      <c r="K21"/>
    </row>
    <row r="22" spans="1:27" x14ac:dyDescent="0.25">
      <c r="A22" s="63" t="s">
        <v>4</v>
      </c>
      <c r="B22" s="4" t="s">
        <v>27</v>
      </c>
      <c r="C22" s="1" t="s">
        <v>29</v>
      </c>
      <c r="E22" s="4" t="s">
        <v>1</v>
      </c>
      <c r="F22" s="4" t="s">
        <v>3</v>
      </c>
      <c r="G22" s="4" t="s">
        <v>29</v>
      </c>
      <c r="H22" s="4" t="s">
        <v>30</v>
      </c>
      <c r="I22" s="4" t="s">
        <v>31</v>
      </c>
      <c r="J22" s="4" t="s">
        <v>32</v>
      </c>
      <c r="K22" s="4" t="s">
        <v>33</v>
      </c>
      <c r="O22" s="40"/>
    </row>
    <row r="23" spans="1:27" x14ac:dyDescent="0.25">
      <c r="A23" s="14"/>
      <c r="B23" s="3">
        <v>2025</v>
      </c>
      <c r="C23" s="40">
        <v>3207</v>
      </c>
      <c r="E23" s="3" t="s">
        <v>84</v>
      </c>
      <c r="F23" s="3" t="s">
        <v>4</v>
      </c>
      <c r="G23" s="3" t="s">
        <v>38</v>
      </c>
      <c r="H23" s="40">
        <f>SUM(C23:C27)</f>
        <v>19194</v>
      </c>
      <c r="I23" s="3" t="s">
        <v>35</v>
      </c>
      <c r="J23" s="3" t="s">
        <v>36</v>
      </c>
      <c r="K23" s="3" t="s">
        <v>29</v>
      </c>
      <c r="M23" s="69" t="s">
        <v>50</v>
      </c>
    </row>
    <row r="24" spans="1:27" x14ac:dyDescent="0.25">
      <c r="A24" s="14"/>
      <c r="B24" s="3">
        <v>2026</v>
      </c>
      <c r="C24" s="40">
        <v>3357</v>
      </c>
      <c r="D24" s="3"/>
      <c r="E24" s="3" t="s">
        <v>84</v>
      </c>
      <c r="F24" s="3" t="s">
        <v>4</v>
      </c>
      <c r="G24" s="3" t="s">
        <v>39</v>
      </c>
      <c r="H24" s="40">
        <f>SUM(C28:C31)</f>
        <v>9701</v>
      </c>
      <c r="I24" s="3" t="s">
        <v>35</v>
      </c>
      <c r="J24" s="3" t="s">
        <v>36</v>
      </c>
      <c r="K24" s="3" t="s">
        <v>29</v>
      </c>
      <c r="M24" s="69" t="s">
        <v>51</v>
      </c>
    </row>
    <row r="25" spans="1:27" x14ac:dyDescent="0.25">
      <c r="B25" s="3">
        <v>2027</v>
      </c>
      <c r="C25" s="40">
        <v>4610</v>
      </c>
      <c r="E25" s="3" t="s">
        <v>84</v>
      </c>
      <c r="F25" s="3" t="s">
        <v>4</v>
      </c>
      <c r="G25" s="3" t="s">
        <v>40</v>
      </c>
      <c r="H25" s="40">
        <f>SUM(C32:C35)</f>
        <v>3907</v>
      </c>
      <c r="I25" s="3" t="s">
        <v>35</v>
      </c>
      <c r="J25" s="3" t="s">
        <v>36</v>
      </c>
      <c r="K25" s="3" t="s">
        <v>29</v>
      </c>
      <c r="M25" s="69" t="s">
        <v>26</v>
      </c>
    </row>
    <row r="26" spans="1:27" x14ac:dyDescent="0.25">
      <c r="B26" s="3">
        <v>2028</v>
      </c>
      <c r="C26" s="40">
        <v>4285</v>
      </c>
      <c r="D26" s="4"/>
      <c r="E26" s="3" t="s">
        <v>84</v>
      </c>
      <c r="F26" s="3" t="s">
        <v>4</v>
      </c>
      <c r="G26" s="3" t="s">
        <v>41</v>
      </c>
      <c r="H26" s="40">
        <f>SUM(H23:H25)</f>
        <v>32802</v>
      </c>
      <c r="I26" s="3" t="s">
        <v>35</v>
      </c>
      <c r="J26" s="3" t="s">
        <v>36</v>
      </c>
      <c r="K26" s="3" t="s">
        <v>29</v>
      </c>
    </row>
    <row r="27" spans="1:27" ht="14.4" x14ac:dyDescent="0.3">
      <c r="B27" s="3">
        <v>2029</v>
      </c>
      <c r="C27" s="40">
        <v>3735</v>
      </c>
      <c r="D27" s="40"/>
      <c r="E27"/>
      <c r="F27"/>
      <c r="G27"/>
      <c r="H27" s="40">
        <f>H26-C36</f>
        <v>0</v>
      </c>
      <c r="I27"/>
      <c r="J27"/>
      <c r="K27"/>
    </row>
    <row r="28" spans="1:27" ht="14.4" x14ac:dyDescent="0.3">
      <c r="A28" s="39"/>
      <c r="B28" s="3">
        <v>2030</v>
      </c>
      <c r="C28" s="40">
        <v>3413</v>
      </c>
      <c r="D28" s="40"/>
      <c r="E28"/>
      <c r="F28"/>
      <c r="G28"/>
      <c r="H28"/>
      <c r="I28"/>
      <c r="J28"/>
      <c r="K28"/>
    </row>
    <row r="29" spans="1:27" ht="14.4" x14ac:dyDescent="0.3">
      <c r="A29" s="39"/>
      <c r="B29" s="3">
        <v>2031</v>
      </c>
      <c r="C29" s="40">
        <v>1957</v>
      </c>
      <c r="D29" s="40"/>
      <c r="E29"/>
      <c r="F29"/>
      <c r="G29"/>
      <c r="H29"/>
      <c r="I29"/>
      <c r="J29"/>
      <c r="K29"/>
    </row>
    <row r="30" spans="1:27" ht="14.4" x14ac:dyDescent="0.3">
      <c r="B30" s="3">
        <v>2032</v>
      </c>
      <c r="C30" s="40">
        <v>1374</v>
      </c>
      <c r="D30" s="40"/>
      <c r="E30"/>
      <c r="F30"/>
      <c r="G30"/>
      <c r="H30"/>
      <c r="I30"/>
      <c r="J30"/>
      <c r="K30"/>
    </row>
    <row r="31" spans="1:27" ht="14.4" x14ac:dyDescent="0.3">
      <c r="B31" s="3">
        <v>2033</v>
      </c>
      <c r="C31" s="40">
        <v>2957</v>
      </c>
      <c r="D31" s="40"/>
      <c r="E31"/>
      <c r="F31"/>
      <c r="G31"/>
      <c r="H31"/>
      <c r="I31"/>
      <c r="J31"/>
      <c r="K31"/>
    </row>
    <row r="32" spans="1:27" ht="14.4" x14ac:dyDescent="0.3">
      <c r="B32" s="3">
        <v>2034</v>
      </c>
      <c r="C32" s="40">
        <v>1207</v>
      </c>
      <c r="D32" s="40"/>
      <c r="E32"/>
      <c r="F32"/>
      <c r="G32"/>
      <c r="H32"/>
      <c r="I32"/>
      <c r="J32"/>
      <c r="K32"/>
    </row>
    <row r="33" spans="1:13" ht="14.4" x14ac:dyDescent="0.3">
      <c r="B33" s="3">
        <v>2049</v>
      </c>
      <c r="C33" s="40">
        <v>600</v>
      </c>
      <c r="D33" s="40"/>
      <c r="E33"/>
      <c r="F33"/>
      <c r="G33"/>
      <c r="H33"/>
      <c r="I33"/>
      <c r="J33"/>
      <c r="K33"/>
    </row>
    <row r="34" spans="1:13" ht="14.4" x14ac:dyDescent="0.3">
      <c r="B34" s="3">
        <v>2050</v>
      </c>
      <c r="C34" s="40">
        <v>1050</v>
      </c>
      <c r="D34" s="40"/>
      <c r="E34"/>
      <c r="F34"/>
      <c r="G34"/>
      <c r="H34"/>
      <c r="I34"/>
      <c r="J34"/>
      <c r="K34"/>
    </row>
    <row r="35" spans="1:13" ht="14.4" x14ac:dyDescent="0.3">
      <c r="B35" s="3">
        <v>2051</v>
      </c>
      <c r="C35" s="40">
        <v>1050</v>
      </c>
      <c r="D35" s="40"/>
      <c r="E35"/>
      <c r="F35"/>
      <c r="G35"/>
      <c r="H35"/>
      <c r="I35"/>
      <c r="J35"/>
      <c r="K35"/>
    </row>
    <row r="36" spans="1:13" ht="14.4" x14ac:dyDescent="0.3">
      <c r="B36" s="6" t="s">
        <v>8</v>
      </c>
      <c r="C36" s="45">
        <f>SUM(C23:C35)</f>
        <v>32802</v>
      </c>
      <c r="D36" s="40"/>
      <c r="E36"/>
      <c r="F36"/>
      <c r="G36"/>
      <c r="H36"/>
      <c r="I36"/>
      <c r="J36"/>
      <c r="K36"/>
    </row>
    <row r="37" spans="1:13" ht="14.4" x14ac:dyDescent="0.3">
      <c r="B37" s="6"/>
      <c r="C37" s="3"/>
      <c r="D37" s="40"/>
      <c r="E37"/>
      <c r="F37"/>
      <c r="G37"/>
      <c r="H37"/>
      <c r="I37"/>
      <c r="J37"/>
      <c r="K37"/>
    </row>
    <row r="38" spans="1:13" ht="14.4" x14ac:dyDescent="0.3">
      <c r="B38" s="6"/>
      <c r="C38" s="3"/>
      <c r="D38" s="40"/>
      <c r="E38"/>
      <c r="F38"/>
      <c r="G38"/>
      <c r="H38"/>
      <c r="I38"/>
      <c r="J38"/>
      <c r="K38"/>
    </row>
    <row r="39" spans="1:13" ht="14.4" x14ac:dyDescent="0.3">
      <c r="B39" s="6"/>
      <c r="C39" s="3"/>
      <c r="D39" s="40"/>
      <c r="E39"/>
      <c r="F39"/>
      <c r="G39"/>
      <c r="H39"/>
      <c r="I39"/>
      <c r="J39"/>
      <c r="K39"/>
    </row>
    <row r="40" spans="1:13" ht="14.4" x14ac:dyDescent="0.3">
      <c r="B40" s="6"/>
      <c r="C40" s="3"/>
      <c r="D40" s="40"/>
      <c r="E40"/>
      <c r="F40"/>
      <c r="G40"/>
      <c r="H40"/>
      <c r="I40"/>
      <c r="J40"/>
      <c r="K40"/>
    </row>
    <row r="41" spans="1:13" ht="14.4" x14ac:dyDescent="0.3">
      <c r="B41" s="7"/>
      <c r="D41" s="40"/>
      <c r="E41"/>
      <c r="F41"/>
      <c r="G41"/>
      <c r="H41"/>
      <c r="I41"/>
      <c r="J41"/>
      <c r="K41"/>
    </row>
    <row r="42" spans="1:13" x14ac:dyDescent="0.25">
      <c r="A42" s="63" t="s">
        <v>6</v>
      </c>
      <c r="B42" s="4" t="s">
        <v>27</v>
      </c>
      <c r="C42" s="1" t="s">
        <v>29</v>
      </c>
      <c r="E42" s="4" t="s">
        <v>1</v>
      </c>
      <c r="F42" s="4" t="s">
        <v>3</v>
      </c>
      <c r="G42" s="4" t="s">
        <v>29</v>
      </c>
      <c r="H42" s="4" t="s">
        <v>30</v>
      </c>
      <c r="I42" s="4" t="s">
        <v>31</v>
      </c>
      <c r="J42" s="4" t="s">
        <v>32</v>
      </c>
      <c r="K42" s="4" t="s">
        <v>33</v>
      </c>
    </row>
    <row r="43" spans="1:13" x14ac:dyDescent="0.25">
      <c r="B43" s="3">
        <v>2025</v>
      </c>
      <c r="C43" s="40">
        <v>3186</v>
      </c>
      <c r="E43" s="3" t="s">
        <v>84</v>
      </c>
      <c r="F43" s="3" t="s">
        <v>6</v>
      </c>
      <c r="G43" s="3" t="s">
        <v>38</v>
      </c>
      <c r="H43" s="40">
        <f>SUM(C43:C47)</f>
        <v>19012</v>
      </c>
      <c r="I43" s="3" t="s">
        <v>35</v>
      </c>
      <c r="J43" s="3" t="s">
        <v>36</v>
      </c>
      <c r="K43" s="3" t="s">
        <v>29</v>
      </c>
      <c r="M43" s="69" t="s">
        <v>50</v>
      </c>
    </row>
    <row r="44" spans="1:13" x14ac:dyDescent="0.25">
      <c r="B44" s="3">
        <v>2026</v>
      </c>
      <c r="C44" s="40">
        <v>3336</v>
      </c>
      <c r="E44" s="3" t="s">
        <v>84</v>
      </c>
      <c r="F44" s="3" t="s">
        <v>6</v>
      </c>
      <c r="G44" s="3" t="s">
        <v>39</v>
      </c>
      <c r="H44" s="40">
        <f>SUM(C48:C51)</f>
        <v>9589</v>
      </c>
      <c r="I44" s="3" t="s">
        <v>35</v>
      </c>
      <c r="J44" s="3" t="s">
        <v>36</v>
      </c>
      <c r="K44" s="3" t="s">
        <v>29</v>
      </c>
      <c r="M44" s="69" t="s">
        <v>51</v>
      </c>
    </row>
    <row r="45" spans="1:13" x14ac:dyDescent="0.25">
      <c r="B45" s="3">
        <v>2027</v>
      </c>
      <c r="C45" s="40">
        <v>4532</v>
      </c>
      <c r="D45" s="3"/>
      <c r="E45" s="3" t="s">
        <v>84</v>
      </c>
      <c r="F45" s="3" t="s">
        <v>6</v>
      </c>
      <c r="G45" s="3" t="s">
        <v>40</v>
      </c>
      <c r="H45" s="40">
        <f>SUM(C52:C55)</f>
        <v>3886</v>
      </c>
      <c r="I45" s="3" t="s">
        <v>35</v>
      </c>
      <c r="J45" s="3" t="s">
        <v>36</v>
      </c>
      <c r="K45" s="3" t="s">
        <v>29</v>
      </c>
      <c r="M45" s="69" t="s">
        <v>26</v>
      </c>
    </row>
    <row r="46" spans="1:13" x14ac:dyDescent="0.25">
      <c r="B46" s="3">
        <v>2028</v>
      </c>
      <c r="C46" s="40">
        <v>4254</v>
      </c>
      <c r="E46" s="3" t="s">
        <v>84</v>
      </c>
      <c r="F46" s="3" t="s">
        <v>6</v>
      </c>
      <c r="G46" s="3" t="s">
        <v>41</v>
      </c>
      <c r="H46" s="40">
        <f>SUM(H43:H45)</f>
        <v>32487</v>
      </c>
      <c r="I46" s="3" t="s">
        <v>35</v>
      </c>
      <c r="J46" s="3" t="s">
        <v>36</v>
      </c>
      <c r="K46" s="3" t="s">
        <v>29</v>
      </c>
    </row>
    <row r="47" spans="1:13" x14ac:dyDescent="0.25">
      <c r="B47" s="3">
        <v>2029</v>
      </c>
      <c r="C47" s="40">
        <v>3704</v>
      </c>
      <c r="D47" s="4"/>
      <c r="H47" s="40">
        <f>H46-C56</f>
        <v>0</v>
      </c>
    </row>
    <row r="48" spans="1:13" x14ac:dyDescent="0.25">
      <c r="B48" s="3">
        <v>2030</v>
      </c>
      <c r="C48" s="40">
        <v>3371</v>
      </c>
      <c r="D48" s="4"/>
      <c r="E48" s="3"/>
      <c r="F48" s="3"/>
      <c r="G48" s="3"/>
      <c r="H48" s="40"/>
      <c r="I48" s="3"/>
      <c r="J48" s="3"/>
      <c r="K48" s="3"/>
    </row>
    <row r="49" spans="1:13" x14ac:dyDescent="0.25">
      <c r="B49" s="3">
        <v>2031</v>
      </c>
      <c r="C49" s="40">
        <v>1936</v>
      </c>
      <c r="D49" s="4"/>
      <c r="E49" s="3"/>
      <c r="F49" s="3"/>
      <c r="G49" s="3"/>
      <c r="H49" s="40"/>
      <c r="I49" s="3"/>
      <c r="J49" s="3"/>
      <c r="K49" s="3"/>
    </row>
    <row r="50" spans="1:13" x14ac:dyDescent="0.25">
      <c r="B50" s="3">
        <v>2032</v>
      </c>
      <c r="C50" s="40">
        <v>1346</v>
      </c>
      <c r="D50" s="4"/>
      <c r="E50" s="3"/>
      <c r="F50" s="3"/>
      <c r="G50" s="3"/>
      <c r="H50" s="40"/>
      <c r="I50" s="3"/>
      <c r="J50" s="3"/>
      <c r="K50" s="3"/>
    </row>
    <row r="51" spans="1:13" x14ac:dyDescent="0.25">
      <c r="B51" s="3">
        <v>2033</v>
      </c>
      <c r="C51" s="40">
        <v>2936</v>
      </c>
      <c r="D51" s="4"/>
      <c r="E51" s="3"/>
      <c r="F51" s="3"/>
      <c r="G51" s="3"/>
      <c r="H51" s="40"/>
      <c r="I51" s="3"/>
      <c r="J51" s="3"/>
      <c r="K51" s="3"/>
    </row>
    <row r="52" spans="1:13" x14ac:dyDescent="0.25">
      <c r="B52" s="3">
        <v>2034</v>
      </c>
      <c r="C52" s="40">
        <v>1186</v>
      </c>
      <c r="D52" s="4"/>
      <c r="E52" s="3"/>
      <c r="F52" s="3"/>
      <c r="G52" s="3"/>
      <c r="H52" s="40"/>
      <c r="I52" s="3"/>
      <c r="J52" s="3"/>
      <c r="K52" s="3"/>
    </row>
    <row r="53" spans="1:13" x14ac:dyDescent="0.25">
      <c r="B53" s="3">
        <v>2049</v>
      </c>
      <c r="C53" s="40">
        <v>600</v>
      </c>
      <c r="D53" s="4"/>
      <c r="E53" s="3"/>
      <c r="F53" s="3"/>
      <c r="G53" s="3"/>
      <c r="H53" s="40"/>
      <c r="I53" s="3"/>
      <c r="J53" s="3"/>
      <c r="K53" s="3"/>
    </row>
    <row r="54" spans="1:13" x14ac:dyDescent="0.25">
      <c r="B54" s="3">
        <v>2050</v>
      </c>
      <c r="C54" s="40">
        <v>1050</v>
      </c>
      <c r="D54" s="4"/>
      <c r="E54" s="3"/>
      <c r="F54" s="3"/>
      <c r="G54" s="3"/>
      <c r="H54" s="40"/>
      <c r="I54" s="3"/>
      <c r="J54" s="3"/>
      <c r="K54" s="3"/>
    </row>
    <row r="55" spans="1:13" x14ac:dyDescent="0.25">
      <c r="B55" s="3">
        <v>2051</v>
      </c>
      <c r="C55" s="40">
        <v>1050</v>
      </c>
      <c r="D55" s="4"/>
      <c r="E55" s="3"/>
      <c r="F55" s="3"/>
      <c r="G55" s="3"/>
      <c r="H55" s="40"/>
      <c r="I55" s="3"/>
      <c r="J55" s="3"/>
      <c r="K55" s="3"/>
    </row>
    <row r="56" spans="1:13" ht="14.4" x14ac:dyDescent="0.3">
      <c r="B56" s="6" t="s">
        <v>8</v>
      </c>
      <c r="C56" s="45">
        <f>SUM(C43:C55)</f>
        <v>32487</v>
      </c>
      <c r="D56" s="40"/>
      <c r="E56"/>
      <c r="F56"/>
      <c r="G56"/>
      <c r="H56"/>
      <c r="I56"/>
      <c r="J56"/>
      <c r="K56"/>
    </row>
    <row r="57" spans="1:13" ht="14.4" x14ac:dyDescent="0.3">
      <c r="D57" s="40"/>
      <c r="E57"/>
      <c r="F57"/>
      <c r="G57"/>
      <c r="H57"/>
      <c r="I57"/>
      <c r="J57"/>
      <c r="K57"/>
    </row>
    <row r="58" spans="1:13" x14ac:dyDescent="0.25">
      <c r="D58" s="40"/>
      <c r="E58" s="3"/>
      <c r="F58" s="40"/>
      <c r="G58" s="3"/>
      <c r="H58" s="40"/>
      <c r="I58" s="3"/>
      <c r="J58" s="3"/>
      <c r="K58" s="3"/>
    </row>
    <row r="59" spans="1:13" x14ac:dyDescent="0.25">
      <c r="D59" s="40"/>
      <c r="E59" s="3"/>
      <c r="F59" s="40"/>
      <c r="G59" s="3"/>
      <c r="H59" s="40"/>
      <c r="I59" s="3"/>
      <c r="J59" s="3"/>
      <c r="K59" s="3"/>
    </row>
    <row r="60" spans="1:13" x14ac:dyDescent="0.25">
      <c r="D60" s="40"/>
      <c r="E60" s="3"/>
      <c r="F60" s="40"/>
      <c r="G60" s="3"/>
      <c r="H60" s="40"/>
      <c r="I60" s="3"/>
      <c r="J60" s="3"/>
      <c r="K60" s="3"/>
    </row>
    <row r="61" spans="1:13" x14ac:dyDescent="0.25">
      <c r="D61" s="40"/>
      <c r="E61" s="3"/>
      <c r="F61" s="40"/>
      <c r="G61" s="3"/>
      <c r="H61" s="40"/>
      <c r="I61" s="3"/>
      <c r="J61" s="3"/>
      <c r="K61" s="3"/>
    </row>
    <row r="62" spans="1:13" x14ac:dyDescent="0.25">
      <c r="B62" s="9"/>
    </row>
    <row r="63" spans="1:13" x14ac:dyDescent="0.25">
      <c r="A63" s="63" t="s">
        <v>7</v>
      </c>
      <c r="B63" s="4" t="s">
        <v>27</v>
      </c>
      <c r="C63" s="1" t="s">
        <v>29</v>
      </c>
      <c r="E63" s="4" t="s">
        <v>1</v>
      </c>
      <c r="F63" s="4" t="s">
        <v>3</v>
      </c>
      <c r="G63" s="4" t="s">
        <v>29</v>
      </c>
      <c r="H63" s="4" t="s">
        <v>30</v>
      </c>
      <c r="I63" s="4" t="s">
        <v>31</v>
      </c>
      <c r="J63" s="4" t="s">
        <v>32</v>
      </c>
      <c r="K63" s="4" t="s">
        <v>33</v>
      </c>
    </row>
    <row r="64" spans="1:13" x14ac:dyDescent="0.25">
      <c r="B64" s="3">
        <v>2024</v>
      </c>
      <c r="C64" s="3">
        <v>650</v>
      </c>
      <c r="E64" s="3" t="s">
        <v>84</v>
      </c>
      <c r="F64" s="3" t="s">
        <v>7</v>
      </c>
      <c r="G64" s="3" t="s">
        <v>38</v>
      </c>
      <c r="H64" s="40">
        <f>SUM(C64:C69)</f>
        <v>19692</v>
      </c>
      <c r="I64" s="3" t="s">
        <v>35</v>
      </c>
      <c r="J64" s="3" t="s">
        <v>36</v>
      </c>
      <c r="K64" s="3" t="s">
        <v>29</v>
      </c>
      <c r="M64" s="69" t="s">
        <v>50</v>
      </c>
    </row>
    <row r="65" spans="1:13" x14ac:dyDescent="0.25">
      <c r="B65" s="3">
        <v>2025</v>
      </c>
      <c r="C65" s="40">
        <v>3189</v>
      </c>
      <c r="D65" s="3"/>
      <c r="E65" s="3" t="s">
        <v>84</v>
      </c>
      <c r="F65" s="3" t="s">
        <v>7</v>
      </c>
      <c r="G65" s="3" t="s">
        <v>39</v>
      </c>
      <c r="H65" s="40">
        <f>SUM(C70:C73)</f>
        <v>9068</v>
      </c>
      <c r="I65" s="3" t="s">
        <v>35</v>
      </c>
      <c r="J65" s="3" t="s">
        <v>36</v>
      </c>
      <c r="K65" s="3" t="s">
        <v>29</v>
      </c>
      <c r="M65" s="69" t="s">
        <v>51</v>
      </c>
    </row>
    <row r="66" spans="1:13" x14ac:dyDescent="0.25">
      <c r="B66" s="3">
        <v>2026</v>
      </c>
      <c r="C66" s="40">
        <v>3339</v>
      </c>
      <c r="E66" s="3" t="s">
        <v>84</v>
      </c>
      <c r="F66" s="3" t="s">
        <v>7</v>
      </c>
      <c r="G66" s="3" t="s">
        <v>40</v>
      </c>
      <c r="H66" s="40">
        <f>SUM(C74:C77)</f>
        <v>3350</v>
      </c>
      <c r="I66" s="3" t="s">
        <v>35</v>
      </c>
      <c r="J66" s="3" t="s">
        <v>36</v>
      </c>
      <c r="K66" s="3" t="s">
        <v>29</v>
      </c>
      <c r="M66" s="69" t="s">
        <v>26</v>
      </c>
    </row>
    <row r="67" spans="1:13" x14ac:dyDescent="0.25">
      <c r="B67" s="3">
        <v>2027</v>
      </c>
      <c r="C67" s="40">
        <v>4546</v>
      </c>
      <c r="D67" s="4"/>
      <c r="E67" s="3" t="s">
        <v>84</v>
      </c>
      <c r="F67" s="3" t="s">
        <v>7</v>
      </c>
      <c r="G67" s="3" t="s">
        <v>41</v>
      </c>
      <c r="H67" s="40">
        <f>SUM(H64:H66)</f>
        <v>32110</v>
      </c>
      <c r="I67" s="3" t="s">
        <v>35</v>
      </c>
      <c r="J67" s="3" t="s">
        <v>36</v>
      </c>
      <c r="K67" s="3" t="s">
        <v>29</v>
      </c>
    </row>
    <row r="68" spans="1:13" ht="14.4" x14ac:dyDescent="0.3">
      <c r="B68" s="3">
        <v>2028</v>
      </c>
      <c r="C68" s="40">
        <v>4259</v>
      </c>
      <c r="D68" s="40"/>
      <c r="E68"/>
      <c r="F68"/>
      <c r="G68"/>
      <c r="H68" s="40">
        <f>H67-C78</f>
        <v>0</v>
      </c>
      <c r="I68"/>
      <c r="J68"/>
      <c r="K68"/>
    </row>
    <row r="69" spans="1:13" ht="14.4" x14ac:dyDescent="0.3">
      <c r="B69" s="3">
        <v>2029</v>
      </c>
      <c r="C69" s="40">
        <v>3709</v>
      </c>
      <c r="D69" s="40"/>
      <c r="E69"/>
      <c r="F69"/>
      <c r="G69"/>
      <c r="H69"/>
      <c r="I69"/>
      <c r="J69"/>
      <c r="K69"/>
    </row>
    <row r="70" spans="1:13" ht="14.4" x14ac:dyDescent="0.3">
      <c r="B70" s="3">
        <v>2030</v>
      </c>
      <c r="C70" s="40">
        <v>2839</v>
      </c>
      <c r="D70" s="40"/>
      <c r="E70"/>
      <c r="F70"/>
      <c r="G70"/>
      <c r="H70"/>
      <c r="I70"/>
      <c r="J70"/>
      <c r="K70"/>
    </row>
    <row r="71" spans="1:13" ht="14.4" x14ac:dyDescent="0.3">
      <c r="B71" s="3">
        <v>2031</v>
      </c>
      <c r="C71" s="40">
        <v>1939</v>
      </c>
      <c r="D71" s="40"/>
      <c r="E71"/>
      <c r="F71"/>
      <c r="G71"/>
      <c r="H71"/>
      <c r="I71"/>
      <c r="J71"/>
      <c r="K71"/>
    </row>
    <row r="72" spans="1:13" ht="14.4" x14ac:dyDescent="0.3">
      <c r="B72" s="3">
        <v>2032</v>
      </c>
      <c r="C72" s="40">
        <v>1351</v>
      </c>
      <c r="D72" s="40"/>
      <c r="E72"/>
      <c r="F72"/>
      <c r="G72"/>
      <c r="H72"/>
      <c r="I72"/>
      <c r="J72"/>
      <c r="K72"/>
    </row>
    <row r="73" spans="1:13" ht="14.4" x14ac:dyDescent="0.3">
      <c r="B73" s="3">
        <v>2033</v>
      </c>
      <c r="C73" s="40">
        <v>2939</v>
      </c>
      <c r="D73" s="40"/>
      <c r="E73"/>
      <c r="F73"/>
      <c r="G73"/>
      <c r="H73"/>
      <c r="I73"/>
      <c r="J73"/>
      <c r="K73"/>
    </row>
    <row r="74" spans="1:13" ht="14.4" x14ac:dyDescent="0.3">
      <c r="B74" s="3">
        <v>2034</v>
      </c>
      <c r="C74" s="40">
        <v>650</v>
      </c>
      <c r="D74" s="40"/>
      <c r="E74"/>
      <c r="F74"/>
      <c r="G74"/>
      <c r="H74"/>
      <c r="I74"/>
      <c r="J74"/>
      <c r="K74"/>
    </row>
    <row r="75" spans="1:13" ht="14.4" x14ac:dyDescent="0.3">
      <c r="B75" s="3">
        <v>2049</v>
      </c>
      <c r="C75" s="40">
        <v>600</v>
      </c>
      <c r="D75" s="40"/>
      <c r="E75"/>
      <c r="F75"/>
      <c r="G75"/>
      <c r="H75"/>
      <c r="I75"/>
      <c r="J75"/>
      <c r="K75"/>
    </row>
    <row r="76" spans="1:13" x14ac:dyDescent="0.25">
      <c r="A76" s="15"/>
      <c r="B76" s="3">
        <v>2050</v>
      </c>
      <c r="C76" s="40">
        <v>1050</v>
      </c>
    </row>
    <row r="77" spans="1:13" ht="14.4" x14ac:dyDescent="0.3">
      <c r="A77" s="15"/>
      <c r="B77" s="3">
        <v>2051</v>
      </c>
      <c r="C77" s="40">
        <v>1050</v>
      </c>
      <c r="D77"/>
      <c r="E77"/>
      <c r="F77"/>
      <c r="G77"/>
      <c r="H77"/>
      <c r="I77"/>
      <c r="J77"/>
      <c r="K77"/>
    </row>
    <row r="78" spans="1:13" ht="14.4" x14ac:dyDescent="0.3">
      <c r="A78" s="15"/>
      <c r="B78" s="6" t="s">
        <v>8</v>
      </c>
      <c r="C78" s="45">
        <f>SUM(C64:C77)</f>
        <v>32110</v>
      </c>
      <c r="D78"/>
      <c r="E78"/>
      <c r="F78"/>
      <c r="G78"/>
      <c r="H78"/>
      <c r="I78"/>
      <c r="J78"/>
      <c r="K78"/>
    </row>
    <row r="79" spans="1:13" ht="14.4" x14ac:dyDescent="0.3">
      <c r="A79" s="15"/>
      <c r="B79"/>
      <c r="C79"/>
      <c r="D79"/>
      <c r="E79"/>
      <c r="F79"/>
      <c r="G79"/>
      <c r="H79"/>
      <c r="I79"/>
      <c r="J79"/>
      <c r="K79"/>
    </row>
    <row r="80" spans="1:13" ht="14.4" x14ac:dyDescent="0.3">
      <c r="B80"/>
      <c r="C80"/>
      <c r="D80"/>
      <c r="E80"/>
      <c r="F80"/>
      <c r="G80"/>
      <c r="H80"/>
      <c r="I80"/>
      <c r="J80"/>
      <c r="K80"/>
    </row>
    <row r="81" spans="2:11" ht="14.4" x14ac:dyDescent="0.3">
      <c r="B81"/>
      <c r="C81"/>
      <c r="D81"/>
      <c r="E81"/>
      <c r="F81"/>
      <c r="G81"/>
      <c r="H81"/>
      <c r="I81"/>
      <c r="J81"/>
      <c r="K81"/>
    </row>
    <row r="82" spans="2:11" ht="14.4" x14ac:dyDescent="0.3">
      <c r="B82"/>
      <c r="C82"/>
      <c r="D82"/>
      <c r="E82"/>
      <c r="F82"/>
      <c r="G82"/>
      <c r="H82"/>
      <c r="I82"/>
      <c r="J82"/>
      <c r="K82"/>
    </row>
    <row r="83" spans="2:11" ht="14.4" x14ac:dyDescent="0.3">
      <c r="B83"/>
      <c r="C83"/>
      <c r="D83"/>
      <c r="E83"/>
      <c r="F83"/>
      <c r="G83"/>
      <c r="H83"/>
      <c r="I83"/>
      <c r="J83"/>
      <c r="K83"/>
    </row>
    <row r="84" spans="2:11" ht="14.4" x14ac:dyDescent="0.3">
      <c r="B84"/>
      <c r="C84"/>
      <c r="D84"/>
      <c r="E84"/>
      <c r="F84"/>
      <c r="G84"/>
      <c r="H84"/>
      <c r="I84"/>
      <c r="J84"/>
      <c r="K84"/>
    </row>
    <row r="85" spans="2:11" ht="14.4" x14ac:dyDescent="0.3">
      <c r="B85"/>
      <c r="C85"/>
      <c r="D85"/>
      <c r="E85"/>
      <c r="F85"/>
      <c r="G85"/>
      <c r="H85"/>
      <c r="I85"/>
      <c r="J85"/>
      <c r="K85"/>
    </row>
    <row r="86" spans="2:11" ht="14.4" x14ac:dyDescent="0.3">
      <c r="B86"/>
      <c r="C86"/>
      <c r="D86"/>
      <c r="E86"/>
      <c r="F86"/>
      <c r="G86"/>
      <c r="H86"/>
      <c r="I86"/>
      <c r="J86"/>
      <c r="K86"/>
    </row>
    <row r="87" spans="2:11" ht="14.4" x14ac:dyDescent="0.3">
      <c r="B87"/>
      <c r="C87"/>
      <c r="D87"/>
      <c r="E87"/>
      <c r="F87"/>
      <c r="G87"/>
      <c r="H87"/>
      <c r="I87"/>
      <c r="J87"/>
      <c r="K87"/>
    </row>
    <row r="88" spans="2:11" ht="14.4" x14ac:dyDescent="0.3">
      <c r="B88"/>
      <c r="C88"/>
      <c r="D88"/>
      <c r="E88"/>
      <c r="F88"/>
      <c r="G88"/>
      <c r="H88"/>
      <c r="I88"/>
      <c r="J88"/>
      <c r="K88"/>
    </row>
    <row r="89" spans="2:11" ht="14.4" x14ac:dyDescent="0.3">
      <c r="B89"/>
      <c r="C89"/>
      <c r="D89" s="40"/>
      <c r="E89"/>
      <c r="F89"/>
      <c r="G89"/>
      <c r="H89"/>
      <c r="I89"/>
      <c r="J89"/>
      <c r="K89"/>
    </row>
    <row r="90" spans="2:11" x14ac:dyDescent="0.25">
      <c r="B90" s="1"/>
      <c r="D90" s="4"/>
    </row>
    <row r="91" spans="2:11" x14ac:dyDescent="0.25">
      <c r="D91" s="40"/>
    </row>
    <row r="92" spans="2:11" x14ac:dyDescent="0.25">
      <c r="D92" s="40"/>
    </row>
    <row r="93" spans="2:11" x14ac:dyDescent="0.25">
      <c r="D93" s="40"/>
    </row>
    <row r="94" spans="2:11" x14ac:dyDescent="0.25">
      <c r="D94" s="40"/>
    </row>
    <row r="95" spans="2:11" x14ac:dyDescent="0.25">
      <c r="D95" s="40"/>
    </row>
    <row r="96" spans="2:11" x14ac:dyDescent="0.25">
      <c r="D96" s="40"/>
    </row>
    <row r="97" spans="4:7" x14ac:dyDescent="0.25">
      <c r="D97" s="40"/>
    </row>
    <row r="98" spans="4:7" x14ac:dyDescent="0.25">
      <c r="D98" s="40"/>
      <c r="G98" s="48"/>
    </row>
    <row r="99" spans="4:7" x14ac:dyDescent="0.25">
      <c r="D99" s="40"/>
    </row>
    <row r="101" spans="4:7" ht="14.4" x14ac:dyDescent="0.3">
      <c r="D101" s="44"/>
    </row>
    <row r="124" spans="2:4" x14ac:dyDescent="0.25">
      <c r="B124" s="9"/>
    </row>
    <row r="126" spans="2:4" x14ac:dyDescent="0.25">
      <c r="B126" s="1"/>
      <c r="C126" s="4"/>
      <c r="D126" s="4"/>
    </row>
    <row r="127" spans="2:4" x14ac:dyDescent="0.25">
      <c r="D127" s="40"/>
    </row>
    <row r="128" spans="2:4" x14ac:dyDescent="0.25">
      <c r="D128" s="40"/>
    </row>
    <row r="129" spans="2:4" x14ac:dyDescent="0.25">
      <c r="D129" s="40"/>
    </row>
    <row r="130" spans="2:4" x14ac:dyDescent="0.25">
      <c r="D130" s="40"/>
    </row>
    <row r="131" spans="2:4" x14ac:dyDescent="0.25">
      <c r="D131" s="40"/>
    </row>
    <row r="132" spans="2:4" x14ac:dyDescent="0.25">
      <c r="D132" s="40"/>
    </row>
    <row r="133" spans="2:4" x14ac:dyDescent="0.25">
      <c r="B133" s="7"/>
      <c r="D133" s="40"/>
    </row>
    <row r="134" spans="2:4" x14ac:dyDescent="0.25">
      <c r="D134" s="40"/>
    </row>
    <row r="135" spans="2:4" x14ac:dyDescent="0.25">
      <c r="D135" s="40"/>
    </row>
    <row r="136" spans="2:4" x14ac:dyDescent="0.25">
      <c r="B136" s="7"/>
      <c r="D136" s="40"/>
    </row>
    <row r="138" spans="2:4" x14ac:dyDescent="0.25">
      <c r="B138" s="9"/>
    </row>
    <row r="151" spans="1:4" x14ac:dyDescent="0.25">
      <c r="A151" s="8"/>
      <c r="B151" s="9"/>
    </row>
    <row r="152" spans="1:4" x14ac:dyDescent="0.25">
      <c r="A152" s="15"/>
      <c r="B152" s="3"/>
    </row>
    <row r="153" spans="1:4" x14ac:dyDescent="0.25">
      <c r="A153" s="15"/>
      <c r="B153" s="3"/>
    </row>
    <row r="154" spans="1:4" x14ac:dyDescent="0.25">
      <c r="A154" s="15"/>
      <c r="B154" s="3"/>
    </row>
    <row r="155" spans="1:4" x14ac:dyDescent="0.25">
      <c r="A155" s="15"/>
      <c r="B155" s="3"/>
    </row>
    <row r="156" spans="1:4" x14ac:dyDescent="0.25">
      <c r="A156" s="15"/>
      <c r="B156" s="3"/>
    </row>
    <row r="157" spans="1:4" x14ac:dyDescent="0.25">
      <c r="A157" s="15"/>
      <c r="B157" s="3"/>
    </row>
    <row r="158" spans="1:4" x14ac:dyDescent="0.25">
      <c r="A158" s="15"/>
      <c r="B158" s="7"/>
    </row>
    <row r="159" spans="1:4" x14ac:dyDescent="0.25">
      <c r="A159" s="15"/>
    </row>
    <row r="160" spans="1:4" x14ac:dyDescent="0.25">
      <c r="A160" s="15"/>
      <c r="B160" s="1"/>
      <c r="D160" s="4"/>
    </row>
    <row r="161" spans="1:4" x14ac:dyDescent="0.25">
      <c r="A161" s="15"/>
      <c r="D161" s="40"/>
    </row>
    <row r="162" spans="1:4" x14ac:dyDescent="0.25">
      <c r="A162" s="15"/>
      <c r="D162" s="40"/>
    </row>
    <row r="163" spans="1:4" x14ac:dyDescent="0.25">
      <c r="A163" s="15"/>
      <c r="D163" s="40"/>
    </row>
    <row r="164" spans="1:4" x14ac:dyDescent="0.25">
      <c r="A164" s="15"/>
      <c r="D164" s="40"/>
    </row>
    <row r="165" spans="1:4" x14ac:dyDescent="0.25">
      <c r="A165" s="15"/>
      <c r="D165" s="40"/>
    </row>
    <row r="166" spans="1:4" x14ac:dyDescent="0.25">
      <c r="A166" s="15"/>
      <c r="D166" s="40"/>
    </row>
    <row r="167" spans="1:4" x14ac:dyDescent="0.25">
      <c r="A167" s="15"/>
      <c r="D167" s="40"/>
    </row>
    <row r="168" spans="1:4" x14ac:dyDescent="0.25">
      <c r="A168" s="15"/>
      <c r="D168" s="40"/>
    </row>
    <row r="169" spans="1:4" x14ac:dyDescent="0.25">
      <c r="A169" s="15"/>
      <c r="D169" s="40"/>
    </row>
    <row r="170" spans="1:4" x14ac:dyDescent="0.25">
      <c r="A170" s="15"/>
    </row>
    <row r="171" spans="1:4" ht="14.4" x14ac:dyDescent="0.3">
      <c r="A171" s="15"/>
      <c r="D171" s="44"/>
    </row>
    <row r="172" spans="1:4" x14ac:dyDescent="0.25">
      <c r="A172" s="15"/>
      <c r="B172" s="3"/>
    </row>
    <row r="173" spans="1:4" x14ac:dyDescent="0.25">
      <c r="A173" s="15"/>
      <c r="B173" s="3"/>
    </row>
    <row r="174" spans="1:4" x14ac:dyDescent="0.25">
      <c r="A174" s="15"/>
      <c r="B174" s="3"/>
    </row>
    <row r="175" spans="1:4" x14ac:dyDescent="0.25">
      <c r="A175" s="15"/>
      <c r="B175" s="3"/>
    </row>
    <row r="176" spans="1:4" x14ac:dyDescent="0.25">
      <c r="A176" s="15"/>
      <c r="B176" s="3"/>
    </row>
    <row r="177" spans="1:4" x14ac:dyDescent="0.25">
      <c r="A177" s="15"/>
      <c r="B177" s="3"/>
    </row>
    <row r="178" spans="1:4" x14ac:dyDescent="0.25">
      <c r="A178" s="15"/>
      <c r="B178" s="3"/>
    </row>
    <row r="179" spans="1:4" x14ac:dyDescent="0.25">
      <c r="A179" s="15"/>
      <c r="B179" s="3"/>
    </row>
    <row r="180" spans="1:4" x14ac:dyDescent="0.25">
      <c r="A180" s="15"/>
      <c r="B180" s="3"/>
    </row>
    <row r="181" spans="1:4" x14ac:dyDescent="0.25">
      <c r="A181" s="15"/>
      <c r="B181" s="3"/>
    </row>
    <row r="182" spans="1:4" x14ac:dyDescent="0.25">
      <c r="A182" s="15"/>
      <c r="B182" s="3"/>
    </row>
    <row r="185" spans="1:4" x14ac:dyDescent="0.25">
      <c r="B185" s="9"/>
    </row>
    <row r="187" spans="1:4" x14ac:dyDescent="0.25">
      <c r="B187" s="1"/>
      <c r="C187" s="4"/>
      <c r="D187" s="4"/>
    </row>
    <row r="188" spans="1:4" x14ac:dyDescent="0.25">
      <c r="D188" s="40"/>
    </row>
    <row r="189" spans="1:4" x14ac:dyDescent="0.25">
      <c r="D189" s="40"/>
    </row>
    <row r="190" spans="1:4" x14ac:dyDescent="0.25">
      <c r="D190" s="40"/>
    </row>
    <row r="191" spans="1:4" x14ac:dyDescent="0.25">
      <c r="D191" s="40"/>
    </row>
    <row r="192" spans="1:4" x14ac:dyDescent="0.25">
      <c r="D192" s="40"/>
    </row>
    <row r="193" spans="2:4" x14ac:dyDescent="0.25">
      <c r="D193" s="40"/>
    </row>
    <row r="194" spans="2:4" x14ac:dyDescent="0.25">
      <c r="B194" s="7"/>
      <c r="D194" s="40"/>
    </row>
    <row r="195" spans="2:4" x14ac:dyDescent="0.25">
      <c r="D195" s="40"/>
    </row>
    <row r="196" spans="2:4" x14ac:dyDescent="0.25">
      <c r="D196" s="40"/>
    </row>
    <row r="197" spans="2:4" x14ac:dyDescent="0.25">
      <c r="B197" s="7"/>
      <c r="D197" s="40"/>
    </row>
    <row r="199" spans="2:4" x14ac:dyDescent="0.25">
      <c r="B199" s="9"/>
    </row>
    <row r="211" spans="1:4" x14ac:dyDescent="0.25">
      <c r="A211" s="8"/>
      <c r="B211" s="9"/>
    </row>
    <row r="212" spans="1:4" x14ac:dyDescent="0.25">
      <c r="A212" s="15"/>
      <c r="B212" s="3"/>
    </row>
    <row r="213" spans="1:4" x14ac:dyDescent="0.25">
      <c r="A213" s="15"/>
      <c r="B213" s="3"/>
    </row>
    <row r="214" spans="1:4" x14ac:dyDescent="0.25">
      <c r="A214" s="15"/>
      <c r="B214" s="3"/>
    </row>
    <row r="215" spans="1:4" x14ac:dyDescent="0.25">
      <c r="A215" s="15"/>
      <c r="B215" s="3"/>
    </row>
    <row r="216" spans="1:4" x14ac:dyDescent="0.25">
      <c r="A216" s="15"/>
      <c r="B216" s="3"/>
    </row>
    <row r="217" spans="1:4" x14ac:dyDescent="0.25">
      <c r="A217" s="15"/>
      <c r="B217" s="3"/>
    </row>
    <row r="218" spans="1:4" x14ac:dyDescent="0.25">
      <c r="A218" s="15"/>
      <c r="B218" s="3"/>
    </row>
    <row r="219" spans="1:4" x14ac:dyDescent="0.25">
      <c r="A219" s="15"/>
      <c r="B219" s="7"/>
    </row>
    <row r="220" spans="1:4" x14ac:dyDescent="0.25">
      <c r="A220" s="15"/>
    </row>
    <row r="221" spans="1:4" x14ac:dyDescent="0.25">
      <c r="A221" s="15"/>
      <c r="B221" s="1"/>
      <c r="D221" s="4"/>
    </row>
    <row r="222" spans="1:4" x14ac:dyDescent="0.25">
      <c r="A222" s="15"/>
      <c r="D222" s="40"/>
    </row>
    <row r="223" spans="1:4" x14ac:dyDescent="0.25">
      <c r="A223" s="15"/>
      <c r="D223" s="40"/>
    </row>
    <row r="224" spans="1:4" x14ac:dyDescent="0.25">
      <c r="A224" s="15"/>
      <c r="D224" s="40"/>
    </row>
    <row r="225" spans="1:4" x14ac:dyDescent="0.25">
      <c r="A225" s="15"/>
      <c r="D225" s="40"/>
    </row>
    <row r="226" spans="1:4" x14ac:dyDescent="0.25">
      <c r="A226" s="15"/>
      <c r="D226" s="40"/>
    </row>
    <row r="227" spans="1:4" x14ac:dyDescent="0.25">
      <c r="A227" s="15"/>
      <c r="D227" s="40"/>
    </row>
    <row r="228" spans="1:4" x14ac:dyDescent="0.25">
      <c r="A228" s="15"/>
      <c r="D228" s="40"/>
    </row>
    <row r="229" spans="1:4" x14ac:dyDescent="0.25">
      <c r="A229" s="15"/>
      <c r="D229" s="40"/>
    </row>
    <row r="230" spans="1:4" x14ac:dyDescent="0.25">
      <c r="A230" s="15"/>
      <c r="D230" s="40"/>
    </row>
    <row r="231" spans="1:4" x14ac:dyDescent="0.25">
      <c r="A231" s="15"/>
    </row>
    <row r="232" spans="1:4" ht="14.4" x14ac:dyDescent="0.3">
      <c r="A232" s="15"/>
      <c r="D232" s="44"/>
    </row>
    <row r="233" spans="1:4" x14ac:dyDescent="0.25">
      <c r="A233" s="15"/>
      <c r="B233" s="3"/>
    </row>
    <row r="234" spans="1:4" x14ac:dyDescent="0.25">
      <c r="A234" s="15"/>
      <c r="B234" s="3"/>
    </row>
    <row r="235" spans="1:4" x14ac:dyDescent="0.25">
      <c r="A235" s="15"/>
      <c r="B235" s="3"/>
    </row>
    <row r="236" spans="1:4" x14ac:dyDescent="0.25">
      <c r="A236" s="15"/>
      <c r="B236" s="3"/>
    </row>
    <row r="237" spans="1:4" x14ac:dyDescent="0.25">
      <c r="A237" s="15"/>
      <c r="B237" s="3"/>
    </row>
    <row r="238" spans="1:4" x14ac:dyDescent="0.25">
      <c r="A238" s="15"/>
      <c r="B238" s="3"/>
    </row>
    <row r="239" spans="1:4" x14ac:dyDescent="0.25">
      <c r="A239" s="15"/>
      <c r="B239" s="3"/>
    </row>
    <row r="240" spans="1:4" x14ac:dyDescent="0.25">
      <c r="A240" s="15"/>
      <c r="B240" s="3"/>
    </row>
    <row r="241" spans="1:4" x14ac:dyDescent="0.25">
      <c r="A241" s="15"/>
      <c r="B241" s="3"/>
    </row>
    <row r="242" spans="1:4" x14ac:dyDescent="0.25">
      <c r="A242" s="15"/>
      <c r="B242" s="3"/>
    </row>
    <row r="243" spans="1:4" x14ac:dyDescent="0.25">
      <c r="A243" s="15"/>
      <c r="B243" s="3"/>
    </row>
    <row r="244" spans="1:4" x14ac:dyDescent="0.25">
      <c r="A244" s="15"/>
      <c r="B244" s="3"/>
    </row>
    <row r="247" spans="1:4" x14ac:dyDescent="0.25">
      <c r="B247" s="9"/>
    </row>
    <row r="250" spans="1:4" x14ac:dyDescent="0.25">
      <c r="B250" s="1"/>
      <c r="C250" s="4"/>
      <c r="D250" s="4"/>
    </row>
    <row r="251" spans="1:4" x14ac:dyDescent="0.25">
      <c r="D251" s="40"/>
    </row>
    <row r="252" spans="1:4" x14ac:dyDescent="0.25">
      <c r="D252" s="40"/>
    </row>
    <row r="253" spans="1:4" x14ac:dyDescent="0.25">
      <c r="D253" s="40"/>
    </row>
    <row r="254" spans="1:4" x14ac:dyDescent="0.25">
      <c r="D254" s="40"/>
    </row>
    <row r="255" spans="1:4" x14ac:dyDescent="0.25">
      <c r="D255" s="40"/>
    </row>
    <row r="256" spans="1:4" x14ac:dyDescent="0.25">
      <c r="D256" s="40"/>
    </row>
    <row r="257" spans="2:4" x14ac:dyDescent="0.25">
      <c r="B257" s="7"/>
      <c r="D257" s="40"/>
    </row>
    <row r="258" spans="2:4" x14ac:dyDescent="0.25">
      <c r="D258" s="40"/>
    </row>
    <row r="259" spans="2:4" x14ac:dyDescent="0.25">
      <c r="D259" s="40"/>
    </row>
    <row r="260" spans="2:4" x14ac:dyDescent="0.25">
      <c r="B260" s="7"/>
      <c r="D260" s="40"/>
    </row>
    <row r="262" spans="2:4" x14ac:dyDescent="0.25">
      <c r="B262" s="9"/>
    </row>
    <row r="275" spans="1:4" x14ac:dyDescent="0.25">
      <c r="A275" s="8"/>
      <c r="B275" s="9"/>
    </row>
    <row r="276" spans="1:4" x14ac:dyDescent="0.25">
      <c r="A276" s="15"/>
      <c r="B276" s="3"/>
    </row>
    <row r="277" spans="1:4" x14ac:dyDescent="0.25">
      <c r="A277" s="15"/>
      <c r="B277" s="3"/>
    </row>
    <row r="278" spans="1:4" x14ac:dyDescent="0.25">
      <c r="A278" s="15"/>
      <c r="B278" s="3"/>
    </row>
    <row r="279" spans="1:4" x14ac:dyDescent="0.25">
      <c r="A279" s="15"/>
      <c r="B279" s="3"/>
    </row>
    <row r="280" spans="1:4" x14ac:dyDescent="0.25">
      <c r="A280" s="15"/>
      <c r="B280" s="3"/>
    </row>
    <row r="283" spans="1:4" x14ac:dyDescent="0.25">
      <c r="B283" s="7"/>
    </row>
    <row r="285" spans="1:4" x14ac:dyDescent="0.25">
      <c r="B285" s="1"/>
      <c r="D285" s="4"/>
    </row>
    <row r="286" spans="1:4" x14ac:dyDescent="0.25">
      <c r="D286" s="40"/>
    </row>
    <row r="287" spans="1:4" x14ac:dyDescent="0.25">
      <c r="D287" s="40"/>
    </row>
    <row r="288" spans="1:4" x14ac:dyDescent="0.25">
      <c r="D288" s="40"/>
    </row>
    <row r="289" spans="4:4" x14ac:dyDescent="0.25">
      <c r="D289" s="40"/>
    </row>
    <row r="290" spans="4:4" x14ac:dyDescent="0.25">
      <c r="D290" s="40"/>
    </row>
    <row r="291" spans="4:4" x14ac:dyDescent="0.25">
      <c r="D291" s="40"/>
    </row>
    <row r="292" spans="4:4" x14ac:dyDescent="0.25">
      <c r="D292" s="40"/>
    </row>
    <row r="293" spans="4:4" x14ac:dyDescent="0.25">
      <c r="D293" s="40"/>
    </row>
    <row r="294" spans="4:4" x14ac:dyDescent="0.25">
      <c r="D294" s="40"/>
    </row>
    <row r="296" spans="4:4" ht="14.4" x14ac:dyDescent="0.3">
      <c r="D296" s="44"/>
    </row>
  </sheetData>
  <pageMargins left="0.7" right="0.7" top="0.75" bottom="0.75" header="0.3" footer="0.3"/>
  <ignoredErrors>
    <ignoredError sqref="H64:H66" formulaRange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F371-FE53-4061-A91A-AA5EE57048A6}">
  <dimension ref="A1:M85"/>
  <sheetViews>
    <sheetView showGridLines="0" workbookViewId="0">
      <selection activeCell="J14" sqref="J14"/>
    </sheetView>
  </sheetViews>
  <sheetFormatPr defaultRowHeight="13.8" x14ac:dyDescent="0.3"/>
  <cols>
    <col min="1" max="1" width="8.88671875" style="60"/>
    <col min="2" max="2" width="8.77734375" style="60" customWidth="1"/>
    <col min="3" max="3" width="7.88671875" style="60" bestFit="1" customWidth="1"/>
    <col min="4" max="4" width="9.33203125" style="60" bestFit="1" customWidth="1"/>
    <col min="5" max="5" width="13.6640625" style="60" bestFit="1" customWidth="1"/>
    <col min="6" max="6" width="8.5546875" style="60" bestFit="1" customWidth="1"/>
    <col min="7" max="7" width="13.44140625" style="60" bestFit="1" customWidth="1"/>
    <col min="8" max="8" width="8.88671875" style="60"/>
    <col min="9" max="9" width="8" style="60" bestFit="1" customWidth="1"/>
    <col min="10" max="10" width="13.44140625" style="60" bestFit="1" customWidth="1"/>
    <col min="11" max="11" width="8.5546875" style="60" bestFit="1" customWidth="1"/>
    <col min="12" max="12" width="5" style="60" bestFit="1" customWidth="1"/>
    <col min="13" max="13" width="5.6640625" style="60" bestFit="1" customWidth="1"/>
    <col min="14" max="16384" width="8.88671875" style="60"/>
  </cols>
  <sheetData>
    <row r="1" spans="1:13" ht="14.4" x14ac:dyDescent="0.3">
      <c r="B1" s="2"/>
      <c r="C1" s="40"/>
      <c r="D1" s="2"/>
      <c r="E1" s="2"/>
      <c r="F1" s="2"/>
    </row>
    <row r="2" spans="1:13" ht="14.4" x14ac:dyDescent="0.3">
      <c r="A2" s="65" t="s">
        <v>43</v>
      </c>
      <c r="B2" s="8" t="s">
        <v>44</v>
      </c>
      <c r="C2" s="40"/>
      <c r="D2" s="2"/>
      <c r="E2" s="2"/>
      <c r="F2" s="2"/>
    </row>
    <row r="3" spans="1:13" ht="14.4" x14ac:dyDescent="0.3">
      <c r="A3"/>
      <c r="B3" s="8"/>
      <c r="C3" s="40"/>
      <c r="D3" s="2"/>
      <c r="E3" s="2"/>
      <c r="F3" s="2"/>
    </row>
    <row r="4" spans="1:13" ht="14.4" x14ac:dyDescent="0.3">
      <c r="A4"/>
      <c r="B4" s="8"/>
      <c r="C4" s="40"/>
      <c r="D4" s="2"/>
      <c r="E4" s="2"/>
      <c r="F4" s="6" t="s">
        <v>52</v>
      </c>
      <c r="G4" s="66"/>
      <c r="I4" s="6" t="s">
        <v>0</v>
      </c>
    </row>
    <row r="5" spans="1:13" ht="14.4" x14ac:dyDescent="0.3">
      <c r="A5" s="65" t="s">
        <v>5</v>
      </c>
      <c r="B5" s="2"/>
      <c r="C5" s="2"/>
      <c r="D5" s="2"/>
      <c r="E5" s="2"/>
      <c r="F5" s="66"/>
      <c r="G5" s="66"/>
    </row>
    <row r="6" spans="1:13" ht="14.4" x14ac:dyDescent="0.3">
      <c r="B6" s="2"/>
      <c r="C6" s="2"/>
      <c r="D6" s="2"/>
      <c r="E6" s="4"/>
      <c r="F6" s="4" t="s">
        <v>27</v>
      </c>
      <c r="G6" s="4" t="s">
        <v>29</v>
      </c>
      <c r="I6" s="4" t="s">
        <v>27</v>
      </c>
      <c r="J6" s="4" t="s">
        <v>29</v>
      </c>
      <c r="L6" s="60" t="b">
        <f>F6=I6</f>
        <v>1</v>
      </c>
      <c r="M6" s="60" t="b">
        <f>G6=J6</f>
        <v>1</v>
      </c>
    </row>
    <row r="7" spans="1:13" ht="14.4" x14ac:dyDescent="0.3">
      <c r="B7" s="2"/>
      <c r="C7" s="43"/>
      <c r="D7" s="2"/>
      <c r="E7" s="2"/>
      <c r="F7" s="3">
        <v>2025</v>
      </c>
      <c r="G7" s="40">
        <v>3168</v>
      </c>
      <c r="I7" s="3">
        <v>2025</v>
      </c>
      <c r="J7" s="40">
        <v>3168</v>
      </c>
      <c r="K7" s="40"/>
      <c r="L7" s="60" t="b">
        <f t="shared" ref="L7:L21" si="0">F7=I7</f>
        <v>1</v>
      </c>
      <c r="M7" s="60" t="b">
        <f t="shared" ref="M7:M21" si="1">G7=J7</f>
        <v>1</v>
      </c>
    </row>
    <row r="8" spans="1:13" ht="14.4" x14ac:dyDescent="0.3">
      <c r="B8" s="5"/>
      <c r="C8" s="21"/>
      <c r="D8" s="2"/>
      <c r="E8" s="5"/>
      <c r="F8" s="3">
        <v>2026</v>
      </c>
      <c r="G8" s="40">
        <v>3318</v>
      </c>
      <c r="I8" s="3">
        <v>2026</v>
      </c>
      <c r="J8" s="40">
        <v>3318</v>
      </c>
      <c r="K8" s="40"/>
      <c r="L8" s="60" t="b">
        <f t="shared" si="0"/>
        <v>1</v>
      </c>
      <c r="M8" s="60" t="b">
        <f t="shared" si="1"/>
        <v>1</v>
      </c>
    </row>
    <row r="9" spans="1:13" ht="14.4" x14ac:dyDescent="0.3">
      <c r="B9" s="5"/>
      <c r="C9" s="21"/>
      <c r="D9" s="2"/>
      <c r="E9" s="5"/>
      <c r="F9" s="3">
        <v>2027</v>
      </c>
      <c r="G9" s="40">
        <v>4465</v>
      </c>
      <c r="I9" s="3">
        <v>2027</v>
      </c>
      <c r="J9" s="40">
        <v>4465</v>
      </c>
      <c r="K9" s="40"/>
      <c r="L9" s="60" t="b">
        <f t="shared" si="0"/>
        <v>1</v>
      </c>
      <c r="M9" s="60" t="b">
        <f t="shared" si="1"/>
        <v>1</v>
      </c>
    </row>
    <row r="10" spans="1:13" ht="14.4" x14ac:dyDescent="0.3">
      <c r="B10" s="5"/>
      <c r="C10" s="21"/>
      <c r="D10" s="2"/>
      <c r="E10" s="5"/>
      <c r="F10" s="3">
        <v>2028</v>
      </c>
      <c r="G10" s="40">
        <v>4226</v>
      </c>
      <c r="I10" s="3">
        <v>2028</v>
      </c>
      <c r="J10" s="40">
        <v>4226</v>
      </c>
      <c r="K10" s="40"/>
      <c r="L10" s="60" t="b">
        <f t="shared" ref="L10:L15" si="2">F10=I10</f>
        <v>1</v>
      </c>
      <c r="M10" s="60" t="b">
        <f t="shared" ref="M10:M15" si="3">G10=J10</f>
        <v>1</v>
      </c>
    </row>
    <row r="11" spans="1:13" ht="14.4" x14ac:dyDescent="0.3">
      <c r="B11" s="5"/>
      <c r="C11" s="21"/>
      <c r="D11" s="2"/>
      <c r="E11" s="5"/>
      <c r="F11" s="3">
        <v>2029</v>
      </c>
      <c r="G11" s="40">
        <v>3676</v>
      </c>
      <c r="I11" s="3">
        <v>2029</v>
      </c>
      <c r="J11" s="40">
        <v>3676</v>
      </c>
      <c r="K11" s="40"/>
      <c r="L11" s="60" t="b">
        <f t="shared" si="2"/>
        <v>1</v>
      </c>
      <c r="M11" s="60" t="b">
        <f t="shared" si="3"/>
        <v>1</v>
      </c>
    </row>
    <row r="12" spans="1:13" ht="14.4" x14ac:dyDescent="0.3">
      <c r="B12" s="5"/>
      <c r="C12" s="21"/>
      <c r="D12" s="2"/>
      <c r="E12" s="5"/>
      <c r="F12" s="3">
        <v>2030</v>
      </c>
      <c r="G12" s="40">
        <v>3935</v>
      </c>
      <c r="I12" s="3">
        <v>2030</v>
      </c>
      <c r="J12" s="40">
        <v>3935</v>
      </c>
      <c r="K12" s="40"/>
      <c r="L12" s="60" t="b">
        <f t="shared" si="2"/>
        <v>1</v>
      </c>
      <c r="M12" s="60" t="b">
        <f t="shared" si="3"/>
        <v>1</v>
      </c>
    </row>
    <row r="13" spans="1:13" ht="14.4" x14ac:dyDescent="0.3">
      <c r="B13" s="5"/>
      <c r="C13" s="21"/>
      <c r="D13" s="2"/>
      <c r="E13" s="5"/>
      <c r="F13" s="3">
        <v>2031</v>
      </c>
      <c r="G13" s="40">
        <v>1918</v>
      </c>
      <c r="I13" s="3">
        <v>2031</v>
      </c>
      <c r="J13" s="40">
        <v>1918</v>
      </c>
      <c r="K13" s="40"/>
      <c r="L13" s="60" t="b">
        <f t="shared" si="2"/>
        <v>1</v>
      </c>
      <c r="M13" s="60" t="b">
        <f t="shared" si="3"/>
        <v>1</v>
      </c>
    </row>
    <row r="14" spans="1:13" ht="14.4" x14ac:dyDescent="0.3">
      <c r="B14" s="5"/>
      <c r="C14" s="21"/>
      <c r="D14" s="2"/>
      <c r="E14" s="5"/>
      <c r="F14" s="3">
        <v>2032</v>
      </c>
      <c r="G14" s="40">
        <v>1323</v>
      </c>
      <c r="I14" s="3">
        <v>2032</v>
      </c>
      <c r="J14" s="40">
        <v>1323</v>
      </c>
      <c r="K14" s="40"/>
      <c r="L14" s="60" t="b">
        <f t="shared" si="2"/>
        <v>1</v>
      </c>
      <c r="M14" s="60" t="b">
        <f t="shared" si="3"/>
        <v>1</v>
      </c>
    </row>
    <row r="15" spans="1:13" ht="14.4" x14ac:dyDescent="0.3">
      <c r="B15" s="5"/>
      <c r="C15" s="21"/>
      <c r="D15" s="2"/>
      <c r="E15" s="5"/>
      <c r="F15" s="3">
        <v>2033</v>
      </c>
      <c r="G15" s="40">
        <v>2918</v>
      </c>
      <c r="I15" s="3">
        <v>2033</v>
      </c>
      <c r="J15" s="40">
        <v>2918</v>
      </c>
      <c r="K15" s="40"/>
      <c r="L15" s="60" t="b">
        <f t="shared" si="2"/>
        <v>1</v>
      </c>
      <c r="M15" s="60" t="b">
        <f t="shared" si="3"/>
        <v>1</v>
      </c>
    </row>
    <row r="16" spans="1:13" ht="14.4" x14ac:dyDescent="0.3">
      <c r="B16" s="5"/>
      <c r="C16" s="21"/>
      <c r="D16" s="2"/>
      <c r="E16" s="5"/>
      <c r="F16" s="3">
        <v>2034</v>
      </c>
      <c r="G16" s="40">
        <v>1168</v>
      </c>
      <c r="I16" s="3">
        <v>2034</v>
      </c>
      <c r="J16" s="40">
        <v>1168</v>
      </c>
      <c r="K16" s="40"/>
      <c r="L16" s="60" t="b">
        <f t="shared" si="0"/>
        <v>1</v>
      </c>
      <c r="M16" s="60" t="b">
        <f t="shared" si="1"/>
        <v>1</v>
      </c>
    </row>
    <row r="17" spans="1:13" ht="14.4" x14ac:dyDescent="0.3">
      <c r="B17" s="5"/>
      <c r="C17" s="21"/>
      <c r="D17" s="2"/>
      <c r="E17" s="5"/>
      <c r="F17" s="3">
        <v>2035</v>
      </c>
      <c r="G17" s="40">
        <v>600</v>
      </c>
      <c r="I17" s="3">
        <v>2035</v>
      </c>
      <c r="J17" s="40">
        <v>600</v>
      </c>
      <c r="K17" s="40"/>
      <c r="L17" s="60" t="b">
        <f t="shared" si="0"/>
        <v>1</v>
      </c>
      <c r="M17" s="60" t="b">
        <f t="shared" si="1"/>
        <v>1</v>
      </c>
    </row>
    <row r="18" spans="1:13" ht="14.4" x14ac:dyDescent="0.3">
      <c r="B18" s="5"/>
      <c r="C18" s="21"/>
      <c r="D18" s="2"/>
      <c r="E18" s="5"/>
      <c r="F18" s="3">
        <v>2049</v>
      </c>
      <c r="G18" s="40">
        <v>600</v>
      </c>
      <c r="I18" s="3">
        <v>2049</v>
      </c>
      <c r="J18" s="40">
        <v>600</v>
      </c>
      <c r="K18" s="40"/>
      <c r="L18" s="60" t="b">
        <f t="shared" si="0"/>
        <v>1</v>
      </c>
      <c r="M18" s="60" t="b">
        <f t="shared" si="1"/>
        <v>1</v>
      </c>
    </row>
    <row r="19" spans="1:13" ht="14.4" x14ac:dyDescent="0.3">
      <c r="B19" s="5"/>
      <c r="C19" s="21"/>
      <c r="D19" s="2"/>
      <c r="E19" s="5"/>
      <c r="F19" s="3">
        <v>2050</v>
      </c>
      <c r="G19" s="40">
        <v>1050</v>
      </c>
      <c r="I19" s="3">
        <v>2050</v>
      </c>
      <c r="J19" s="40">
        <v>1050</v>
      </c>
      <c r="K19" s="40"/>
      <c r="L19" s="60" t="b">
        <f t="shared" si="0"/>
        <v>1</v>
      </c>
      <c r="M19" s="60" t="b">
        <f t="shared" si="1"/>
        <v>1</v>
      </c>
    </row>
    <row r="20" spans="1:13" ht="14.4" x14ac:dyDescent="0.3">
      <c r="B20" s="5"/>
      <c r="C20" s="21"/>
      <c r="D20" s="2"/>
      <c r="E20" s="5"/>
      <c r="F20" s="3">
        <v>2051</v>
      </c>
      <c r="G20" s="40">
        <v>1050</v>
      </c>
      <c r="I20" s="3">
        <v>2051</v>
      </c>
      <c r="J20" s="40">
        <v>1050</v>
      </c>
      <c r="K20" s="40"/>
      <c r="L20" s="60" t="b">
        <f t="shared" si="0"/>
        <v>1</v>
      </c>
      <c r="M20" s="60" t="b">
        <f t="shared" si="1"/>
        <v>1</v>
      </c>
    </row>
    <row r="21" spans="1:13" ht="14.4" x14ac:dyDescent="0.3">
      <c r="B21" s="2"/>
      <c r="C21" s="2"/>
      <c r="D21" s="2"/>
      <c r="E21" s="2"/>
      <c r="F21" s="6" t="s">
        <v>8</v>
      </c>
      <c r="G21" s="45">
        <f>SUM(G7:G20)</f>
        <v>33415</v>
      </c>
      <c r="I21" s="6" t="s">
        <v>8</v>
      </c>
      <c r="J21" s="45">
        <f>SUM(J7:J20)</f>
        <v>33415</v>
      </c>
      <c r="K21" s="40"/>
      <c r="L21" s="60" t="b">
        <f t="shared" si="0"/>
        <v>1</v>
      </c>
      <c r="M21" s="60" t="b">
        <f t="shared" si="1"/>
        <v>1</v>
      </c>
    </row>
    <row r="23" spans="1:13" x14ac:dyDescent="0.3">
      <c r="F23" s="64" t="s">
        <v>2</v>
      </c>
      <c r="G23" s="44">
        <v>1</v>
      </c>
    </row>
    <row r="25" spans="1:13" ht="14.4" x14ac:dyDescent="0.3">
      <c r="B25" s="2"/>
      <c r="C25" s="40"/>
      <c r="D25" s="2"/>
      <c r="E25" s="2"/>
      <c r="F25" s="6" t="s">
        <v>52</v>
      </c>
      <c r="G25" s="66"/>
      <c r="I25" s="6" t="s">
        <v>0</v>
      </c>
    </row>
    <row r="26" spans="1:13" ht="14.4" x14ac:dyDescent="0.3">
      <c r="A26" s="65" t="s">
        <v>4</v>
      </c>
      <c r="B26" s="2"/>
      <c r="C26" s="2"/>
      <c r="D26" s="2"/>
      <c r="E26" s="2"/>
      <c r="F26" s="66"/>
      <c r="G26" s="66"/>
    </row>
    <row r="27" spans="1:13" ht="14.4" x14ac:dyDescent="0.3">
      <c r="B27" s="2"/>
      <c r="C27" s="2"/>
      <c r="D27" s="2"/>
      <c r="E27" s="4"/>
      <c r="F27" s="4" t="s">
        <v>27</v>
      </c>
      <c r="G27" s="4" t="s">
        <v>29</v>
      </c>
      <c r="I27" s="4" t="s">
        <v>27</v>
      </c>
      <c r="J27" s="4" t="s">
        <v>29</v>
      </c>
      <c r="L27" s="60" t="b">
        <f>F27=I27</f>
        <v>1</v>
      </c>
      <c r="M27" s="60" t="b">
        <f>G27=J27</f>
        <v>1</v>
      </c>
    </row>
    <row r="28" spans="1:13" ht="14.4" x14ac:dyDescent="0.3">
      <c r="B28" s="2"/>
      <c r="C28" s="43"/>
      <c r="D28" s="2"/>
      <c r="E28" s="2"/>
      <c r="F28" s="3">
        <v>2025</v>
      </c>
      <c r="G28" s="40">
        <v>3207</v>
      </c>
      <c r="I28" s="3">
        <v>2025</v>
      </c>
      <c r="J28" s="40">
        <v>3207</v>
      </c>
      <c r="L28" s="60" t="b">
        <f t="shared" ref="L28:L41" si="4">F28=I28</f>
        <v>1</v>
      </c>
      <c r="M28" s="60" t="b">
        <f t="shared" ref="M28:M41" si="5">G28=J28</f>
        <v>1</v>
      </c>
    </row>
    <row r="29" spans="1:13" ht="14.4" x14ac:dyDescent="0.3">
      <c r="B29" s="5"/>
      <c r="C29" s="21"/>
      <c r="D29" s="2"/>
      <c r="E29" s="5"/>
      <c r="F29" s="3">
        <v>2026</v>
      </c>
      <c r="G29" s="40">
        <v>3357</v>
      </c>
      <c r="I29" s="3">
        <v>2026</v>
      </c>
      <c r="J29" s="40">
        <v>3357</v>
      </c>
      <c r="L29" s="60" t="b">
        <f t="shared" si="4"/>
        <v>1</v>
      </c>
      <c r="M29" s="60" t="b">
        <f t="shared" si="5"/>
        <v>1</v>
      </c>
    </row>
    <row r="30" spans="1:13" ht="14.4" x14ac:dyDescent="0.3">
      <c r="B30" s="5"/>
      <c r="C30" s="21"/>
      <c r="D30" s="2"/>
      <c r="E30" s="5"/>
      <c r="F30" s="3">
        <v>2027</v>
      </c>
      <c r="G30" s="40">
        <v>4610</v>
      </c>
      <c r="I30" s="3">
        <v>2027</v>
      </c>
      <c r="J30" s="40">
        <v>4610</v>
      </c>
      <c r="L30" s="60" t="b">
        <f t="shared" si="4"/>
        <v>1</v>
      </c>
      <c r="M30" s="60" t="b">
        <f t="shared" si="5"/>
        <v>1</v>
      </c>
    </row>
    <row r="31" spans="1:13" ht="14.4" x14ac:dyDescent="0.3">
      <c r="B31" s="5"/>
      <c r="C31" s="21"/>
      <c r="D31" s="2"/>
      <c r="E31" s="5"/>
      <c r="F31" s="3">
        <v>2028</v>
      </c>
      <c r="G31" s="40">
        <v>4285</v>
      </c>
      <c r="I31" s="3">
        <v>2028</v>
      </c>
      <c r="J31" s="40">
        <v>4285</v>
      </c>
      <c r="L31" s="60" t="b">
        <f t="shared" si="4"/>
        <v>1</v>
      </c>
      <c r="M31" s="60" t="b">
        <f t="shared" si="5"/>
        <v>1</v>
      </c>
    </row>
    <row r="32" spans="1:13" ht="14.4" x14ac:dyDescent="0.3">
      <c r="B32" s="5"/>
      <c r="C32" s="21"/>
      <c r="D32" s="2"/>
      <c r="E32" s="5"/>
      <c r="F32" s="3">
        <v>2029</v>
      </c>
      <c r="G32" s="40">
        <v>3735</v>
      </c>
      <c r="I32" s="3">
        <v>2029</v>
      </c>
      <c r="J32" s="40">
        <v>3735</v>
      </c>
      <c r="L32" s="60" t="b">
        <f t="shared" ref="L32:L36" si="6">F32=I32</f>
        <v>1</v>
      </c>
      <c r="M32" s="60" t="b">
        <f t="shared" ref="M32:M36" si="7">G32=J32</f>
        <v>1</v>
      </c>
    </row>
    <row r="33" spans="1:13" ht="14.4" x14ac:dyDescent="0.3">
      <c r="B33" s="5"/>
      <c r="C33" s="21"/>
      <c r="D33" s="2"/>
      <c r="E33" s="5"/>
      <c r="F33" s="3">
        <v>2030</v>
      </c>
      <c r="G33" s="40">
        <v>3413</v>
      </c>
      <c r="I33" s="3">
        <v>2030</v>
      </c>
      <c r="J33" s="40">
        <v>3413</v>
      </c>
      <c r="L33" s="60" t="b">
        <f t="shared" si="6"/>
        <v>1</v>
      </c>
      <c r="M33" s="60" t="b">
        <f t="shared" si="7"/>
        <v>1</v>
      </c>
    </row>
    <row r="34" spans="1:13" ht="14.4" x14ac:dyDescent="0.3">
      <c r="B34" s="5"/>
      <c r="C34" s="21"/>
      <c r="D34" s="2"/>
      <c r="E34" s="5"/>
      <c r="F34" s="3">
        <v>2031</v>
      </c>
      <c r="G34" s="40">
        <v>1957</v>
      </c>
      <c r="I34" s="3">
        <v>2031</v>
      </c>
      <c r="J34" s="40">
        <v>1957</v>
      </c>
      <c r="L34" s="60" t="b">
        <f t="shared" si="6"/>
        <v>1</v>
      </c>
      <c r="M34" s="60" t="b">
        <f t="shared" si="7"/>
        <v>1</v>
      </c>
    </row>
    <row r="35" spans="1:13" ht="14.4" x14ac:dyDescent="0.3">
      <c r="B35" s="5"/>
      <c r="C35" s="21"/>
      <c r="D35" s="2"/>
      <c r="E35" s="5"/>
      <c r="F35" s="3">
        <v>2032</v>
      </c>
      <c r="G35" s="40">
        <v>1374</v>
      </c>
      <c r="I35" s="3">
        <v>2032</v>
      </c>
      <c r="J35" s="40">
        <v>1374</v>
      </c>
      <c r="L35" s="60" t="b">
        <f t="shared" si="6"/>
        <v>1</v>
      </c>
      <c r="M35" s="60" t="b">
        <f t="shared" si="7"/>
        <v>1</v>
      </c>
    </row>
    <row r="36" spans="1:13" ht="14.4" x14ac:dyDescent="0.3">
      <c r="B36" s="5"/>
      <c r="C36" s="21"/>
      <c r="D36" s="2"/>
      <c r="E36" s="5"/>
      <c r="F36" s="3">
        <v>2033</v>
      </c>
      <c r="G36" s="40">
        <v>2957</v>
      </c>
      <c r="I36" s="3">
        <v>2033</v>
      </c>
      <c r="J36" s="40">
        <v>2957</v>
      </c>
      <c r="L36" s="60" t="b">
        <f t="shared" si="6"/>
        <v>1</v>
      </c>
      <c r="M36" s="60" t="b">
        <f t="shared" si="7"/>
        <v>1</v>
      </c>
    </row>
    <row r="37" spans="1:13" ht="14.4" x14ac:dyDescent="0.3">
      <c r="B37" s="5"/>
      <c r="C37" s="21"/>
      <c r="D37" s="2"/>
      <c r="E37" s="5"/>
      <c r="F37" s="3">
        <v>2034</v>
      </c>
      <c r="G37" s="40">
        <v>1207</v>
      </c>
      <c r="I37" s="3">
        <v>2034</v>
      </c>
      <c r="J37" s="40">
        <v>1207</v>
      </c>
      <c r="L37" s="60" t="b">
        <f t="shared" si="4"/>
        <v>1</v>
      </c>
      <c r="M37" s="60" t="b">
        <f t="shared" si="5"/>
        <v>1</v>
      </c>
    </row>
    <row r="38" spans="1:13" ht="14.4" x14ac:dyDescent="0.3">
      <c r="B38" s="5"/>
      <c r="C38" s="21"/>
      <c r="D38" s="2"/>
      <c r="E38" s="5"/>
      <c r="F38" s="3">
        <v>2049</v>
      </c>
      <c r="G38" s="40">
        <v>600</v>
      </c>
      <c r="I38" s="3">
        <v>2049</v>
      </c>
      <c r="J38" s="40">
        <v>600</v>
      </c>
      <c r="L38" s="60" t="b">
        <f t="shared" si="4"/>
        <v>1</v>
      </c>
      <c r="M38" s="60" t="b">
        <f t="shared" si="5"/>
        <v>1</v>
      </c>
    </row>
    <row r="39" spans="1:13" ht="14.4" x14ac:dyDescent="0.3">
      <c r="B39" s="5"/>
      <c r="C39" s="21"/>
      <c r="D39" s="2"/>
      <c r="E39" s="5"/>
      <c r="F39" s="3">
        <v>2050</v>
      </c>
      <c r="G39" s="40">
        <v>1050</v>
      </c>
      <c r="I39" s="3">
        <v>2050</v>
      </c>
      <c r="J39" s="40">
        <v>1050</v>
      </c>
      <c r="L39" s="60" t="b">
        <f t="shared" si="4"/>
        <v>1</v>
      </c>
      <c r="M39" s="60" t="b">
        <f t="shared" si="5"/>
        <v>1</v>
      </c>
    </row>
    <row r="40" spans="1:13" ht="14.4" x14ac:dyDescent="0.3">
      <c r="B40" s="5"/>
      <c r="C40" s="21"/>
      <c r="D40" s="2"/>
      <c r="E40" s="5"/>
      <c r="F40" s="3">
        <v>2051</v>
      </c>
      <c r="G40" s="40">
        <v>1050</v>
      </c>
      <c r="I40" s="3">
        <v>2051</v>
      </c>
      <c r="J40" s="40">
        <v>1050</v>
      </c>
      <c r="L40" s="60" t="b">
        <f t="shared" si="4"/>
        <v>1</v>
      </c>
      <c r="M40" s="60" t="b">
        <f t="shared" si="5"/>
        <v>1</v>
      </c>
    </row>
    <row r="41" spans="1:13" ht="14.4" x14ac:dyDescent="0.3">
      <c r="B41" s="2"/>
      <c r="C41" s="2"/>
      <c r="D41" s="2"/>
      <c r="E41" s="2"/>
      <c r="F41" s="6" t="s">
        <v>8</v>
      </c>
      <c r="G41" s="45">
        <f>SUM(G28:G40)</f>
        <v>32802</v>
      </c>
      <c r="I41" s="6" t="s">
        <v>8</v>
      </c>
      <c r="J41" s="45">
        <v>32802</v>
      </c>
      <c r="L41" s="60" t="b">
        <f t="shared" si="4"/>
        <v>1</v>
      </c>
      <c r="M41" s="60" t="b">
        <f t="shared" si="5"/>
        <v>1</v>
      </c>
    </row>
    <row r="43" spans="1:13" x14ac:dyDescent="0.3">
      <c r="F43" s="64" t="s">
        <v>2</v>
      </c>
      <c r="G43" s="44">
        <v>1</v>
      </c>
    </row>
    <row r="45" spans="1:13" ht="14.4" x14ac:dyDescent="0.3">
      <c r="F45" s="6" t="s">
        <v>52</v>
      </c>
      <c r="G45" s="66"/>
      <c r="I45" s="6" t="s">
        <v>0</v>
      </c>
    </row>
    <row r="46" spans="1:13" ht="14.4" x14ac:dyDescent="0.3">
      <c r="A46" s="65" t="s">
        <v>6</v>
      </c>
      <c r="B46" s="2"/>
      <c r="C46" s="2"/>
      <c r="D46" s="2"/>
      <c r="E46" s="2"/>
      <c r="F46" s="66"/>
      <c r="G46" s="66"/>
    </row>
    <row r="47" spans="1:13" ht="14.4" x14ac:dyDescent="0.3">
      <c r="B47" s="2"/>
      <c r="C47" s="2"/>
      <c r="D47" s="2"/>
      <c r="E47" s="4"/>
      <c r="F47" s="4" t="s">
        <v>27</v>
      </c>
      <c r="G47" s="4" t="s">
        <v>29</v>
      </c>
      <c r="I47" s="4" t="s">
        <v>27</v>
      </c>
      <c r="J47" s="4" t="s">
        <v>29</v>
      </c>
      <c r="L47" s="60" t="b">
        <f>F47=I47</f>
        <v>1</v>
      </c>
      <c r="M47" s="60" t="b">
        <f>G47=J47</f>
        <v>1</v>
      </c>
    </row>
    <row r="48" spans="1:13" ht="14.4" x14ac:dyDescent="0.3">
      <c r="B48" s="2"/>
      <c r="C48" s="43"/>
      <c r="D48" s="2"/>
      <c r="E48" s="2"/>
      <c r="F48" s="3">
        <v>2025</v>
      </c>
      <c r="G48" s="40">
        <v>3186</v>
      </c>
      <c r="I48" s="3">
        <v>2025</v>
      </c>
      <c r="J48" s="40">
        <v>3186</v>
      </c>
      <c r="K48" s="40"/>
      <c r="L48" s="60" t="b">
        <f t="shared" ref="L48:L52" si="8">F48=I48</f>
        <v>1</v>
      </c>
      <c r="M48" s="60" t="b">
        <f t="shared" ref="M48:M52" si="9">G48=J48</f>
        <v>1</v>
      </c>
    </row>
    <row r="49" spans="2:13" ht="14.4" x14ac:dyDescent="0.3">
      <c r="B49" s="5"/>
      <c r="C49" s="21"/>
      <c r="D49" s="2"/>
      <c r="E49" s="5"/>
      <c r="F49" s="3">
        <v>2026</v>
      </c>
      <c r="G49" s="40">
        <v>3336</v>
      </c>
      <c r="I49" s="3">
        <v>2026</v>
      </c>
      <c r="J49" s="40">
        <v>3336</v>
      </c>
      <c r="K49" s="40"/>
      <c r="L49" s="60" t="b">
        <f t="shared" si="8"/>
        <v>1</v>
      </c>
      <c r="M49" s="60" t="b">
        <f t="shared" si="9"/>
        <v>1</v>
      </c>
    </row>
    <row r="50" spans="2:13" ht="14.4" x14ac:dyDescent="0.3">
      <c r="B50" s="5"/>
      <c r="C50" s="21"/>
      <c r="D50" s="2"/>
      <c r="E50" s="5"/>
      <c r="F50" s="3">
        <v>2027</v>
      </c>
      <c r="G50" s="40">
        <v>4532</v>
      </c>
      <c r="I50" s="3">
        <v>2027</v>
      </c>
      <c r="J50" s="40">
        <v>4532</v>
      </c>
      <c r="K50" s="40"/>
      <c r="L50" s="60" t="b">
        <f t="shared" si="8"/>
        <v>1</v>
      </c>
      <c r="M50" s="60" t="b">
        <f t="shared" si="9"/>
        <v>1</v>
      </c>
    </row>
    <row r="51" spans="2:13" ht="14.4" x14ac:dyDescent="0.3">
      <c r="B51" s="5"/>
      <c r="C51" s="21"/>
      <c r="D51" s="2"/>
      <c r="E51" s="5"/>
      <c r="F51" s="3">
        <v>2028</v>
      </c>
      <c r="G51" s="40">
        <v>4254</v>
      </c>
      <c r="I51" s="3">
        <v>2028</v>
      </c>
      <c r="J51" s="40">
        <v>4254</v>
      </c>
      <c r="K51" s="40"/>
      <c r="L51" s="60" t="b">
        <f t="shared" si="8"/>
        <v>1</v>
      </c>
      <c r="M51" s="60" t="b">
        <f t="shared" si="9"/>
        <v>1</v>
      </c>
    </row>
    <row r="52" spans="2:13" ht="14.4" x14ac:dyDescent="0.3">
      <c r="B52" s="5"/>
      <c r="C52" s="21"/>
      <c r="D52" s="2"/>
      <c r="E52" s="5"/>
      <c r="F52" s="3">
        <v>2029</v>
      </c>
      <c r="G52" s="40">
        <v>3704</v>
      </c>
      <c r="I52" s="3">
        <v>2029</v>
      </c>
      <c r="J52" s="40">
        <v>3704</v>
      </c>
      <c r="K52" s="40"/>
      <c r="L52" s="60" t="b">
        <f t="shared" si="8"/>
        <v>1</v>
      </c>
      <c r="M52" s="60" t="b">
        <f t="shared" si="9"/>
        <v>1</v>
      </c>
    </row>
    <row r="53" spans="2:13" ht="14.4" x14ac:dyDescent="0.3">
      <c r="B53" s="5"/>
      <c r="C53" s="21"/>
      <c r="D53" s="2"/>
      <c r="E53" s="5"/>
      <c r="F53" s="3">
        <v>2030</v>
      </c>
      <c r="G53" s="40">
        <v>3371</v>
      </c>
      <c r="I53" s="3">
        <v>2030</v>
      </c>
      <c r="J53" s="40">
        <v>3371</v>
      </c>
      <c r="K53" s="40"/>
      <c r="L53" s="60" t="b">
        <f t="shared" ref="L53:L61" si="10">F53=I53</f>
        <v>1</v>
      </c>
      <c r="M53" s="60" t="b">
        <f t="shared" ref="M53:M61" si="11">G53=J53</f>
        <v>1</v>
      </c>
    </row>
    <row r="54" spans="2:13" ht="14.4" x14ac:dyDescent="0.3">
      <c r="B54" s="5"/>
      <c r="C54" s="21"/>
      <c r="D54" s="2"/>
      <c r="E54" s="5"/>
      <c r="F54" s="3">
        <v>2031</v>
      </c>
      <c r="G54" s="40">
        <v>1936</v>
      </c>
      <c r="I54" s="3">
        <v>2031</v>
      </c>
      <c r="J54" s="40">
        <v>1936</v>
      </c>
      <c r="K54" s="40"/>
      <c r="L54" s="60" t="b">
        <f t="shared" si="10"/>
        <v>1</v>
      </c>
      <c r="M54" s="60" t="b">
        <f t="shared" si="11"/>
        <v>1</v>
      </c>
    </row>
    <row r="55" spans="2:13" ht="14.4" x14ac:dyDescent="0.3">
      <c r="B55" s="5"/>
      <c r="C55" s="21"/>
      <c r="D55" s="2"/>
      <c r="E55" s="5"/>
      <c r="F55" s="3">
        <v>2032</v>
      </c>
      <c r="G55" s="40">
        <v>1346</v>
      </c>
      <c r="I55" s="3">
        <v>2032</v>
      </c>
      <c r="J55" s="40">
        <v>1346</v>
      </c>
      <c r="K55" s="40"/>
      <c r="L55" s="60" t="b">
        <f t="shared" si="10"/>
        <v>1</v>
      </c>
      <c r="M55" s="60" t="b">
        <f t="shared" si="11"/>
        <v>1</v>
      </c>
    </row>
    <row r="56" spans="2:13" ht="14.4" x14ac:dyDescent="0.3">
      <c r="B56" s="5"/>
      <c r="C56" s="21"/>
      <c r="D56" s="2"/>
      <c r="E56" s="5"/>
      <c r="F56" s="3">
        <v>2033</v>
      </c>
      <c r="G56" s="40">
        <v>2936</v>
      </c>
      <c r="I56" s="3">
        <v>2033</v>
      </c>
      <c r="J56" s="40">
        <v>2936</v>
      </c>
      <c r="K56" s="40"/>
      <c r="L56" s="60" t="b">
        <f t="shared" si="10"/>
        <v>1</v>
      </c>
      <c r="M56" s="60" t="b">
        <f t="shared" si="11"/>
        <v>1</v>
      </c>
    </row>
    <row r="57" spans="2:13" ht="14.4" x14ac:dyDescent="0.3">
      <c r="B57" s="5"/>
      <c r="C57" s="21"/>
      <c r="D57" s="2"/>
      <c r="E57" s="5"/>
      <c r="F57" s="3">
        <v>2034</v>
      </c>
      <c r="G57" s="40">
        <v>1186</v>
      </c>
      <c r="I57" s="3">
        <v>2034</v>
      </c>
      <c r="J57" s="40">
        <v>1186</v>
      </c>
      <c r="K57" s="40"/>
      <c r="L57" s="60" t="b">
        <f t="shared" si="10"/>
        <v>1</v>
      </c>
      <c r="M57" s="60" t="b">
        <f t="shared" si="11"/>
        <v>1</v>
      </c>
    </row>
    <row r="58" spans="2:13" ht="14.4" x14ac:dyDescent="0.3">
      <c r="B58" s="5"/>
      <c r="C58" s="21"/>
      <c r="D58" s="2"/>
      <c r="E58" s="5"/>
      <c r="F58" s="3">
        <v>2049</v>
      </c>
      <c r="G58" s="40">
        <v>600</v>
      </c>
      <c r="I58" s="3">
        <v>2049</v>
      </c>
      <c r="J58" s="40">
        <v>600</v>
      </c>
      <c r="K58" s="40"/>
      <c r="L58" s="60" t="b">
        <f t="shared" si="10"/>
        <v>1</v>
      </c>
      <c r="M58" s="60" t="b">
        <f t="shared" si="11"/>
        <v>1</v>
      </c>
    </row>
    <row r="59" spans="2:13" ht="14.4" x14ac:dyDescent="0.3">
      <c r="B59" s="5"/>
      <c r="C59" s="21"/>
      <c r="D59" s="2"/>
      <c r="E59" s="5"/>
      <c r="F59" s="3">
        <v>2050</v>
      </c>
      <c r="G59" s="40">
        <v>1050</v>
      </c>
      <c r="I59" s="3">
        <v>2050</v>
      </c>
      <c r="J59" s="40">
        <v>1050</v>
      </c>
      <c r="K59" s="40"/>
      <c r="L59" s="60" t="b">
        <f t="shared" si="10"/>
        <v>1</v>
      </c>
      <c r="M59" s="60" t="b">
        <f t="shared" si="11"/>
        <v>1</v>
      </c>
    </row>
    <row r="60" spans="2:13" ht="14.4" x14ac:dyDescent="0.3">
      <c r="B60" s="5"/>
      <c r="C60" s="21"/>
      <c r="D60" s="2"/>
      <c r="E60" s="5"/>
      <c r="F60" s="3">
        <v>2051</v>
      </c>
      <c r="G60" s="40">
        <v>1050</v>
      </c>
      <c r="I60" s="3">
        <v>2051</v>
      </c>
      <c r="J60" s="40">
        <v>1050</v>
      </c>
      <c r="K60" s="40"/>
      <c r="L60" s="60" t="b">
        <f t="shared" si="10"/>
        <v>1</v>
      </c>
      <c r="M60" s="60" t="b">
        <f t="shared" si="11"/>
        <v>1</v>
      </c>
    </row>
    <row r="61" spans="2:13" ht="14.4" x14ac:dyDescent="0.3">
      <c r="B61" s="2"/>
      <c r="C61" s="2"/>
      <c r="D61" s="2"/>
      <c r="E61" s="2"/>
      <c r="F61" s="6" t="s">
        <v>8</v>
      </c>
      <c r="G61" s="45">
        <f>SUM(G48:G60)</f>
        <v>32487</v>
      </c>
      <c r="I61" s="6" t="s">
        <v>8</v>
      </c>
      <c r="J61" s="45">
        <f>SUM(J48:J60)</f>
        <v>32487</v>
      </c>
      <c r="K61" s="40"/>
      <c r="L61" s="60" t="b">
        <f t="shared" si="10"/>
        <v>1</v>
      </c>
      <c r="M61" s="60" t="b">
        <f t="shared" si="11"/>
        <v>1</v>
      </c>
    </row>
    <row r="63" spans="2:13" x14ac:dyDescent="0.3">
      <c r="F63" s="64" t="s">
        <v>2</v>
      </c>
      <c r="G63" s="44">
        <v>1</v>
      </c>
    </row>
    <row r="65" spans="1:13" ht="14.4" x14ac:dyDescent="0.3">
      <c r="F65" s="6" t="s">
        <v>52</v>
      </c>
      <c r="G65" s="66"/>
      <c r="I65" s="6" t="s">
        <v>0</v>
      </c>
    </row>
    <row r="67" spans="1:13" ht="14.4" x14ac:dyDescent="0.3">
      <c r="A67" s="65" t="s">
        <v>7</v>
      </c>
      <c r="B67" s="2"/>
      <c r="C67" s="2"/>
      <c r="D67" s="2"/>
      <c r="E67" s="2"/>
      <c r="F67" s="66"/>
      <c r="G67" s="66"/>
    </row>
    <row r="68" spans="1:13" ht="14.4" x14ac:dyDescent="0.3">
      <c r="B68" s="2"/>
      <c r="C68" s="2"/>
      <c r="D68" s="2"/>
      <c r="E68" s="4"/>
      <c r="F68" s="4" t="s">
        <v>27</v>
      </c>
      <c r="G68" s="4" t="s">
        <v>29</v>
      </c>
      <c r="I68" s="4" t="s">
        <v>27</v>
      </c>
      <c r="J68" s="4" t="s">
        <v>29</v>
      </c>
      <c r="L68" s="60" t="b">
        <f>F68=I68</f>
        <v>1</v>
      </c>
      <c r="M68" s="60" t="b">
        <f>G68=J68</f>
        <v>1</v>
      </c>
    </row>
    <row r="69" spans="1:13" ht="14.4" x14ac:dyDescent="0.3">
      <c r="B69" s="2"/>
      <c r="C69" s="43"/>
      <c r="D69" s="2"/>
      <c r="E69" s="2"/>
      <c r="F69" s="3">
        <v>2024</v>
      </c>
      <c r="G69" s="3">
        <v>650</v>
      </c>
      <c r="I69" s="3">
        <v>2024</v>
      </c>
      <c r="J69" s="40">
        <v>650</v>
      </c>
      <c r="L69" s="60" t="b">
        <f t="shared" ref="L69:L82" si="12">F69=I69</f>
        <v>1</v>
      </c>
      <c r="M69" s="60" t="b">
        <f t="shared" ref="M69:M82" si="13">G69=J69</f>
        <v>1</v>
      </c>
    </row>
    <row r="70" spans="1:13" ht="14.4" x14ac:dyDescent="0.3">
      <c r="B70" s="5"/>
      <c r="C70" s="21"/>
      <c r="D70" s="2"/>
      <c r="E70" s="5"/>
      <c r="F70" s="3">
        <v>2025</v>
      </c>
      <c r="G70" s="40">
        <v>3189</v>
      </c>
      <c r="I70" s="3">
        <v>2025</v>
      </c>
      <c r="J70" s="40">
        <v>3189</v>
      </c>
      <c r="L70" s="60" t="b">
        <f t="shared" si="12"/>
        <v>1</v>
      </c>
      <c r="M70" s="60" t="b">
        <f t="shared" si="13"/>
        <v>1</v>
      </c>
    </row>
    <row r="71" spans="1:13" ht="14.4" x14ac:dyDescent="0.3">
      <c r="B71" s="5"/>
      <c r="C71" s="21"/>
      <c r="D71" s="2"/>
      <c r="E71" s="5"/>
      <c r="F71" s="3">
        <v>2026</v>
      </c>
      <c r="G71" s="40">
        <v>3339</v>
      </c>
      <c r="I71" s="3">
        <v>2026</v>
      </c>
      <c r="J71" s="40">
        <v>3339</v>
      </c>
      <c r="L71" s="60" t="b">
        <f t="shared" si="12"/>
        <v>1</v>
      </c>
      <c r="M71" s="60" t="b">
        <f t="shared" si="13"/>
        <v>1</v>
      </c>
    </row>
    <row r="72" spans="1:13" ht="14.4" x14ac:dyDescent="0.3">
      <c r="B72" s="5"/>
      <c r="C72" s="21"/>
      <c r="D72" s="2"/>
      <c r="E72" s="5"/>
      <c r="F72" s="3">
        <v>2027</v>
      </c>
      <c r="G72" s="40">
        <v>4546</v>
      </c>
      <c r="I72" s="3">
        <v>2027</v>
      </c>
      <c r="J72" s="40">
        <v>4546</v>
      </c>
      <c r="L72" s="60" t="b">
        <f t="shared" si="12"/>
        <v>1</v>
      </c>
      <c r="M72" s="60" t="b">
        <f t="shared" si="13"/>
        <v>1</v>
      </c>
    </row>
    <row r="73" spans="1:13" ht="14.4" x14ac:dyDescent="0.3">
      <c r="B73" s="5"/>
      <c r="C73" s="21"/>
      <c r="D73" s="2"/>
      <c r="E73" s="5"/>
      <c r="F73" s="3">
        <v>2028</v>
      </c>
      <c r="G73" s="40">
        <v>4259</v>
      </c>
      <c r="I73" s="3">
        <v>2028</v>
      </c>
      <c r="J73" s="40">
        <v>4259</v>
      </c>
      <c r="L73" s="60" t="b">
        <f t="shared" si="12"/>
        <v>1</v>
      </c>
      <c r="M73" s="60" t="b">
        <f t="shared" si="13"/>
        <v>1</v>
      </c>
    </row>
    <row r="74" spans="1:13" ht="14.4" x14ac:dyDescent="0.3">
      <c r="B74" s="5"/>
      <c r="C74" s="21"/>
      <c r="D74" s="2"/>
      <c r="E74" s="5"/>
      <c r="F74" s="3">
        <v>2029</v>
      </c>
      <c r="G74" s="40">
        <v>3709</v>
      </c>
      <c r="I74" s="3">
        <v>2029</v>
      </c>
      <c r="J74" s="40">
        <v>3709</v>
      </c>
      <c r="L74" s="60" t="b">
        <f t="shared" si="12"/>
        <v>1</v>
      </c>
      <c r="M74" s="60" t="b">
        <f t="shared" si="13"/>
        <v>1</v>
      </c>
    </row>
    <row r="75" spans="1:13" ht="14.4" x14ac:dyDescent="0.3">
      <c r="B75" s="5"/>
      <c r="C75" s="21"/>
      <c r="D75" s="2"/>
      <c r="E75" s="5"/>
      <c r="F75" s="3">
        <v>2030</v>
      </c>
      <c r="G75" s="40">
        <v>2839</v>
      </c>
      <c r="I75" s="3">
        <v>2030</v>
      </c>
      <c r="J75" s="40">
        <v>2839</v>
      </c>
      <c r="L75" s="60" t="b">
        <f t="shared" si="12"/>
        <v>1</v>
      </c>
      <c r="M75" s="60" t="b">
        <f t="shared" si="13"/>
        <v>1</v>
      </c>
    </row>
    <row r="76" spans="1:13" ht="14.4" x14ac:dyDescent="0.3">
      <c r="B76" s="5"/>
      <c r="C76" s="21"/>
      <c r="D76" s="2"/>
      <c r="E76" s="5"/>
      <c r="F76" s="3">
        <v>2031</v>
      </c>
      <c r="G76" s="40">
        <v>1939</v>
      </c>
      <c r="I76" s="3">
        <v>2031</v>
      </c>
      <c r="J76" s="40">
        <v>1939</v>
      </c>
      <c r="L76" s="60" t="b">
        <f t="shared" si="12"/>
        <v>1</v>
      </c>
      <c r="M76" s="60" t="b">
        <f t="shared" si="13"/>
        <v>1</v>
      </c>
    </row>
    <row r="77" spans="1:13" ht="14.4" x14ac:dyDescent="0.3">
      <c r="B77" s="5"/>
      <c r="C77" s="21"/>
      <c r="D77" s="2"/>
      <c r="E77" s="5"/>
      <c r="F77" s="3">
        <v>2032</v>
      </c>
      <c r="G77" s="40">
        <v>1351</v>
      </c>
      <c r="I77" s="3">
        <v>2032</v>
      </c>
      <c r="J77" s="40">
        <v>1351</v>
      </c>
      <c r="L77" s="60" t="b">
        <f t="shared" si="12"/>
        <v>1</v>
      </c>
      <c r="M77" s="60" t="b">
        <f t="shared" si="13"/>
        <v>1</v>
      </c>
    </row>
    <row r="78" spans="1:13" ht="14.4" x14ac:dyDescent="0.3">
      <c r="B78" s="5"/>
      <c r="C78" s="21"/>
      <c r="D78" s="2"/>
      <c r="E78" s="5"/>
      <c r="F78" s="3">
        <v>2033</v>
      </c>
      <c r="G78" s="40">
        <v>2939</v>
      </c>
      <c r="I78" s="3">
        <v>2033</v>
      </c>
      <c r="J78" s="40">
        <v>2939</v>
      </c>
      <c r="L78" s="60" t="b">
        <f t="shared" si="12"/>
        <v>1</v>
      </c>
      <c r="M78" s="60" t="b">
        <f t="shared" si="13"/>
        <v>1</v>
      </c>
    </row>
    <row r="79" spans="1:13" ht="14.4" x14ac:dyDescent="0.3">
      <c r="B79" s="5"/>
      <c r="C79" s="21"/>
      <c r="D79" s="2"/>
      <c r="E79" s="5"/>
      <c r="F79" s="3">
        <v>2034</v>
      </c>
      <c r="G79" s="40">
        <v>650</v>
      </c>
      <c r="I79" s="3">
        <v>2034</v>
      </c>
      <c r="J79" s="40">
        <v>650</v>
      </c>
      <c r="L79" s="60" t="b">
        <f t="shared" si="12"/>
        <v>1</v>
      </c>
      <c r="M79" s="60" t="b">
        <f t="shared" si="13"/>
        <v>1</v>
      </c>
    </row>
    <row r="80" spans="1:13" ht="14.4" x14ac:dyDescent="0.3">
      <c r="B80" s="2"/>
      <c r="C80" s="2"/>
      <c r="D80" s="2"/>
      <c r="E80" s="2"/>
      <c r="F80" s="3">
        <v>2049</v>
      </c>
      <c r="G80" s="40">
        <v>600</v>
      </c>
      <c r="I80" s="3">
        <v>2049</v>
      </c>
      <c r="J80" s="40">
        <v>600</v>
      </c>
      <c r="L80" s="60" t="b">
        <f t="shared" si="12"/>
        <v>1</v>
      </c>
      <c r="M80" s="60" t="b">
        <f t="shared" si="13"/>
        <v>1</v>
      </c>
    </row>
    <row r="81" spans="2:13" ht="14.4" x14ac:dyDescent="0.3">
      <c r="B81" s="2"/>
      <c r="C81" s="2"/>
      <c r="D81" s="2"/>
      <c r="E81" s="17"/>
      <c r="F81" s="3">
        <v>2050</v>
      </c>
      <c r="G81" s="40">
        <v>1050</v>
      </c>
      <c r="I81" s="3">
        <v>2050</v>
      </c>
      <c r="J81" s="40">
        <v>1050</v>
      </c>
      <c r="L81" s="60" t="b">
        <f t="shared" si="12"/>
        <v>1</v>
      </c>
      <c r="M81" s="60" t="b">
        <f t="shared" si="13"/>
        <v>1</v>
      </c>
    </row>
    <row r="82" spans="2:13" ht="14.4" x14ac:dyDescent="0.3">
      <c r="F82" s="3">
        <v>2051</v>
      </c>
      <c r="G82" s="40">
        <v>1050</v>
      </c>
      <c r="I82" s="3">
        <v>2051</v>
      </c>
      <c r="J82" s="45">
        <v>1050</v>
      </c>
      <c r="L82" s="60" t="b">
        <f t="shared" si="12"/>
        <v>1</v>
      </c>
      <c r="M82" s="60" t="b">
        <f t="shared" si="13"/>
        <v>1</v>
      </c>
    </row>
    <row r="83" spans="2:13" ht="14.4" x14ac:dyDescent="0.3">
      <c r="F83" s="6" t="s">
        <v>8</v>
      </c>
      <c r="G83" s="45">
        <f>SUM(G69:G82)</f>
        <v>32110</v>
      </c>
      <c r="I83" s="6" t="s">
        <v>8</v>
      </c>
      <c r="J83" s="45">
        <v>31110</v>
      </c>
      <c r="L83" s="60" t="b">
        <f t="shared" ref="L83" si="14">F83=I83</f>
        <v>1</v>
      </c>
      <c r="M83" s="70" t="b">
        <f t="shared" ref="M83" si="15">G83=J83</f>
        <v>0</v>
      </c>
    </row>
    <row r="84" spans="2:13" ht="14.4" x14ac:dyDescent="0.3">
      <c r="F84" s="6"/>
      <c r="G84" s="45"/>
    </row>
    <row r="85" spans="2:13" x14ac:dyDescent="0.3">
      <c r="F85" s="64" t="s">
        <v>2</v>
      </c>
      <c r="G85" s="44">
        <f>31/32</f>
        <v>0.96875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1747-1C7B-47A1-968F-DCE2DD752996}">
  <dimension ref="B2:Z204"/>
  <sheetViews>
    <sheetView showGridLines="0" workbookViewId="0">
      <selection activeCell="H41" sqref="H41"/>
    </sheetView>
  </sheetViews>
  <sheetFormatPr defaultRowHeight="13.8" x14ac:dyDescent="0.3"/>
  <cols>
    <col min="1" max="1" width="3.5546875" style="90" customWidth="1"/>
    <col min="2" max="3" width="8.88671875" style="90"/>
    <col min="4" max="4" width="13.44140625" style="90" bestFit="1" customWidth="1"/>
    <col min="5" max="5" width="6.88671875" style="90" bestFit="1" customWidth="1"/>
    <col min="6" max="6" width="4" style="90" bestFit="1" customWidth="1"/>
    <col min="7" max="7" width="8" style="90" bestFit="1" customWidth="1"/>
    <col min="8" max="9" width="12.33203125" style="90" bestFit="1" customWidth="1"/>
    <col min="10" max="18" width="8.88671875" style="90"/>
    <col min="19" max="19" width="19" style="90" bestFit="1" customWidth="1"/>
    <col min="20" max="20" width="9.44140625" style="90" bestFit="1" customWidth="1"/>
    <col min="21" max="21" width="5" style="90" bestFit="1" customWidth="1"/>
    <col min="22" max="22" width="4.44140625" style="90" customWidth="1"/>
    <col min="23" max="23" width="5" style="90" bestFit="1" customWidth="1"/>
    <col min="24" max="24" width="13.88671875" style="90" bestFit="1" customWidth="1"/>
    <col min="25" max="25" width="9.5546875" style="90" bestFit="1" customWidth="1"/>
    <col min="26" max="26" width="9" style="90" bestFit="1" customWidth="1"/>
    <col min="27" max="16384" width="8.88671875" style="90"/>
  </cols>
  <sheetData>
    <row r="2" spans="2:26" x14ac:dyDescent="0.3">
      <c r="B2" s="89" t="s">
        <v>5</v>
      </c>
      <c r="S2" s="87" t="s">
        <v>85</v>
      </c>
      <c r="T2" s="88" t="s">
        <v>9</v>
      </c>
      <c r="U2" s="88" t="s">
        <v>27</v>
      </c>
      <c r="W2" s="88" t="s">
        <v>27</v>
      </c>
      <c r="X2" s="88" t="s">
        <v>29</v>
      </c>
      <c r="Y2" s="88" t="s">
        <v>86</v>
      </c>
      <c r="Z2" s="88" t="s">
        <v>37</v>
      </c>
    </row>
    <row r="3" spans="2:26" x14ac:dyDescent="0.3">
      <c r="S3" s="94">
        <v>650</v>
      </c>
      <c r="T3" s="97">
        <v>45672</v>
      </c>
      <c r="U3" s="90">
        <f>YEAR(T3)</f>
        <v>2025</v>
      </c>
      <c r="W3" s="92">
        <v>2025</v>
      </c>
      <c r="X3" s="94">
        <f t="shared" ref="X3:X10" si="0">SUMIF($U$3:$U$50,$W3,$S$3:$S$50)</f>
        <v>3165.7000000000003</v>
      </c>
      <c r="Y3" s="94">
        <v>997.9</v>
      </c>
      <c r="Z3" s="95">
        <f>Y6+X17</f>
        <v>34174.9</v>
      </c>
    </row>
    <row r="4" spans="2:26" x14ac:dyDescent="0.3">
      <c r="S4" s="94">
        <v>749.7</v>
      </c>
      <c r="T4" s="97">
        <v>45731</v>
      </c>
      <c r="U4" s="90">
        <f t="shared" ref="U4:U50" si="1">YEAR(T4)</f>
        <v>2025</v>
      </c>
      <c r="W4" s="92">
        <v>2026</v>
      </c>
      <c r="X4" s="94">
        <f t="shared" si="0"/>
        <v>3308.2</v>
      </c>
      <c r="Y4" s="94"/>
    </row>
    <row r="5" spans="2:26" x14ac:dyDescent="0.3">
      <c r="S5" s="94">
        <v>517.29999999999995</v>
      </c>
      <c r="T5" s="97">
        <v>45751</v>
      </c>
      <c r="U5" s="90">
        <f t="shared" si="1"/>
        <v>2025</v>
      </c>
      <c r="W5" s="92">
        <v>2027</v>
      </c>
      <c r="X5" s="94">
        <f t="shared" si="0"/>
        <v>4449.2</v>
      </c>
      <c r="Y5" s="94"/>
    </row>
    <row r="6" spans="2:26" x14ac:dyDescent="0.3">
      <c r="S6" s="94">
        <v>749.4</v>
      </c>
      <c r="T6" s="97">
        <v>45809</v>
      </c>
      <c r="U6" s="90">
        <f t="shared" si="1"/>
        <v>2025</v>
      </c>
      <c r="W6" s="92">
        <v>2028</v>
      </c>
      <c r="X6" s="94">
        <f t="shared" si="0"/>
        <v>4202.2</v>
      </c>
      <c r="Y6" s="95">
        <f>SUM(Y3:Y5)</f>
        <v>997.9</v>
      </c>
    </row>
    <row r="7" spans="2:26" x14ac:dyDescent="0.3">
      <c r="S7" s="94">
        <v>499.3</v>
      </c>
      <c r="T7" s="97">
        <v>45915</v>
      </c>
      <c r="U7" s="90">
        <f t="shared" si="1"/>
        <v>2025</v>
      </c>
      <c r="W7" s="92">
        <v>2029</v>
      </c>
      <c r="X7" s="94">
        <f t="shared" si="0"/>
        <v>3652</v>
      </c>
    </row>
    <row r="8" spans="2:26" x14ac:dyDescent="0.3">
      <c r="S8" s="94">
        <v>499.3</v>
      </c>
      <c r="T8" s="97">
        <v>46068</v>
      </c>
      <c r="U8" s="90">
        <f t="shared" si="1"/>
        <v>2026</v>
      </c>
      <c r="W8" s="92">
        <v>2030</v>
      </c>
      <c r="X8" s="94">
        <f t="shared" si="0"/>
        <v>3902.2</v>
      </c>
    </row>
    <row r="9" spans="2:26" x14ac:dyDescent="0.3">
      <c r="S9" s="94">
        <v>698.5</v>
      </c>
      <c r="T9" s="97">
        <v>46127</v>
      </c>
      <c r="U9" s="90">
        <f t="shared" si="1"/>
        <v>2026</v>
      </c>
      <c r="W9" s="92">
        <v>2031</v>
      </c>
      <c r="X9" s="94">
        <f t="shared" si="0"/>
        <v>1900.9</v>
      </c>
    </row>
    <row r="10" spans="2:26" x14ac:dyDescent="0.3">
      <c r="S10" s="94">
        <v>516.4</v>
      </c>
      <c r="T10" s="97">
        <v>46164</v>
      </c>
      <c r="U10" s="90">
        <f t="shared" si="1"/>
        <v>2026</v>
      </c>
      <c r="W10" s="92">
        <v>2032</v>
      </c>
      <c r="X10" s="94">
        <f t="shared" si="0"/>
        <v>1311.3000000000002</v>
      </c>
    </row>
    <row r="11" spans="2:26" x14ac:dyDescent="0.3">
      <c r="S11" s="94">
        <v>597.4</v>
      </c>
      <c r="T11" s="97">
        <v>46280</v>
      </c>
      <c r="U11" s="90">
        <f t="shared" si="1"/>
        <v>2026</v>
      </c>
      <c r="W11" s="92">
        <v>2033</v>
      </c>
      <c r="X11" s="94">
        <f t="shared" ref="X11:X13" si="2">SUMIF($U$3:$U$50,$W11,$S$3:$S$50)</f>
        <v>2887.1000000000004</v>
      </c>
    </row>
    <row r="12" spans="2:26" x14ac:dyDescent="0.3">
      <c r="S12" s="94">
        <v>996.6</v>
      </c>
      <c r="T12" s="97">
        <v>46310</v>
      </c>
      <c r="U12" s="90">
        <f t="shared" si="1"/>
        <v>2026</v>
      </c>
      <c r="W12" s="92">
        <v>2034</v>
      </c>
      <c r="X12" s="94">
        <f t="shared" si="2"/>
        <v>1151.0999999999999</v>
      </c>
    </row>
    <row r="13" spans="2:26" x14ac:dyDescent="0.3">
      <c r="S13" s="94">
        <v>399.3</v>
      </c>
      <c r="T13" s="97">
        <v>46402</v>
      </c>
      <c r="U13" s="90">
        <f t="shared" si="1"/>
        <v>2027</v>
      </c>
      <c r="W13" s="90">
        <v>2035</v>
      </c>
      <c r="X13" s="94">
        <f t="shared" si="2"/>
        <v>591.9</v>
      </c>
    </row>
    <row r="14" spans="2:26" x14ac:dyDescent="0.3">
      <c r="S14" s="94">
        <v>748</v>
      </c>
      <c r="T14" s="97">
        <v>46402</v>
      </c>
      <c r="U14" s="90">
        <f t="shared" si="1"/>
        <v>2027</v>
      </c>
      <c r="W14" s="92">
        <v>2049</v>
      </c>
      <c r="X14" s="94">
        <f>SUMIF($U$3:$U$50,$W14,$S$3:$S$50)</f>
        <v>592.6</v>
      </c>
    </row>
    <row r="15" spans="2:26" x14ac:dyDescent="0.3">
      <c r="S15" s="94">
        <v>774.1</v>
      </c>
      <c r="T15" s="97">
        <v>46402</v>
      </c>
      <c r="U15" s="90">
        <f t="shared" si="1"/>
        <v>2027</v>
      </c>
      <c r="W15" s="92">
        <v>2050</v>
      </c>
      <c r="X15" s="94">
        <f>SUMIF($U$3:$U$50,$W15,$S$3:$S$50)</f>
        <v>1038.8</v>
      </c>
    </row>
    <row r="16" spans="2:26" x14ac:dyDescent="0.3">
      <c r="S16" s="94">
        <v>515</v>
      </c>
      <c r="T16" s="97">
        <v>46433</v>
      </c>
      <c r="U16" s="90">
        <f t="shared" si="1"/>
        <v>2027</v>
      </c>
      <c r="W16" s="92">
        <v>2051</v>
      </c>
      <c r="X16" s="94">
        <f>SUMIF($U$3:$U$50,$W16,$S$3:$S$50)</f>
        <v>1023.8</v>
      </c>
    </row>
    <row r="17" spans="2:24" x14ac:dyDescent="0.3">
      <c r="S17" s="94">
        <v>646.4</v>
      </c>
      <c r="T17" s="97">
        <v>46461</v>
      </c>
      <c r="U17" s="90">
        <f t="shared" si="1"/>
        <v>2027</v>
      </c>
      <c r="W17" s="93" t="s">
        <v>8</v>
      </c>
      <c r="X17" s="95">
        <f>SUM(X3:X16)</f>
        <v>33177</v>
      </c>
    </row>
    <row r="18" spans="2:24" x14ac:dyDescent="0.3">
      <c r="S18" s="94">
        <v>618.5</v>
      </c>
      <c r="T18" s="97">
        <v>46523</v>
      </c>
      <c r="U18" s="90">
        <f t="shared" si="1"/>
        <v>2027</v>
      </c>
    </row>
    <row r="19" spans="2:24" x14ac:dyDescent="0.3">
      <c r="S19" s="94">
        <v>747.9</v>
      </c>
      <c r="T19" s="97">
        <v>46583</v>
      </c>
      <c r="U19" s="90">
        <f t="shared" si="1"/>
        <v>2027</v>
      </c>
      <c r="W19" s="96" t="s">
        <v>87</v>
      </c>
    </row>
    <row r="20" spans="2:24" x14ac:dyDescent="0.3">
      <c r="S20" s="94">
        <v>697</v>
      </c>
      <c r="T20" s="97">
        <v>46767</v>
      </c>
      <c r="U20" s="90">
        <f t="shared" si="1"/>
        <v>2028</v>
      </c>
      <c r="W20" s="96" t="s">
        <v>88</v>
      </c>
    </row>
    <row r="21" spans="2:24" x14ac:dyDescent="0.3">
      <c r="S21" s="94">
        <v>772.6</v>
      </c>
      <c r="T21" s="97">
        <v>46767</v>
      </c>
      <c r="U21" s="90">
        <f t="shared" si="1"/>
        <v>2028</v>
      </c>
      <c r="W21" s="92"/>
    </row>
    <row r="22" spans="2:24" x14ac:dyDescent="0.3">
      <c r="S22" s="94">
        <v>647.79999999999995</v>
      </c>
      <c r="T22" s="97">
        <v>46783</v>
      </c>
      <c r="U22" s="90">
        <f t="shared" si="1"/>
        <v>2028</v>
      </c>
      <c r="W22" s="92"/>
    </row>
    <row r="23" spans="2:24" x14ac:dyDescent="0.3">
      <c r="S23" s="94">
        <v>695</v>
      </c>
      <c r="T23" s="97">
        <v>46827</v>
      </c>
      <c r="U23" s="90">
        <f t="shared" si="1"/>
        <v>2028</v>
      </c>
      <c r="W23" s="92"/>
    </row>
    <row r="24" spans="2:24" x14ac:dyDescent="0.3">
      <c r="S24" s="94">
        <v>645.20000000000005</v>
      </c>
      <c r="T24" s="97">
        <v>46949</v>
      </c>
      <c r="U24" s="90">
        <f t="shared" si="1"/>
        <v>2028</v>
      </c>
      <c r="W24" s="92"/>
    </row>
    <row r="25" spans="2:24" x14ac:dyDescent="0.3">
      <c r="S25" s="94">
        <v>744.6</v>
      </c>
      <c r="T25" s="97">
        <v>47072</v>
      </c>
      <c r="U25" s="90">
        <f t="shared" si="1"/>
        <v>2028</v>
      </c>
      <c r="W25" s="92"/>
    </row>
    <row r="26" spans="2:24" x14ac:dyDescent="0.3">
      <c r="S26" s="94">
        <v>643.70000000000005</v>
      </c>
      <c r="T26" s="97">
        <v>47164</v>
      </c>
      <c r="U26" s="90">
        <f t="shared" si="1"/>
        <v>2029</v>
      </c>
      <c r="W26" s="92"/>
    </row>
    <row r="27" spans="2:24" x14ac:dyDescent="0.3">
      <c r="S27" s="94">
        <v>594.79999999999995</v>
      </c>
      <c r="T27" s="97">
        <v>47192</v>
      </c>
      <c r="U27" s="90">
        <f t="shared" si="1"/>
        <v>2029</v>
      </c>
      <c r="W27" s="92"/>
    </row>
    <row r="28" spans="2:24" x14ac:dyDescent="0.3">
      <c r="S28" s="94">
        <v>773</v>
      </c>
      <c r="T28" s="97">
        <v>47259</v>
      </c>
      <c r="U28" s="90">
        <f t="shared" si="1"/>
        <v>2029</v>
      </c>
      <c r="W28" s="92"/>
    </row>
    <row r="29" spans="2:24" ht="14.4" x14ac:dyDescent="0.3">
      <c r="B29" s="4" t="s">
        <v>1</v>
      </c>
      <c r="C29" s="4" t="s">
        <v>3</v>
      </c>
      <c r="D29" s="4" t="s">
        <v>29</v>
      </c>
      <c r="E29" s="4" t="s">
        <v>30</v>
      </c>
      <c r="F29" s="4" t="s">
        <v>31</v>
      </c>
      <c r="G29" s="4" t="s">
        <v>32</v>
      </c>
      <c r="H29" s="4" t="s">
        <v>33</v>
      </c>
      <c r="S29" s="94">
        <v>1640.5</v>
      </c>
      <c r="T29" s="97">
        <v>47345</v>
      </c>
      <c r="U29" s="90">
        <f t="shared" si="1"/>
        <v>2029</v>
      </c>
      <c r="W29" s="92"/>
    </row>
    <row r="30" spans="2:24" ht="14.4" x14ac:dyDescent="0.3">
      <c r="B30" s="3" t="s">
        <v>84</v>
      </c>
      <c r="C30" s="3" t="s">
        <v>5</v>
      </c>
      <c r="D30" s="3" t="s">
        <v>38</v>
      </c>
      <c r="E30" s="40">
        <f>SUM(X3:X7)</f>
        <v>18777.3</v>
      </c>
      <c r="F30" s="3" t="s">
        <v>35</v>
      </c>
      <c r="G30" s="3" t="s">
        <v>36</v>
      </c>
      <c r="H30" s="3" t="s">
        <v>29</v>
      </c>
      <c r="S30" s="94">
        <v>745.1</v>
      </c>
      <c r="T30" s="97">
        <v>47498</v>
      </c>
      <c r="U30" s="90">
        <f t="shared" si="1"/>
        <v>2030</v>
      </c>
      <c r="W30" s="92"/>
    </row>
    <row r="31" spans="2:24" ht="14.4" x14ac:dyDescent="0.3">
      <c r="B31" s="3" t="s">
        <v>84</v>
      </c>
      <c r="C31" s="3" t="s">
        <v>5</v>
      </c>
      <c r="D31" s="3" t="s">
        <v>39</v>
      </c>
      <c r="E31" s="40">
        <f>SUM(X8:X11)</f>
        <v>10001.5</v>
      </c>
      <c r="F31" s="3" t="s">
        <v>35</v>
      </c>
      <c r="G31" s="3" t="s">
        <v>36</v>
      </c>
      <c r="H31" s="3" t="s">
        <v>29</v>
      </c>
      <c r="S31" s="94">
        <v>593.20000000000005</v>
      </c>
      <c r="T31" s="97">
        <v>47514</v>
      </c>
      <c r="U31" s="90">
        <f t="shared" si="1"/>
        <v>2030</v>
      </c>
      <c r="W31" s="92"/>
    </row>
    <row r="32" spans="2:24" ht="14.4" x14ac:dyDescent="0.3">
      <c r="B32" s="3" t="s">
        <v>84</v>
      </c>
      <c r="C32" s="3" t="s">
        <v>5</v>
      </c>
      <c r="D32" s="3" t="s">
        <v>40</v>
      </c>
      <c r="E32" s="40">
        <f>SUM(X12:X16)</f>
        <v>4398.2</v>
      </c>
      <c r="F32" s="3" t="s">
        <v>35</v>
      </c>
      <c r="G32" s="3" t="s">
        <v>36</v>
      </c>
      <c r="H32" s="3" t="s">
        <v>29</v>
      </c>
      <c r="S32" s="94">
        <v>512.9</v>
      </c>
      <c r="T32" s="97">
        <v>47619</v>
      </c>
      <c r="U32" s="90">
        <f t="shared" si="1"/>
        <v>2030</v>
      </c>
      <c r="W32" s="92"/>
    </row>
    <row r="33" spans="2:23" ht="14.4" x14ac:dyDescent="0.3">
      <c r="B33" s="3" t="s">
        <v>84</v>
      </c>
      <c r="C33" s="3" t="s">
        <v>5</v>
      </c>
      <c r="D33" s="3" t="s">
        <v>41</v>
      </c>
      <c r="E33" s="40">
        <f>SUM(E30:E32)</f>
        <v>33177</v>
      </c>
      <c r="F33" s="3" t="s">
        <v>35</v>
      </c>
      <c r="G33" s="3" t="s">
        <v>36</v>
      </c>
      <c r="H33" s="3" t="s">
        <v>29</v>
      </c>
      <c r="S33" s="94">
        <v>744.1</v>
      </c>
      <c r="T33" s="97">
        <v>47649</v>
      </c>
      <c r="U33" s="90">
        <f t="shared" si="1"/>
        <v>2030</v>
      </c>
      <c r="W33" s="92"/>
    </row>
    <row r="34" spans="2:23" x14ac:dyDescent="0.3">
      <c r="S34" s="94">
        <v>512.6</v>
      </c>
      <c r="T34" s="97">
        <v>47761</v>
      </c>
      <c r="U34" s="90">
        <f t="shared" si="1"/>
        <v>2030</v>
      </c>
      <c r="W34" s="92"/>
    </row>
    <row r="35" spans="2:23" x14ac:dyDescent="0.3">
      <c r="S35" s="94">
        <v>794.3</v>
      </c>
      <c r="T35" s="97">
        <v>47771</v>
      </c>
      <c r="U35" s="90">
        <f t="shared" si="1"/>
        <v>2030</v>
      </c>
      <c r="W35" s="92"/>
    </row>
    <row r="36" spans="2:23" x14ac:dyDescent="0.3">
      <c r="S36" s="94">
        <v>695.6</v>
      </c>
      <c r="T36" s="97">
        <v>47953</v>
      </c>
      <c r="U36" s="90">
        <f t="shared" si="1"/>
        <v>2031</v>
      </c>
      <c r="W36" s="92"/>
    </row>
    <row r="37" spans="2:23" x14ac:dyDescent="0.3">
      <c r="S37" s="94">
        <v>511.7</v>
      </c>
      <c r="T37" s="97">
        <v>47984</v>
      </c>
      <c r="U37" s="90">
        <f t="shared" si="1"/>
        <v>2031</v>
      </c>
      <c r="W37" s="92"/>
    </row>
    <row r="38" spans="2:23" x14ac:dyDescent="0.3">
      <c r="S38" s="94">
        <v>693.6</v>
      </c>
      <c r="T38" s="97">
        <v>48106</v>
      </c>
      <c r="U38" s="90">
        <f t="shared" si="1"/>
        <v>2031</v>
      </c>
      <c r="W38" s="92"/>
    </row>
    <row r="39" spans="2:23" x14ac:dyDescent="0.3">
      <c r="S39" s="94">
        <v>667.6</v>
      </c>
      <c r="T39" s="97">
        <v>48228</v>
      </c>
      <c r="U39" s="90">
        <f t="shared" si="1"/>
        <v>2032</v>
      </c>
      <c r="W39" s="92"/>
    </row>
    <row r="40" spans="2:23" x14ac:dyDescent="0.3">
      <c r="S40" s="94">
        <v>643.70000000000005</v>
      </c>
      <c r="T40" s="97">
        <v>48288</v>
      </c>
      <c r="U40" s="90">
        <f t="shared" si="1"/>
        <v>2032</v>
      </c>
      <c r="W40" s="92"/>
    </row>
    <row r="41" spans="2:23" x14ac:dyDescent="0.3">
      <c r="S41" s="94">
        <v>791.4</v>
      </c>
      <c r="T41" s="97">
        <v>48653</v>
      </c>
      <c r="U41" s="90">
        <f t="shared" si="1"/>
        <v>2033</v>
      </c>
      <c r="W41" s="92"/>
    </row>
    <row r="42" spans="2:23" x14ac:dyDescent="0.3">
      <c r="S42" s="94">
        <v>512.1</v>
      </c>
      <c r="T42" s="97">
        <v>48720</v>
      </c>
      <c r="U42" s="90">
        <f t="shared" si="1"/>
        <v>2033</v>
      </c>
      <c r="W42" s="92"/>
    </row>
    <row r="43" spans="2:23" x14ac:dyDescent="0.3">
      <c r="S43" s="94">
        <v>841.4</v>
      </c>
      <c r="T43" s="97">
        <v>48775</v>
      </c>
      <c r="U43" s="90">
        <f t="shared" si="1"/>
        <v>2033</v>
      </c>
      <c r="W43" s="92"/>
    </row>
    <row r="44" spans="2:23" x14ac:dyDescent="0.3">
      <c r="S44" s="94">
        <v>742.2</v>
      </c>
      <c r="T44" s="97">
        <v>48898</v>
      </c>
      <c r="U44" s="90">
        <f t="shared" si="1"/>
        <v>2033</v>
      </c>
      <c r="W44" s="92"/>
    </row>
    <row r="45" spans="2:23" x14ac:dyDescent="0.3">
      <c r="S45" s="94">
        <v>640.6</v>
      </c>
      <c r="T45" s="97">
        <v>48990</v>
      </c>
      <c r="U45" s="90">
        <f t="shared" si="1"/>
        <v>2034</v>
      </c>
      <c r="W45" s="92"/>
    </row>
    <row r="46" spans="2:23" x14ac:dyDescent="0.3">
      <c r="S46" s="94">
        <v>510.5</v>
      </c>
      <c r="T46" s="97">
        <v>49080</v>
      </c>
      <c r="U46" s="90">
        <f t="shared" si="1"/>
        <v>2034</v>
      </c>
      <c r="W46" s="92"/>
    </row>
    <row r="47" spans="2:23" x14ac:dyDescent="0.3">
      <c r="S47" s="94">
        <v>591.9</v>
      </c>
      <c r="T47" s="97">
        <v>49340</v>
      </c>
      <c r="U47" s="90">
        <f t="shared" si="1"/>
        <v>2035</v>
      </c>
      <c r="W47" s="92"/>
    </row>
    <row r="48" spans="2:23" x14ac:dyDescent="0.3">
      <c r="S48" s="94">
        <v>592.6</v>
      </c>
      <c r="T48" s="97">
        <v>54711</v>
      </c>
      <c r="U48" s="90">
        <f t="shared" si="1"/>
        <v>2049</v>
      </c>
      <c r="W48" s="92"/>
    </row>
    <row r="49" spans="2:26" x14ac:dyDescent="0.3">
      <c r="S49" s="94">
        <v>1038.8</v>
      </c>
      <c r="T49" s="91">
        <v>54954</v>
      </c>
      <c r="U49" s="90">
        <f t="shared" si="1"/>
        <v>2050</v>
      </c>
    </row>
    <row r="50" spans="2:26" x14ac:dyDescent="0.3">
      <c r="S50" s="94">
        <v>1023.8</v>
      </c>
      <c r="T50" s="91">
        <v>55168</v>
      </c>
      <c r="U50" s="90">
        <f t="shared" si="1"/>
        <v>2051</v>
      </c>
    </row>
    <row r="51" spans="2:26" x14ac:dyDescent="0.3">
      <c r="S51" s="95">
        <f>SUM(S3:S50)</f>
        <v>33176.999999999993</v>
      </c>
    </row>
    <row r="54" spans="2:26" x14ac:dyDescent="0.3">
      <c r="B54" s="89" t="s">
        <v>4</v>
      </c>
    </row>
    <row r="55" spans="2:26" x14ac:dyDescent="0.3">
      <c r="S55" s="87" t="s">
        <v>85</v>
      </c>
      <c r="T55" s="88" t="s">
        <v>9</v>
      </c>
      <c r="U55" s="88" t="s">
        <v>27</v>
      </c>
      <c r="W55" s="88" t="s">
        <v>27</v>
      </c>
      <c r="X55" s="88" t="s">
        <v>29</v>
      </c>
      <c r="Y55" s="88" t="s">
        <v>86</v>
      </c>
      <c r="Z55" s="88" t="s">
        <v>37</v>
      </c>
    </row>
    <row r="56" spans="2:26" x14ac:dyDescent="0.3">
      <c r="S56" s="94">
        <v>649.6</v>
      </c>
      <c r="T56" s="97">
        <v>45672</v>
      </c>
      <c r="U56" s="90">
        <f>YEAR(T56)</f>
        <v>2025</v>
      </c>
      <c r="W56" s="92">
        <v>2025</v>
      </c>
      <c r="X56" s="94">
        <f>SUMIF($U$56:$U$101,W56,$S$56:$S$101)</f>
        <v>3203.1</v>
      </c>
      <c r="Y56" s="94">
        <v>140</v>
      </c>
      <c r="Z56" s="95">
        <f>Y59+X69</f>
        <v>34772.1</v>
      </c>
    </row>
    <row r="57" spans="2:26" x14ac:dyDescent="0.3">
      <c r="S57" s="94">
        <v>749.4</v>
      </c>
      <c r="T57" s="97">
        <v>45731</v>
      </c>
      <c r="U57" s="90">
        <f t="shared" ref="U57:U101" si="3">YEAR(T57)</f>
        <v>2025</v>
      </c>
      <c r="W57" s="92">
        <v>2026</v>
      </c>
      <c r="X57" s="94">
        <f t="shared" ref="X57:X68" si="4">SUMIF($U$56:$U$101,W57,$S$56:$S$101)</f>
        <v>3345.6</v>
      </c>
      <c r="Y57" s="94">
        <v>997.7</v>
      </c>
    </row>
    <row r="58" spans="2:26" x14ac:dyDescent="0.3">
      <c r="S58" s="94">
        <v>556</v>
      </c>
      <c r="T58" s="97">
        <v>45751</v>
      </c>
      <c r="U58" s="90">
        <f t="shared" si="3"/>
        <v>2025</v>
      </c>
      <c r="W58" s="92">
        <v>2027</v>
      </c>
      <c r="X58" s="94">
        <f t="shared" si="4"/>
        <v>4592</v>
      </c>
      <c r="Y58" s="94">
        <v>1068</v>
      </c>
    </row>
    <row r="59" spans="2:26" x14ac:dyDescent="0.3">
      <c r="S59" s="94">
        <v>749.1</v>
      </c>
      <c r="T59" s="97">
        <v>45809</v>
      </c>
      <c r="U59" s="90">
        <f t="shared" si="3"/>
        <v>2025</v>
      </c>
      <c r="W59" s="92">
        <v>2028</v>
      </c>
      <c r="X59" s="94">
        <f t="shared" si="4"/>
        <v>4259</v>
      </c>
      <c r="Y59" s="95">
        <f>SUM(Y56:Y58)</f>
        <v>2205.6999999999998</v>
      </c>
    </row>
    <row r="60" spans="2:26" x14ac:dyDescent="0.3">
      <c r="S60" s="94">
        <v>499</v>
      </c>
      <c r="T60" s="97">
        <v>45915</v>
      </c>
      <c r="U60" s="90">
        <f t="shared" si="3"/>
        <v>2025</v>
      </c>
      <c r="W60" s="92">
        <v>2029</v>
      </c>
      <c r="X60" s="94">
        <f t="shared" si="4"/>
        <v>3709.3</v>
      </c>
    </row>
    <row r="61" spans="2:26" x14ac:dyDescent="0.3">
      <c r="S61" s="94">
        <v>499.2</v>
      </c>
      <c r="T61" s="97">
        <v>46068</v>
      </c>
      <c r="U61" s="90">
        <f t="shared" si="3"/>
        <v>2026</v>
      </c>
      <c r="W61" s="92">
        <v>2030</v>
      </c>
      <c r="X61" s="94">
        <f t="shared" si="4"/>
        <v>3385.9</v>
      </c>
    </row>
    <row r="62" spans="2:26" x14ac:dyDescent="0.3">
      <c r="S62" s="94">
        <v>698.2</v>
      </c>
      <c r="T62" s="97">
        <v>46127</v>
      </c>
      <c r="U62" s="90">
        <f t="shared" si="3"/>
        <v>2026</v>
      </c>
      <c r="W62" s="92">
        <v>2031</v>
      </c>
      <c r="X62" s="94">
        <f t="shared" si="4"/>
        <v>1939.5</v>
      </c>
    </row>
    <row r="63" spans="2:26" x14ac:dyDescent="0.3">
      <c r="S63" s="94">
        <v>555.1</v>
      </c>
      <c r="T63" s="97">
        <v>46164</v>
      </c>
      <c r="U63" s="90">
        <f t="shared" si="3"/>
        <v>2026</v>
      </c>
      <c r="W63" s="92">
        <v>2032</v>
      </c>
      <c r="X63" s="94">
        <f t="shared" si="4"/>
        <v>1361.7</v>
      </c>
    </row>
    <row r="64" spans="2:26" x14ac:dyDescent="0.3">
      <c r="S64" s="94">
        <v>597</v>
      </c>
      <c r="T64" s="97">
        <v>46280</v>
      </c>
      <c r="U64" s="90">
        <f t="shared" si="3"/>
        <v>2026</v>
      </c>
      <c r="W64" s="92">
        <v>2033</v>
      </c>
      <c r="X64" s="94">
        <f t="shared" si="4"/>
        <v>2925.4</v>
      </c>
    </row>
    <row r="65" spans="19:24" x14ac:dyDescent="0.3">
      <c r="S65" s="94">
        <v>996.1</v>
      </c>
      <c r="T65" s="97">
        <v>46310</v>
      </c>
      <c r="U65" s="90">
        <f t="shared" si="3"/>
        <v>2026</v>
      </c>
      <c r="W65" s="92">
        <v>2034</v>
      </c>
      <c r="X65" s="94">
        <f t="shared" si="4"/>
        <v>1189.9000000000001</v>
      </c>
    </row>
    <row r="66" spans="19:24" x14ac:dyDescent="0.3">
      <c r="S66" s="94">
        <v>399.2</v>
      </c>
      <c r="T66" s="97">
        <v>46402</v>
      </c>
      <c r="U66" s="90">
        <f t="shared" si="3"/>
        <v>2027</v>
      </c>
      <c r="W66" s="92">
        <v>2049</v>
      </c>
      <c r="X66" s="94">
        <f t="shared" si="4"/>
        <v>592.6</v>
      </c>
    </row>
    <row r="67" spans="19:24" x14ac:dyDescent="0.3">
      <c r="S67" s="94">
        <v>747.7</v>
      </c>
      <c r="T67" s="97">
        <v>46402</v>
      </c>
      <c r="U67" s="90">
        <f t="shared" si="3"/>
        <v>2027</v>
      </c>
      <c r="W67" s="92">
        <v>2050</v>
      </c>
      <c r="X67" s="94">
        <f t="shared" si="4"/>
        <v>1038.8</v>
      </c>
    </row>
    <row r="68" spans="19:24" x14ac:dyDescent="0.3">
      <c r="S68" s="94">
        <v>832.4</v>
      </c>
      <c r="T68" s="97">
        <v>46402</v>
      </c>
      <c r="U68" s="90">
        <f t="shared" si="3"/>
        <v>2027</v>
      </c>
      <c r="W68" s="92">
        <v>2051</v>
      </c>
      <c r="X68" s="94">
        <f t="shared" si="4"/>
        <v>1023.6</v>
      </c>
    </row>
    <row r="69" spans="19:24" x14ac:dyDescent="0.3">
      <c r="S69" s="94">
        <v>553.9</v>
      </c>
      <c r="T69" s="97">
        <v>46433</v>
      </c>
      <c r="U69" s="90">
        <f t="shared" si="3"/>
        <v>2027</v>
      </c>
      <c r="W69" s="93" t="s">
        <v>8</v>
      </c>
      <c r="X69" s="95">
        <f>SUM(X56:X68)</f>
        <v>32566.400000000001</v>
      </c>
    </row>
    <row r="70" spans="19:24" x14ac:dyDescent="0.3">
      <c r="S70" s="94">
        <v>646</v>
      </c>
      <c r="T70" s="97">
        <v>46461</v>
      </c>
      <c r="U70" s="90">
        <f t="shared" si="3"/>
        <v>2027</v>
      </c>
      <c r="W70" s="92"/>
    </row>
    <row r="71" spans="19:24" x14ac:dyDescent="0.3">
      <c r="S71" s="94">
        <v>665.1</v>
      </c>
      <c r="T71" s="97">
        <v>46523</v>
      </c>
      <c r="U71" s="90">
        <f t="shared" si="3"/>
        <v>2027</v>
      </c>
      <c r="W71" s="96" t="s">
        <v>87</v>
      </c>
    </row>
    <row r="72" spans="19:24" x14ac:dyDescent="0.3">
      <c r="S72" s="94">
        <v>747.7</v>
      </c>
      <c r="T72" s="97">
        <v>46583</v>
      </c>
      <c r="U72" s="90">
        <f t="shared" si="3"/>
        <v>2027</v>
      </c>
      <c r="W72" s="96" t="s">
        <v>88</v>
      </c>
    </row>
    <row r="73" spans="19:24" x14ac:dyDescent="0.3">
      <c r="S73" s="94">
        <v>696.7</v>
      </c>
      <c r="T73" s="97">
        <v>46767</v>
      </c>
      <c r="U73" s="90">
        <f t="shared" si="3"/>
        <v>2028</v>
      </c>
      <c r="W73" s="92"/>
    </row>
    <row r="74" spans="19:24" x14ac:dyDescent="0.3">
      <c r="S74" s="94">
        <v>830.9</v>
      </c>
      <c r="T74" s="97">
        <v>46767</v>
      </c>
      <c r="U74" s="90">
        <f t="shared" si="3"/>
        <v>2028</v>
      </c>
      <c r="W74" s="92"/>
    </row>
    <row r="75" spans="19:24" x14ac:dyDescent="0.3">
      <c r="S75" s="94">
        <v>647.6</v>
      </c>
      <c r="T75" s="97">
        <v>46783</v>
      </c>
      <c r="U75" s="90">
        <f t="shared" si="3"/>
        <v>2028</v>
      </c>
      <c r="W75" s="92"/>
    </row>
    <row r="76" spans="19:24" x14ac:dyDescent="0.3">
      <c r="S76" s="94">
        <v>694.7</v>
      </c>
      <c r="T76" s="97">
        <v>46827</v>
      </c>
      <c r="U76" s="90">
        <f t="shared" si="3"/>
        <v>2028</v>
      </c>
      <c r="W76" s="92"/>
    </row>
    <row r="77" spans="19:24" x14ac:dyDescent="0.3">
      <c r="S77" s="94">
        <v>644.79999999999995</v>
      </c>
      <c r="T77" s="97">
        <v>46949</v>
      </c>
      <c r="U77" s="90">
        <f t="shared" si="3"/>
        <v>2028</v>
      </c>
      <c r="W77" s="92"/>
    </row>
    <row r="78" spans="19:24" x14ac:dyDescent="0.3">
      <c r="S78" s="94">
        <v>744.3</v>
      </c>
      <c r="T78" s="97">
        <v>47072</v>
      </c>
      <c r="U78" s="90">
        <f t="shared" si="3"/>
        <v>2028</v>
      </c>
      <c r="W78" s="92"/>
    </row>
    <row r="79" spans="19:24" x14ac:dyDescent="0.3">
      <c r="S79" s="94">
        <v>643.4</v>
      </c>
      <c r="T79" s="97">
        <v>47164</v>
      </c>
      <c r="U79" s="90">
        <f t="shared" si="3"/>
        <v>2029</v>
      </c>
      <c r="W79" s="92"/>
    </row>
    <row r="80" spans="19:24" x14ac:dyDescent="0.3">
      <c r="S80" s="94">
        <v>594.5</v>
      </c>
      <c r="T80" s="97">
        <v>47192</v>
      </c>
      <c r="U80" s="90">
        <f t="shared" si="3"/>
        <v>2029</v>
      </c>
      <c r="W80" s="92"/>
    </row>
    <row r="81" spans="2:23" ht="14.4" x14ac:dyDescent="0.3">
      <c r="B81" s="4" t="s">
        <v>1</v>
      </c>
      <c r="C81" s="4" t="s">
        <v>3</v>
      </c>
      <c r="D81" s="4" t="s">
        <v>29</v>
      </c>
      <c r="E81" s="4" t="s">
        <v>30</v>
      </c>
      <c r="F81" s="4" t="s">
        <v>31</v>
      </c>
      <c r="G81" s="4" t="s">
        <v>32</v>
      </c>
      <c r="H81" s="4" t="s">
        <v>33</v>
      </c>
      <c r="S81" s="94">
        <v>831.4</v>
      </c>
      <c r="T81" s="97">
        <v>47259</v>
      </c>
      <c r="U81" s="90">
        <f t="shared" si="3"/>
        <v>2029</v>
      </c>
      <c r="W81" s="92"/>
    </row>
    <row r="82" spans="2:23" ht="14.4" x14ac:dyDescent="0.3">
      <c r="B82" s="3" t="s">
        <v>84</v>
      </c>
      <c r="C82" s="3" t="s">
        <v>4</v>
      </c>
      <c r="D82" s="3" t="s">
        <v>38</v>
      </c>
      <c r="E82" s="40">
        <f>SUM(X56:X60)</f>
        <v>19109</v>
      </c>
      <c r="F82" s="3" t="s">
        <v>35</v>
      </c>
      <c r="G82" s="3" t="s">
        <v>36</v>
      </c>
      <c r="H82" s="3" t="s">
        <v>29</v>
      </c>
      <c r="S82" s="94">
        <v>1640</v>
      </c>
      <c r="T82" s="97">
        <v>47345</v>
      </c>
      <c r="U82" s="90">
        <f t="shared" si="3"/>
        <v>2029</v>
      </c>
      <c r="W82" s="92"/>
    </row>
    <row r="83" spans="2:23" ht="14.4" x14ac:dyDescent="0.3">
      <c r="B83" s="3" t="s">
        <v>84</v>
      </c>
      <c r="C83" s="3" t="s">
        <v>4</v>
      </c>
      <c r="D83" s="3" t="s">
        <v>39</v>
      </c>
      <c r="E83" s="40">
        <f>SUM(X61:X64)</f>
        <v>9612.5</v>
      </c>
      <c r="F83" s="3" t="s">
        <v>35</v>
      </c>
      <c r="G83" s="3" t="s">
        <v>36</v>
      </c>
      <c r="H83" s="3" t="s">
        <v>29</v>
      </c>
      <c r="S83" s="94">
        <v>744.9</v>
      </c>
      <c r="T83" s="97">
        <v>47498</v>
      </c>
      <c r="U83" s="90">
        <f t="shared" si="3"/>
        <v>2030</v>
      </c>
      <c r="W83" s="92"/>
    </row>
    <row r="84" spans="2:23" ht="14.4" x14ac:dyDescent="0.3">
      <c r="B84" s="3" t="s">
        <v>84</v>
      </c>
      <c r="C84" s="3" t="s">
        <v>4</v>
      </c>
      <c r="D84" s="3" t="s">
        <v>40</v>
      </c>
      <c r="E84" s="40">
        <f>SUM(X65:X68)</f>
        <v>3844.9</v>
      </c>
      <c r="F84" s="3" t="s">
        <v>35</v>
      </c>
      <c r="G84" s="3" t="s">
        <v>36</v>
      </c>
      <c r="H84" s="3" t="s">
        <v>29</v>
      </c>
      <c r="S84" s="94">
        <v>551.70000000000005</v>
      </c>
      <c r="T84" s="97">
        <v>47619</v>
      </c>
      <c r="U84" s="90">
        <f t="shared" si="3"/>
        <v>2030</v>
      </c>
      <c r="W84" s="92"/>
    </row>
    <row r="85" spans="2:23" ht="14.4" x14ac:dyDescent="0.3">
      <c r="B85" s="3" t="s">
        <v>84</v>
      </c>
      <c r="C85" s="3" t="s">
        <v>4</v>
      </c>
      <c r="D85" s="3" t="s">
        <v>41</v>
      </c>
      <c r="E85" s="40">
        <f>SUM(E82:E84)</f>
        <v>32566.400000000001</v>
      </c>
      <c r="F85" s="3" t="s">
        <v>35</v>
      </c>
      <c r="G85" s="3" t="s">
        <v>36</v>
      </c>
      <c r="H85" s="3" t="s">
        <v>29</v>
      </c>
      <c r="S85" s="94">
        <v>743.9</v>
      </c>
      <c r="T85" s="97">
        <v>47649</v>
      </c>
      <c r="U85" s="90">
        <f t="shared" si="3"/>
        <v>2030</v>
      </c>
      <c r="W85" s="92"/>
    </row>
    <row r="86" spans="2:23" x14ac:dyDescent="0.3">
      <c r="S86" s="94">
        <v>551.4</v>
      </c>
      <c r="T86" s="97">
        <v>47761</v>
      </c>
      <c r="U86" s="90">
        <f t="shared" si="3"/>
        <v>2030</v>
      </c>
      <c r="W86" s="92"/>
    </row>
    <row r="87" spans="2:23" x14ac:dyDescent="0.3">
      <c r="S87" s="94">
        <v>794</v>
      </c>
      <c r="T87" s="97">
        <v>47771</v>
      </c>
      <c r="U87" s="90">
        <f t="shared" si="3"/>
        <v>2030</v>
      </c>
      <c r="W87" s="92"/>
    </row>
    <row r="88" spans="2:23" x14ac:dyDescent="0.3">
      <c r="S88" s="94">
        <v>695.5</v>
      </c>
      <c r="T88" s="97">
        <v>47953</v>
      </c>
      <c r="U88" s="90">
        <f t="shared" si="3"/>
        <v>2031</v>
      </c>
      <c r="W88" s="92"/>
    </row>
    <row r="89" spans="2:23" x14ac:dyDescent="0.3">
      <c r="S89" s="94">
        <v>550.6</v>
      </c>
      <c r="T89" s="97">
        <v>47984</v>
      </c>
      <c r="U89" s="90">
        <f t="shared" si="3"/>
        <v>2031</v>
      </c>
      <c r="W89" s="92"/>
    </row>
    <row r="90" spans="2:23" x14ac:dyDescent="0.3">
      <c r="S90" s="94">
        <v>693.4</v>
      </c>
      <c r="T90" s="97">
        <v>48106</v>
      </c>
      <c r="U90" s="90">
        <f t="shared" si="3"/>
        <v>2031</v>
      </c>
      <c r="W90" s="92"/>
    </row>
    <row r="91" spans="2:23" x14ac:dyDescent="0.3">
      <c r="S91" s="94">
        <v>718.2</v>
      </c>
      <c r="T91" s="97">
        <v>48228</v>
      </c>
      <c r="U91" s="90">
        <f t="shared" si="3"/>
        <v>2032</v>
      </c>
      <c r="W91" s="92"/>
    </row>
    <row r="92" spans="2:23" x14ac:dyDescent="0.3">
      <c r="S92" s="94">
        <v>643.5</v>
      </c>
      <c r="T92" s="97">
        <v>48288</v>
      </c>
      <c r="U92" s="90">
        <f t="shared" si="3"/>
        <v>2032</v>
      </c>
      <c r="W92" s="92"/>
    </row>
    <row r="93" spans="2:23" x14ac:dyDescent="0.3">
      <c r="S93" s="94">
        <v>791.2</v>
      </c>
      <c r="T93" s="97">
        <v>48653</v>
      </c>
      <c r="U93" s="90">
        <f t="shared" si="3"/>
        <v>2033</v>
      </c>
      <c r="W93" s="92"/>
    </row>
    <row r="94" spans="2:23" x14ac:dyDescent="0.3">
      <c r="S94" s="94">
        <v>551</v>
      </c>
      <c r="T94" s="97">
        <v>48720</v>
      </c>
      <c r="U94" s="90">
        <f t="shared" si="3"/>
        <v>2033</v>
      </c>
      <c r="W94" s="92"/>
    </row>
    <row r="95" spans="2:23" x14ac:dyDescent="0.3">
      <c r="S95" s="94">
        <v>841.2</v>
      </c>
      <c r="T95" s="97">
        <v>48775</v>
      </c>
      <c r="U95" s="90">
        <f t="shared" si="3"/>
        <v>2033</v>
      </c>
      <c r="W95" s="92"/>
    </row>
    <row r="96" spans="2:23" x14ac:dyDescent="0.3">
      <c r="S96" s="94">
        <v>742</v>
      </c>
      <c r="T96" s="97">
        <v>48898</v>
      </c>
      <c r="U96" s="90">
        <f t="shared" si="3"/>
        <v>2033</v>
      </c>
      <c r="W96" s="92"/>
    </row>
    <row r="97" spans="2:26" x14ac:dyDescent="0.3">
      <c r="S97" s="94">
        <v>640.4</v>
      </c>
      <c r="T97" s="97">
        <v>48990</v>
      </c>
      <c r="U97" s="90">
        <f t="shared" si="3"/>
        <v>2034</v>
      </c>
      <c r="W97" s="92"/>
    </row>
    <row r="98" spans="2:26" x14ac:dyDescent="0.3">
      <c r="S98" s="94">
        <v>549.5</v>
      </c>
      <c r="T98" s="97">
        <v>49080</v>
      </c>
      <c r="U98" s="90">
        <f t="shared" si="3"/>
        <v>2034</v>
      </c>
      <c r="W98" s="92"/>
    </row>
    <row r="99" spans="2:26" x14ac:dyDescent="0.3">
      <c r="S99" s="94">
        <v>592.6</v>
      </c>
      <c r="T99" s="97">
        <v>54711</v>
      </c>
      <c r="U99" s="90">
        <f t="shared" si="3"/>
        <v>2049</v>
      </c>
      <c r="W99" s="92"/>
    </row>
    <row r="100" spans="2:26" x14ac:dyDescent="0.3">
      <c r="S100" s="94">
        <v>1038.8</v>
      </c>
      <c r="T100" s="97">
        <v>54954</v>
      </c>
      <c r="U100" s="90">
        <f t="shared" si="3"/>
        <v>2050</v>
      </c>
      <c r="W100" s="92"/>
    </row>
    <row r="101" spans="2:26" x14ac:dyDescent="0.3">
      <c r="R101" s="94"/>
      <c r="S101" s="94">
        <v>1023.6</v>
      </c>
      <c r="T101" s="97">
        <v>55168</v>
      </c>
      <c r="U101" s="90">
        <f t="shared" si="3"/>
        <v>2051</v>
      </c>
      <c r="W101" s="92"/>
    </row>
    <row r="102" spans="2:26" x14ac:dyDescent="0.3">
      <c r="S102" s="95">
        <f>SUM(S56:S101)</f>
        <v>32566.400000000005</v>
      </c>
    </row>
    <row r="107" spans="2:26" x14ac:dyDescent="0.3">
      <c r="S107" s="87" t="s">
        <v>85</v>
      </c>
      <c r="T107" s="88" t="s">
        <v>9</v>
      </c>
      <c r="U107" s="88" t="s">
        <v>27</v>
      </c>
      <c r="W107" s="88" t="s">
        <v>27</v>
      </c>
      <c r="X107" s="88" t="s">
        <v>29</v>
      </c>
      <c r="Y107" s="88" t="s">
        <v>86</v>
      </c>
      <c r="Z107" s="88" t="s">
        <v>37</v>
      </c>
    </row>
    <row r="108" spans="2:26" x14ac:dyDescent="0.3">
      <c r="B108" s="89" t="s">
        <v>6</v>
      </c>
      <c r="S108" s="94">
        <v>649.1</v>
      </c>
      <c r="T108" s="97">
        <v>45672</v>
      </c>
      <c r="U108" s="90">
        <f>YEAR(T108)</f>
        <v>2025</v>
      </c>
      <c r="W108" s="92">
        <v>2025</v>
      </c>
      <c r="X108" s="94">
        <f>SUMIF($U$108:$U$153,$W108,$S$108:$S$153)</f>
        <v>3180.3</v>
      </c>
      <c r="Y108" s="94">
        <v>1170</v>
      </c>
      <c r="Z108" s="95">
        <f>Y111+X121</f>
        <v>36520.200000000004</v>
      </c>
    </row>
    <row r="109" spans="2:26" x14ac:dyDescent="0.3">
      <c r="S109" s="94">
        <v>749.1</v>
      </c>
      <c r="T109" s="97">
        <v>45731</v>
      </c>
      <c r="U109" s="90">
        <f t="shared" ref="U109:U153" si="5">YEAR(T109)</f>
        <v>2025</v>
      </c>
      <c r="W109" s="92">
        <v>2026</v>
      </c>
      <c r="X109" s="94">
        <f t="shared" ref="X109:X120" si="6">SUMIF($U$108:$U$153,$W109,$S$108:$S$153)</f>
        <v>3323.1</v>
      </c>
      <c r="Y109" s="94">
        <v>997.4</v>
      </c>
    </row>
    <row r="110" spans="2:26" x14ac:dyDescent="0.3">
      <c r="S110" s="94">
        <v>534.6</v>
      </c>
      <c r="T110" s="97">
        <v>45751</v>
      </c>
      <c r="U110" s="90">
        <f t="shared" si="5"/>
        <v>2025</v>
      </c>
      <c r="W110" s="92">
        <v>2027</v>
      </c>
      <c r="X110" s="94">
        <f t="shared" si="6"/>
        <v>4512.3999999999996</v>
      </c>
      <c r="Y110" s="94">
        <v>2113.4</v>
      </c>
    </row>
    <row r="111" spans="2:26" x14ac:dyDescent="0.3">
      <c r="S111" s="94">
        <v>748.7</v>
      </c>
      <c r="T111" s="97">
        <v>45809</v>
      </c>
      <c r="U111" s="90">
        <f t="shared" si="5"/>
        <v>2025</v>
      </c>
      <c r="W111" s="92">
        <v>2028</v>
      </c>
      <c r="X111" s="94">
        <f t="shared" si="6"/>
        <v>4225.8</v>
      </c>
      <c r="Y111" s="95">
        <f>SUM(Y108:Y110)</f>
        <v>4280.8</v>
      </c>
    </row>
    <row r="112" spans="2:26" x14ac:dyDescent="0.3">
      <c r="S112" s="94">
        <v>498.8</v>
      </c>
      <c r="T112" s="97">
        <v>45915</v>
      </c>
      <c r="U112" s="90">
        <f t="shared" si="5"/>
        <v>2025</v>
      </c>
      <c r="W112" s="92">
        <v>2029</v>
      </c>
      <c r="X112" s="94">
        <f t="shared" si="6"/>
        <v>3676.4</v>
      </c>
    </row>
    <row r="113" spans="19:24" x14ac:dyDescent="0.3">
      <c r="S113" s="94">
        <v>499</v>
      </c>
      <c r="T113" s="97">
        <v>46068</v>
      </c>
      <c r="U113" s="90">
        <f t="shared" si="5"/>
        <v>2026</v>
      </c>
      <c r="W113" s="92">
        <v>2030</v>
      </c>
      <c r="X113" s="94">
        <f t="shared" si="6"/>
        <v>3342.9000000000005</v>
      </c>
    </row>
    <row r="114" spans="19:24" x14ac:dyDescent="0.3">
      <c r="S114" s="94">
        <v>698</v>
      </c>
      <c r="T114" s="97">
        <v>46127</v>
      </c>
      <c r="U114" s="90">
        <f t="shared" si="5"/>
        <v>2026</v>
      </c>
      <c r="W114" s="92">
        <v>2031</v>
      </c>
      <c r="X114" s="94">
        <f t="shared" si="6"/>
        <v>1917.6999999999998</v>
      </c>
    </row>
    <row r="115" spans="19:24" x14ac:dyDescent="0.3">
      <c r="S115" s="94">
        <v>533.79999999999995</v>
      </c>
      <c r="T115" s="97">
        <v>46164</v>
      </c>
      <c r="U115" s="90">
        <f t="shared" si="5"/>
        <v>2026</v>
      </c>
      <c r="W115" s="92">
        <v>2032</v>
      </c>
      <c r="X115" s="94">
        <f t="shared" si="6"/>
        <v>1334</v>
      </c>
    </row>
    <row r="116" spans="19:24" x14ac:dyDescent="0.3">
      <c r="S116" s="94">
        <v>596.70000000000005</v>
      </c>
      <c r="T116" s="97">
        <v>46280</v>
      </c>
      <c r="U116" s="90">
        <f t="shared" si="5"/>
        <v>2026</v>
      </c>
      <c r="W116" s="92">
        <v>2033</v>
      </c>
      <c r="X116" s="94">
        <f t="shared" si="6"/>
        <v>2903.6000000000004</v>
      </c>
    </row>
    <row r="117" spans="19:24" x14ac:dyDescent="0.3">
      <c r="S117" s="94">
        <v>995.6</v>
      </c>
      <c r="T117" s="97">
        <v>46310</v>
      </c>
      <c r="U117" s="90">
        <f t="shared" si="5"/>
        <v>2026</v>
      </c>
      <c r="W117" s="92">
        <v>2034</v>
      </c>
      <c r="X117" s="94">
        <f t="shared" si="6"/>
        <v>1168.5</v>
      </c>
    </row>
    <row r="118" spans="19:24" x14ac:dyDescent="0.3">
      <c r="S118" s="94">
        <v>399.1</v>
      </c>
      <c r="T118" s="97">
        <v>46402</v>
      </c>
      <c r="U118" s="90">
        <f t="shared" si="5"/>
        <v>2027</v>
      </c>
      <c r="W118" s="92">
        <v>2049</v>
      </c>
      <c r="X118" s="94">
        <f t="shared" si="6"/>
        <v>592.5</v>
      </c>
    </row>
    <row r="119" spans="19:24" x14ac:dyDescent="0.3">
      <c r="S119" s="94">
        <v>747.5</v>
      </c>
      <c r="T119" s="97">
        <v>46402</v>
      </c>
      <c r="U119" s="90">
        <f t="shared" si="5"/>
        <v>2027</v>
      </c>
      <c r="W119" s="92">
        <v>2050</v>
      </c>
      <c r="X119" s="94">
        <f t="shared" si="6"/>
        <v>1038.7</v>
      </c>
    </row>
    <row r="120" spans="19:24" x14ac:dyDescent="0.3">
      <c r="S120" s="94">
        <v>800.5</v>
      </c>
      <c r="T120" s="97">
        <v>46402</v>
      </c>
      <c r="U120" s="90">
        <f t="shared" si="5"/>
        <v>2027</v>
      </c>
      <c r="W120" s="92">
        <v>2051</v>
      </c>
      <c r="X120" s="94">
        <f t="shared" si="6"/>
        <v>1023.5</v>
      </c>
    </row>
    <row r="121" spans="19:24" x14ac:dyDescent="0.3">
      <c r="S121" s="94">
        <v>532.6</v>
      </c>
      <c r="T121" s="97">
        <v>46433</v>
      </c>
      <c r="U121" s="90">
        <f t="shared" si="5"/>
        <v>2027</v>
      </c>
      <c r="W121" s="93" t="s">
        <v>8</v>
      </c>
      <c r="X121" s="95">
        <f>SUM(X108:X120)</f>
        <v>32239.400000000005</v>
      </c>
    </row>
    <row r="122" spans="19:24" x14ac:dyDescent="0.3">
      <c r="S122" s="94">
        <v>645.6</v>
      </c>
      <c r="T122" s="97">
        <v>46461</v>
      </c>
      <c r="U122" s="90">
        <f t="shared" si="5"/>
        <v>2027</v>
      </c>
      <c r="W122" s="92"/>
    </row>
    <row r="123" spans="19:24" x14ac:dyDescent="0.3">
      <c r="S123" s="94">
        <v>639.6</v>
      </c>
      <c r="T123" s="97">
        <v>46523</v>
      </c>
      <c r="U123" s="90">
        <f t="shared" si="5"/>
        <v>2027</v>
      </c>
      <c r="W123" s="96" t="s">
        <v>87</v>
      </c>
    </row>
    <row r="124" spans="19:24" x14ac:dyDescent="0.3">
      <c r="S124" s="94">
        <v>747.5</v>
      </c>
      <c r="T124" s="97">
        <v>46583</v>
      </c>
      <c r="U124" s="90">
        <f t="shared" si="5"/>
        <v>2027</v>
      </c>
      <c r="W124" s="96" t="s">
        <v>88</v>
      </c>
    </row>
    <row r="125" spans="19:24" x14ac:dyDescent="0.3">
      <c r="S125" s="94">
        <v>696.5</v>
      </c>
      <c r="T125" s="97">
        <v>46767</v>
      </c>
      <c r="U125" s="90">
        <f t="shared" si="5"/>
        <v>2028</v>
      </c>
    </row>
    <row r="126" spans="19:24" x14ac:dyDescent="0.3">
      <c r="S126" s="94">
        <v>799</v>
      </c>
      <c r="T126" s="97">
        <v>46767</v>
      </c>
      <c r="U126" s="90">
        <f t="shared" si="5"/>
        <v>2028</v>
      </c>
    </row>
    <row r="127" spans="19:24" x14ac:dyDescent="0.3">
      <c r="S127" s="94">
        <v>647.5</v>
      </c>
      <c r="T127" s="97">
        <v>46783</v>
      </c>
      <c r="U127" s="90">
        <f t="shared" si="5"/>
        <v>2028</v>
      </c>
    </row>
    <row r="128" spans="19:24" x14ac:dyDescent="0.3">
      <c r="S128" s="94">
        <v>694.3</v>
      </c>
      <c r="T128" s="97">
        <v>46827</v>
      </c>
      <c r="U128" s="90">
        <f t="shared" si="5"/>
        <v>2028</v>
      </c>
    </row>
    <row r="129" spans="2:21" x14ac:dyDescent="0.3">
      <c r="S129" s="94">
        <v>644.5</v>
      </c>
      <c r="T129" s="97">
        <v>46949</v>
      </c>
      <c r="U129" s="90">
        <f t="shared" si="5"/>
        <v>2028</v>
      </c>
    </row>
    <row r="130" spans="2:21" x14ac:dyDescent="0.3">
      <c r="S130" s="94">
        <v>744</v>
      </c>
      <c r="T130" s="97">
        <v>47072</v>
      </c>
      <c r="U130" s="90">
        <f t="shared" si="5"/>
        <v>2028</v>
      </c>
    </row>
    <row r="131" spans="2:21" x14ac:dyDescent="0.3">
      <c r="S131" s="94">
        <v>643</v>
      </c>
      <c r="T131" s="97">
        <v>47164</v>
      </c>
      <c r="U131" s="90">
        <f t="shared" si="5"/>
        <v>2029</v>
      </c>
    </row>
    <row r="132" spans="2:21" x14ac:dyDescent="0.3">
      <c r="S132" s="94">
        <v>594.20000000000005</v>
      </c>
      <c r="T132" s="97">
        <v>47192</v>
      </c>
      <c r="U132" s="90">
        <f t="shared" si="5"/>
        <v>2029</v>
      </c>
    </row>
    <row r="133" spans="2:21" x14ac:dyDescent="0.3">
      <c r="S133" s="94">
        <v>799.7</v>
      </c>
      <c r="T133" s="97">
        <v>47259</v>
      </c>
      <c r="U133" s="90">
        <f t="shared" si="5"/>
        <v>2029</v>
      </c>
    </row>
    <row r="134" spans="2:21" ht="14.4" x14ac:dyDescent="0.3">
      <c r="B134" s="4" t="s">
        <v>1</v>
      </c>
      <c r="C134" s="4" t="s">
        <v>3</v>
      </c>
      <c r="D134" s="4" t="s">
        <v>29</v>
      </c>
      <c r="E134" s="4" t="s">
        <v>30</v>
      </c>
      <c r="F134" s="4" t="s">
        <v>31</v>
      </c>
      <c r="G134" s="4" t="s">
        <v>32</v>
      </c>
      <c r="H134" s="4" t="s">
        <v>33</v>
      </c>
      <c r="S134" s="94">
        <v>1639.5</v>
      </c>
      <c r="T134" s="97">
        <v>47345</v>
      </c>
      <c r="U134" s="90">
        <f t="shared" si="5"/>
        <v>2029</v>
      </c>
    </row>
    <row r="135" spans="2:21" ht="14.4" x14ac:dyDescent="0.3">
      <c r="B135" s="3" t="s">
        <v>84</v>
      </c>
      <c r="C135" s="3" t="s">
        <v>6</v>
      </c>
      <c r="D135" s="3" t="s">
        <v>38</v>
      </c>
      <c r="E135" s="40">
        <f>SUM(X108:X112)</f>
        <v>18918</v>
      </c>
      <c r="F135" s="3" t="s">
        <v>35</v>
      </c>
      <c r="G135" s="3" t="s">
        <v>36</v>
      </c>
      <c r="H135" s="3" t="s">
        <v>29</v>
      </c>
      <c r="S135" s="94">
        <v>744.7</v>
      </c>
      <c r="T135" s="97">
        <v>47498</v>
      </c>
      <c r="U135" s="90">
        <f t="shared" si="5"/>
        <v>2030</v>
      </c>
    </row>
    <row r="136" spans="2:21" ht="14.4" x14ac:dyDescent="0.3">
      <c r="B136" s="3" t="s">
        <v>84</v>
      </c>
      <c r="C136" s="3" t="s">
        <v>6</v>
      </c>
      <c r="D136" s="3" t="s">
        <v>39</v>
      </c>
      <c r="E136" s="40">
        <f>SUM(X113:X116)</f>
        <v>9498.2000000000007</v>
      </c>
      <c r="F136" s="3" t="s">
        <v>35</v>
      </c>
      <c r="G136" s="3" t="s">
        <v>36</v>
      </c>
      <c r="H136" s="3" t="s">
        <v>29</v>
      </c>
      <c r="S136" s="94">
        <v>530.6</v>
      </c>
      <c r="T136" s="97">
        <v>47619</v>
      </c>
      <c r="U136" s="90">
        <f t="shared" si="5"/>
        <v>2030</v>
      </c>
    </row>
    <row r="137" spans="2:21" ht="14.4" x14ac:dyDescent="0.3">
      <c r="B137" s="3" t="s">
        <v>84</v>
      </c>
      <c r="C137" s="3" t="s">
        <v>6</v>
      </c>
      <c r="D137" s="3" t="s">
        <v>40</v>
      </c>
      <c r="E137" s="40">
        <f>SUM(X117:X120)</f>
        <v>3823.2</v>
      </c>
      <c r="F137" s="3" t="s">
        <v>35</v>
      </c>
      <c r="G137" s="3" t="s">
        <v>36</v>
      </c>
      <c r="H137" s="3" t="s">
        <v>29</v>
      </c>
      <c r="S137" s="94">
        <v>743.6</v>
      </c>
      <c r="T137" s="97">
        <v>47649</v>
      </c>
      <c r="U137" s="90">
        <f t="shared" si="5"/>
        <v>2030</v>
      </c>
    </row>
    <row r="138" spans="2:21" ht="14.4" x14ac:dyDescent="0.3">
      <c r="B138" s="3" t="s">
        <v>84</v>
      </c>
      <c r="C138" s="3" t="s">
        <v>6</v>
      </c>
      <c r="D138" s="3" t="s">
        <v>41</v>
      </c>
      <c r="E138" s="40">
        <f>SUM(E135:E137)</f>
        <v>32239.4</v>
      </c>
      <c r="F138" s="3" t="s">
        <v>35</v>
      </c>
      <c r="G138" s="3" t="s">
        <v>36</v>
      </c>
      <c r="H138" s="3" t="s">
        <v>29</v>
      </c>
      <c r="S138" s="94">
        <v>530.20000000000005</v>
      </c>
      <c r="T138" s="97">
        <v>47761</v>
      </c>
      <c r="U138" s="90">
        <f t="shared" si="5"/>
        <v>2030</v>
      </c>
    </row>
    <row r="139" spans="2:21" x14ac:dyDescent="0.3">
      <c r="S139" s="94">
        <v>793.8</v>
      </c>
      <c r="T139" s="97">
        <v>47771</v>
      </c>
      <c r="U139" s="90">
        <f t="shared" si="5"/>
        <v>2030</v>
      </c>
    </row>
    <row r="140" spans="2:21" x14ac:dyDescent="0.3">
      <c r="S140" s="94">
        <v>695.3</v>
      </c>
      <c r="T140" s="97">
        <v>47953</v>
      </c>
      <c r="U140" s="90">
        <f t="shared" si="5"/>
        <v>2031</v>
      </c>
    </row>
    <row r="141" spans="2:21" x14ac:dyDescent="0.3">
      <c r="S141" s="94">
        <v>529.29999999999995</v>
      </c>
      <c r="T141" s="97">
        <v>47984</v>
      </c>
      <c r="U141" s="90">
        <f t="shared" si="5"/>
        <v>2031</v>
      </c>
    </row>
    <row r="142" spans="2:21" x14ac:dyDescent="0.3">
      <c r="S142" s="94">
        <v>693.1</v>
      </c>
      <c r="T142" s="97">
        <v>48106</v>
      </c>
      <c r="U142" s="90">
        <f t="shared" si="5"/>
        <v>2031</v>
      </c>
    </row>
    <row r="143" spans="2:21" x14ac:dyDescent="0.3">
      <c r="S143" s="94">
        <v>690.7</v>
      </c>
      <c r="T143" s="97">
        <v>48228</v>
      </c>
      <c r="U143" s="90">
        <f t="shared" si="5"/>
        <v>2032</v>
      </c>
    </row>
    <row r="144" spans="2:21" x14ac:dyDescent="0.3">
      <c r="S144" s="94">
        <v>643.29999999999995</v>
      </c>
      <c r="T144" s="97">
        <v>48288</v>
      </c>
      <c r="U144" s="90">
        <f t="shared" si="5"/>
        <v>2032</v>
      </c>
    </row>
    <row r="145" spans="2:26" x14ac:dyDescent="0.3">
      <c r="S145" s="94">
        <v>791</v>
      </c>
      <c r="T145" s="97">
        <v>48653</v>
      </c>
      <c r="U145" s="90">
        <f t="shared" si="5"/>
        <v>2033</v>
      </c>
    </row>
    <row r="146" spans="2:26" x14ac:dyDescent="0.3">
      <c r="S146" s="94">
        <v>529.79999999999995</v>
      </c>
      <c r="T146" s="97">
        <v>48720</v>
      </c>
      <c r="U146" s="90">
        <f t="shared" si="5"/>
        <v>2033</v>
      </c>
    </row>
    <row r="147" spans="2:26" x14ac:dyDescent="0.3">
      <c r="S147" s="94">
        <v>841</v>
      </c>
      <c r="T147" s="97">
        <v>48775</v>
      </c>
      <c r="U147" s="90">
        <f t="shared" si="5"/>
        <v>2033</v>
      </c>
    </row>
    <row r="148" spans="2:26" x14ac:dyDescent="0.3">
      <c r="S148" s="94">
        <v>741.8</v>
      </c>
      <c r="T148" s="97">
        <v>48898</v>
      </c>
      <c r="U148" s="90">
        <f t="shared" si="5"/>
        <v>2033</v>
      </c>
    </row>
    <row r="149" spans="2:26" x14ac:dyDescent="0.3">
      <c r="S149" s="94">
        <v>640.20000000000005</v>
      </c>
      <c r="T149" s="97">
        <v>48990</v>
      </c>
      <c r="U149" s="90">
        <f t="shared" si="5"/>
        <v>2034</v>
      </c>
    </row>
    <row r="150" spans="2:26" x14ac:dyDescent="0.3">
      <c r="S150" s="94">
        <v>528.29999999999995</v>
      </c>
      <c r="T150" s="97">
        <v>49080</v>
      </c>
      <c r="U150" s="90">
        <f t="shared" si="5"/>
        <v>2034</v>
      </c>
    </row>
    <row r="151" spans="2:26" x14ac:dyDescent="0.3">
      <c r="S151" s="94">
        <v>592.5</v>
      </c>
      <c r="T151" s="97">
        <v>54711</v>
      </c>
      <c r="U151" s="90">
        <f t="shared" si="5"/>
        <v>2049</v>
      </c>
    </row>
    <row r="152" spans="2:26" x14ac:dyDescent="0.3">
      <c r="S152" s="94">
        <v>1038.7</v>
      </c>
      <c r="T152" s="97">
        <v>54954</v>
      </c>
      <c r="U152" s="90">
        <f t="shared" si="5"/>
        <v>2050</v>
      </c>
    </row>
    <row r="153" spans="2:26" x14ac:dyDescent="0.3">
      <c r="S153" s="94">
        <v>1023.5</v>
      </c>
      <c r="T153" s="97">
        <v>55168</v>
      </c>
      <c r="U153" s="90">
        <f t="shared" si="5"/>
        <v>2051</v>
      </c>
    </row>
    <row r="154" spans="2:26" x14ac:dyDescent="0.3">
      <c r="S154" s="95">
        <f>SUM(S108:S153)</f>
        <v>32239.399999999994</v>
      </c>
    </row>
    <row r="157" spans="2:26" x14ac:dyDescent="0.3">
      <c r="S157" s="87" t="s">
        <v>85</v>
      </c>
      <c r="T157" s="88" t="s">
        <v>9</v>
      </c>
      <c r="U157" s="88" t="s">
        <v>27</v>
      </c>
      <c r="W157" s="88" t="s">
        <v>27</v>
      </c>
      <c r="X157" s="88" t="s">
        <v>29</v>
      </c>
      <c r="Y157" s="88" t="s">
        <v>86</v>
      </c>
      <c r="Z157" s="88" t="s">
        <v>37</v>
      </c>
    </row>
    <row r="158" spans="2:26" x14ac:dyDescent="0.3">
      <c r="S158" s="94">
        <v>650</v>
      </c>
      <c r="T158" s="97">
        <v>45427</v>
      </c>
      <c r="U158" s="90">
        <f>YEAR(T158)</f>
        <v>2024</v>
      </c>
      <c r="W158" s="92">
        <v>2024</v>
      </c>
      <c r="X158" s="94">
        <f t="shared" ref="X158:X171" si="7">SUMIF($U$158:$U$202,$W158,$S$158:$S$202)</f>
        <v>650</v>
      </c>
      <c r="Y158" s="94">
        <v>1011.6</v>
      </c>
      <c r="Z158" s="95">
        <f>Y162+X172</f>
        <v>36806.5</v>
      </c>
    </row>
    <row r="159" spans="2:26" x14ac:dyDescent="0.3">
      <c r="B159" s="89" t="s">
        <v>7</v>
      </c>
      <c r="S159" s="94">
        <v>648.6</v>
      </c>
      <c r="T159" s="97">
        <v>45672</v>
      </c>
      <c r="U159" s="90">
        <f t="shared" ref="U159:U202" si="8">YEAR(T159)</f>
        <v>2025</v>
      </c>
      <c r="W159" s="90">
        <v>2025</v>
      </c>
      <c r="X159" s="94">
        <f t="shared" si="7"/>
        <v>3182.3</v>
      </c>
      <c r="Y159" s="94">
        <v>997.2</v>
      </c>
    </row>
    <row r="160" spans="2:26" x14ac:dyDescent="0.3">
      <c r="S160" s="94">
        <v>748.8</v>
      </c>
      <c r="T160" s="97">
        <v>45731</v>
      </c>
      <c r="U160" s="90">
        <f t="shared" si="8"/>
        <v>2025</v>
      </c>
      <c r="W160" s="92">
        <v>2026</v>
      </c>
      <c r="X160" s="94">
        <f t="shared" si="7"/>
        <v>3325.4</v>
      </c>
      <c r="Y160" s="94">
        <v>2038.4</v>
      </c>
    </row>
    <row r="161" spans="19:25" x14ac:dyDescent="0.3">
      <c r="S161" s="94">
        <v>538</v>
      </c>
      <c r="T161" s="97">
        <v>45751</v>
      </c>
      <c r="U161" s="90">
        <f t="shared" si="8"/>
        <v>2025</v>
      </c>
      <c r="W161" s="92">
        <v>2027</v>
      </c>
      <c r="X161" s="94">
        <f t="shared" si="7"/>
        <v>4524.7</v>
      </c>
      <c r="Y161" s="94">
        <v>890.1</v>
      </c>
    </row>
    <row r="162" spans="19:25" x14ac:dyDescent="0.3">
      <c r="S162" s="94">
        <v>748.4</v>
      </c>
      <c r="T162" s="97">
        <v>45809</v>
      </c>
      <c r="U162" s="90">
        <f t="shared" si="8"/>
        <v>2025</v>
      </c>
      <c r="W162" s="92">
        <v>2028</v>
      </c>
      <c r="X162" s="94">
        <f t="shared" si="7"/>
        <v>4229.8999999999996</v>
      </c>
      <c r="Y162" s="95">
        <f>SUM(Y158:Y161)</f>
        <v>4937.3</v>
      </c>
    </row>
    <row r="163" spans="19:25" x14ac:dyDescent="0.3">
      <c r="S163" s="94">
        <v>498.5</v>
      </c>
      <c r="T163" s="97">
        <v>45915</v>
      </c>
      <c r="U163" s="90">
        <f t="shared" si="8"/>
        <v>2025</v>
      </c>
      <c r="W163" s="92">
        <v>2029</v>
      </c>
      <c r="X163" s="94">
        <f t="shared" si="7"/>
        <v>3680.9</v>
      </c>
    </row>
    <row r="164" spans="19:25" x14ac:dyDescent="0.3">
      <c r="S164" s="94">
        <v>498.9</v>
      </c>
      <c r="T164" s="97">
        <v>46068</v>
      </c>
      <c r="U164" s="90">
        <f t="shared" si="8"/>
        <v>2026</v>
      </c>
      <c r="W164" s="92">
        <v>2030</v>
      </c>
      <c r="X164" s="94">
        <f t="shared" si="7"/>
        <v>2815.3</v>
      </c>
    </row>
    <row r="165" spans="19:25" x14ac:dyDescent="0.3">
      <c r="S165" s="94">
        <v>697.7</v>
      </c>
      <c r="T165" s="97">
        <v>46127</v>
      </c>
      <c r="U165" s="90">
        <f t="shared" si="8"/>
        <v>2026</v>
      </c>
      <c r="W165" s="92">
        <v>2031</v>
      </c>
      <c r="X165" s="94">
        <f t="shared" si="7"/>
        <v>1921.1</v>
      </c>
    </row>
    <row r="166" spans="19:25" x14ac:dyDescent="0.3">
      <c r="S166" s="94">
        <v>537.4</v>
      </c>
      <c r="T166" s="97">
        <v>46164</v>
      </c>
      <c r="U166" s="90">
        <f t="shared" si="8"/>
        <v>2026</v>
      </c>
      <c r="W166" s="92">
        <v>2032</v>
      </c>
      <c r="X166" s="94">
        <f t="shared" si="7"/>
        <v>1338.5</v>
      </c>
    </row>
    <row r="167" spans="19:25" x14ac:dyDescent="0.3">
      <c r="S167" s="94">
        <v>596.29999999999995</v>
      </c>
      <c r="T167" s="97">
        <v>46280</v>
      </c>
      <c r="U167" s="90">
        <f t="shared" si="8"/>
        <v>2026</v>
      </c>
      <c r="W167" s="92">
        <v>2033</v>
      </c>
      <c r="X167" s="94">
        <f t="shared" si="7"/>
        <v>2906.7</v>
      </c>
    </row>
    <row r="168" spans="19:25" x14ac:dyDescent="0.3">
      <c r="S168" s="94">
        <v>995.1</v>
      </c>
      <c r="T168" s="97">
        <v>46310</v>
      </c>
      <c r="U168" s="90">
        <f t="shared" si="8"/>
        <v>2026</v>
      </c>
      <c r="W168" s="92">
        <v>2034</v>
      </c>
      <c r="X168" s="94">
        <f t="shared" si="7"/>
        <v>640</v>
      </c>
    </row>
    <row r="169" spans="19:25" x14ac:dyDescent="0.3">
      <c r="S169" s="94">
        <v>399</v>
      </c>
      <c r="T169" s="97">
        <v>46402</v>
      </c>
      <c r="U169" s="90">
        <f t="shared" si="8"/>
        <v>2027</v>
      </c>
      <c r="W169" s="92">
        <v>2049</v>
      </c>
      <c r="X169" s="94">
        <f t="shared" si="7"/>
        <v>592.5</v>
      </c>
    </row>
    <row r="170" spans="19:25" x14ac:dyDescent="0.3">
      <c r="S170" s="94">
        <v>747.3</v>
      </c>
      <c r="T170" s="97">
        <v>46402</v>
      </c>
      <c r="U170" s="90">
        <f t="shared" si="8"/>
        <v>2027</v>
      </c>
      <c r="W170" s="92">
        <v>2050</v>
      </c>
      <c r="X170" s="94">
        <f t="shared" si="7"/>
        <v>1038.5999999999999</v>
      </c>
    </row>
    <row r="171" spans="19:25" x14ac:dyDescent="0.3">
      <c r="S171" s="94">
        <v>805.9</v>
      </c>
      <c r="T171" s="97">
        <v>46402</v>
      </c>
      <c r="U171" s="90">
        <f t="shared" si="8"/>
        <v>2027</v>
      </c>
      <c r="W171" s="92">
        <v>2051</v>
      </c>
      <c r="X171" s="94">
        <f t="shared" si="7"/>
        <v>1023.3</v>
      </c>
    </row>
    <row r="172" spans="19:25" x14ac:dyDescent="0.3">
      <c r="S172" s="94">
        <v>536.1</v>
      </c>
      <c r="T172" s="97">
        <v>46433</v>
      </c>
      <c r="U172" s="90">
        <f t="shared" si="8"/>
        <v>2027</v>
      </c>
      <c r="W172" s="93" t="s">
        <v>8</v>
      </c>
      <c r="X172" s="95">
        <f>SUM(X158:X171)</f>
        <v>31869.199999999997</v>
      </c>
    </row>
    <row r="173" spans="19:25" x14ac:dyDescent="0.3">
      <c r="S173" s="94">
        <v>645.20000000000005</v>
      </c>
      <c r="T173" s="97">
        <v>46461</v>
      </c>
      <c r="U173" s="90">
        <f t="shared" si="8"/>
        <v>2027</v>
      </c>
    </row>
    <row r="174" spans="19:25" x14ac:dyDescent="0.3">
      <c r="S174" s="94">
        <v>643.9</v>
      </c>
      <c r="T174" s="97">
        <v>46523</v>
      </c>
      <c r="U174" s="90">
        <f t="shared" si="8"/>
        <v>2027</v>
      </c>
      <c r="W174" s="96" t="s">
        <v>87</v>
      </c>
    </row>
    <row r="175" spans="19:25" x14ac:dyDescent="0.3">
      <c r="S175" s="94">
        <v>747.3</v>
      </c>
      <c r="T175" s="97">
        <v>46583</v>
      </c>
      <c r="U175" s="90">
        <f t="shared" si="8"/>
        <v>2027</v>
      </c>
      <c r="W175" s="96" t="s">
        <v>88</v>
      </c>
    </row>
    <row r="176" spans="19:25" x14ac:dyDescent="0.3">
      <c r="S176" s="94">
        <v>696.3</v>
      </c>
      <c r="T176" s="97">
        <v>46767</v>
      </c>
      <c r="U176" s="90">
        <f t="shared" si="8"/>
        <v>2028</v>
      </c>
    </row>
    <row r="177" spans="2:21" x14ac:dyDescent="0.3">
      <c r="S177" s="94">
        <v>804.4</v>
      </c>
      <c r="T177" s="97">
        <v>46767</v>
      </c>
      <c r="U177" s="90">
        <f t="shared" si="8"/>
        <v>2028</v>
      </c>
    </row>
    <row r="178" spans="2:21" x14ac:dyDescent="0.3">
      <c r="S178" s="94">
        <v>647.29999999999995</v>
      </c>
      <c r="T178" s="97">
        <v>46783</v>
      </c>
      <c r="U178" s="90">
        <f t="shared" si="8"/>
        <v>2028</v>
      </c>
    </row>
    <row r="179" spans="2:21" x14ac:dyDescent="0.3">
      <c r="S179" s="94">
        <v>694</v>
      </c>
      <c r="T179" s="97">
        <v>46827</v>
      </c>
      <c r="U179" s="90">
        <f t="shared" si="8"/>
        <v>2028</v>
      </c>
    </row>
    <row r="180" spans="2:21" x14ac:dyDescent="0.3">
      <c r="S180" s="94">
        <v>644.20000000000005</v>
      </c>
      <c r="T180" s="97">
        <v>46949</v>
      </c>
      <c r="U180" s="90">
        <f t="shared" si="8"/>
        <v>2028</v>
      </c>
    </row>
    <row r="181" spans="2:21" x14ac:dyDescent="0.3">
      <c r="S181" s="94">
        <v>743.7</v>
      </c>
      <c r="T181" s="97">
        <v>47072</v>
      </c>
      <c r="U181" s="90">
        <f t="shared" si="8"/>
        <v>2028</v>
      </c>
    </row>
    <row r="182" spans="2:21" x14ac:dyDescent="0.3">
      <c r="S182" s="94">
        <v>642.70000000000005</v>
      </c>
      <c r="T182" s="97">
        <v>47164</v>
      </c>
      <c r="U182" s="90">
        <f t="shared" si="8"/>
        <v>2029</v>
      </c>
    </row>
    <row r="183" spans="2:21" x14ac:dyDescent="0.3">
      <c r="S183" s="94">
        <v>594</v>
      </c>
      <c r="T183" s="97">
        <v>47192</v>
      </c>
      <c r="U183" s="90">
        <f t="shared" si="8"/>
        <v>2029</v>
      </c>
    </row>
    <row r="184" spans="2:21" x14ac:dyDescent="0.3">
      <c r="S184" s="94">
        <v>805.1</v>
      </c>
      <c r="T184" s="97">
        <v>47259</v>
      </c>
      <c r="U184" s="90">
        <f t="shared" si="8"/>
        <v>2029</v>
      </c>
    </row>
    <row r="185" spans="2:21" x14ac:dyDescent="0.3">
      <c r="S185" s="94">
        <v>1639.1</v>
      </c>
      <c r="T185" s="97">
        <v>47345</v>
      </c>
      <c r="U185" s="90">
        <f t="shared" si="8"/>
        <v>2029</v>
      </c>
    </row>
    <row r="186" spans="2:21" ht="14.4" x14ac:dyDescent="0.3">
      <c r="B186" s="4" t="s">
        <v>1</v>
      </c>
      <c r="C186" s="4" t="s">
        <v>3</v>
      </c>
      <c r="D186" s="4" t="s">
        <v>29</v>
      </c>
      <c r="E186" s="4" t="s">
        <v>30</v>
      </c>
      <c r="F186" s="4" t="s">
        <v>31</v>
      </c>
      <c r="G186" s="4" t="s">
        <v>32</v>
      </c>
      <c r="H186" s="4" t="s">
        <v>33</v>
      </c>
      <c r="S186" s="94">
        <v>744.5</v>
      </c>
      <c r="T186" s="97">
        <v>47498</v>
      </c>
      <c r="U186" s="90">
        <f t="shared" si="8"/>
        <v>2030</v>
      </c>
    </row>
    <row r="187" spans="2:21" ht="14.4" x14ac:dyDescent="0.3">
      <c r="B187" s="3" t="s">
        <v>84</v>
      </c>
      <c r="C187" s="3" t="s">
        <v>7</v>
      </c>
      <c r="D187" s="3" t="s">
        <v>38</v>
      </c>
      <c r="E187" s="40">
        <f>SUM(X158:X163)</f>
        <v>19593.2</v>
      </c>
      <c r="F187" s="3" t="s">
        <v>35</v>
      </c>
      <c r="G187" s="3" t="s">
        <v>36</v>
      </c>
      <c r="H187" s="3" t="s">
        <v>29</v>
      </c>
      <c r="S187" s="94">
        <v>743.4</v>
      </c>
      <c r="T187" s="97">
        <v>47649</v>
      </c>
      <c r="U187" s="90">
        <f t="shared" si="8"/>
        <v>2030</v>
      </c>
    </row>
    <row r="188" spans="2:21" ht="14.4" x14ac:dyDescent="0.3">
      <c r="B188" s="3" t="s">
        <v>84</v>
      </c>
      <c r="C188" s="3" t="s">
        <v>7</v>
      </c>
      <c r="D188" s="3" t="s">
        <v>39</v>
      </c>
      <c r="E188" s="40">
        <f>SUM(X164:X167)</f>
        <v>8981.5999999999985</v>
      </c>
      <c r="F188" s="3" t="s">
        <v>35</v>
      </c>
      <c r="G188" s="3" t="s">
        <v>36</v>
      </c>
      <c r="H188" s="3" t="s">
        <v>29</v>
      </c>
      <c r="S188" s="94">
        <v>533.79999999999995</v>
      </c>
      <c r="T188" s="97">
        <v>47761</v>
      </c>
      <c r="U188" s="90">
        <f t="shared" si="8"/>
        <v>2030</v>
      </c>
    </row>
    <row r="189" spans="2:21" ht="14.4" x14ac:dyDescent="0.3">
      <c r="B189" s="3" t="s">
        <v>84</v>
      </c>
      <c r="C189" s="3" t="s">
        <v>7</v>
      </c>
      <c r="D189" s="3" t="s">
        <v>40</v>
      </c>
      <c r="E189" s="40">
        <f>SUM(X168:X171)</f>
        <v>3294.3999999999996</v>
      </c>
      <c r="F189" s="3" t="s">
        <v>35</v>
      </c>
      <c r="G189" s="3" t="s">
        <v>36</v>
      </c>
      <c r="H189" s="3" t="s">
        <v>29</v>
      </c>
      <c r="S189" s="94">
        <v>793.6</v>
      </c>
      <c r="T189" s="97">
        <v>47771</v>
      </c>
      <c r="U189" s="90">
        <f t="shared" si="8"/>
        <v>2030</v>
      </c>
    </row>
    <row r="190" spans="2:21" ht="14.4" x14ac:dyDescent="0.3">
      <c r="B190" s="3" t="s">
        <v>84</v>
      </c>
      <c r="C190" s="3" t="s">
        <v>7</v>
      </c>
      <c r="D190" s="3" t="s">
        <v>41</v>
      </c>
      <c r="E190" s="40">
        <f>SUM(E187:E189)</f>
        <v>31869.199999999997</v>
      </c>
      <c r="F190" s="3" t="s">
        <v>35</v>
      </c>
      <c r="G190" s="3" t="s">
        <v>36</v>
      </c>
      <c r="H190" s="3" t="s">
        <v>29</v>
      </c>
      <c r="S190" s="94">
        <v>695.2</v>
      </c>
      <c r="T190" s="97">
        <v>47953</v>
      </c>
      <c r="U190" s="90">
        <f t="shared" si="8"/>
        <v>2031</v>
      </c>
    </row>
    <row r="191" spans="2:21" x14ac:dyDescent="0.3">
      <c r="S191" s="94">
        <v>533</v>
      </c>
      <c r="T191" s="97">
        <v>47984</v>
      </c>
      <c r="U191" s="90">
        <f t="shared" si="8"/>
        <v>2031</v>
      </c>
    </row>
    <row r="192" spans="2:21" x14ac:dyDescent="0.3">
      <c r="S192" s="94">
        <v>692.9</v>
      </c>
      <c r="T192" s="97">
        <v>48106</v>
      </c>
      <c r="U192" s="90">
        <f t="shared" si="8"/>
        <v>2031</v>
      </c>
    </row>
    <row r="193" spans="19:21" x14ac:dyDescent="0.3">
      <c r="S193" s="94">
        <v>695.4</v>
      </c>
      <c r="T193" s="97">
        <v>48228</v>
      </c>
      <c r="U193" s="90">
        <f t="shared" si="8"/>
        <v>2032</v>
      </c>
    </row>
    <row r="194" spans="19:21" x14ac:dyDescent="0.3">
      <c r="S194" s="94">
        <v>643.1</v>
      </c>
      <c r="T194" s="97">
        <v>48288</v>
      </c>
      <c r="U194" s="90">
        <f t="shared" si="8"/>
        <v>2032</v>
      </c>
    </row>
    <row r="195" spans="19:21" x14ac:dyDescent="0.3">
      <c r="S195" s="94">
        <v>790.8</v>
      </c>
      <c r="T195" s="97">
        <v>48653</v>
      </c>
      <c r="U195" s="90">
        <f t="shared" si="8"/>
        <v>2033</v>
      </c>
    </row>
    <row r="196" spans="19:21" x14ac:dyDescent="0.3">
      <c r="S196" s="94">
        <v>533.4</v>
      </c>
      <c r="T196" s="97">
        <v>48720</v>
      </c>
      <c r="U196" s="90">
        <f t="shared" si="8"/>
        <v>2033</v>
      </c>
    </row>
    <row r="197" spans="19:21" x14ac:dyDescent="0.3">
      <c r="S197" s="94">
        <v>840.8</v>
      </c>
      <c r="T197" s="97">
        <v>48775</v>
      </c>
      <c r="U197" s="90">
        <f t="shared" si="8"/>
        <v>2033</v>
      </c>
    </row>
    <row r="198" spans="19:21" x14ac:dyDescent="0.3">
      <c r="S198" s="94">
        <v>741.7</v>
      </c>
      <c r="T198" s="97">
        <v>48898</v>
      </c>
      <c r="U198" s="90">
        <f t="shared" si="8"/>
        <v>2033</v>
      </c>
    </row>
    <row r="199" spans="19:21" x14ac:dyDescent="0.3">
      <c r="S199" s="94">
        <v>640</v>
      </c>
      <c r="T199" s="97">
        <v>48990</v>
      </c>
      <c r="U199" s="90">
        <f t="shared" si="8"/>
        <v>2034</v>
      </c>
    </row>
    <row r="200" spans="19:21" x14ac:dyDescent="0.3">
      <c r="S200" s="94">
        <v>592.5</v>
      </c>
      <c r="T200" s="97">
        <v>54711</v>
      </c>
      <c r="U200" s="90">
        <f t="shared" si="8"/>
        <v>2049</v>
      </c>
    </row>
    <row r="201" spans="19:21" x14ac:dyDescent="0.3">
      <c r="S201" s="94">
        <v>1038.5999999999999</v>
      </c>
      <c r="T201" s="97">
        <v>54954</v>
      </c>
      <c r="U201" s="90">
        <f t="shared" si="8"/>
        <v>2050</v>
      </c>
    </row>
    <row r="202" spans="19:21" x14ac:dyDescent="0.3">
      <c r="S202" s="94">
        <v>1023.3</v>
      </c>
      <c r="T202" s="97">
        <v>55168</v>
      </c>
      <c r="U202" s="90">
        <f t="shared" si="8"/>
        <v>2051</v>
      </c>
    </row>
    <row r="203" spans="19:21" x14ac:dyDescent="0.3">
      <c r="S203" s="95">
        <f>SUM(S158:S202)</f>
        <v>31869.199999999997</v>
      </c>
      <c r="T203" s="97"/>
    </row>
    <row r="204" spans="19:21" ht="14.4" x14ac:dyDescent="0.3">
      <c r="S20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7F43-4E38-4221-91D4-3ACAED09E764}">
  <dimension ref="A2:M83"/>
  <sheetViews>
    <sheetView showGridLines="0" workbookViewId="0">
      <selection activeCell="M94" sqref="M94"/>
    </sheetView>
  </sheetViews>
  <sheetFormatPr defaultRowHeight="14.4" x14ac:dyDescent="0.3"/>
  <cols>
    <col min="1" max="1" width="9.33203125" bestFit="1" customWidth="1"/>
    <col min="2" max="2" width="10.88671875" customWidth="1"/>
    <col min="4" max="4" width="9.33203125" bestFit="1" customWidth="1"/>
    <col min="5" max="5" width="13.77734375" bestFit="1" customWidth="1"/>
    <col min="6" max="6" width="10.5546875" bestFit="1" customWidth="1"/>
    <col min="7" max="7" width="11.109375" bestFit="1" customWidth="1"/>
    <col min="8" max="8" width="6.5546875" bestFit="1" customWidth="1"/>
    <col min="9" max="9" width="4.77734375" bestFit="1" customWidth="1"/>
    <col min="11" max="11" width="6.21875" style="84" bestFit="1" customWidth="1"/>
    <col min="12" max="12" width="6.88671875" style="84" bestFit="1" customWidth="1"/>
    <col min="13" max="13" width="8.88671875" style="84"/>
  </cols>
  <sheetData>
    <row r="2" spans="1:12" x14ac:dyDescent="0.3">
      <c r="A2" s="65" t="s">
        <v>80</v>
      </c>
      <c r="B2" s="8" t="s">
        <v>47</v>
      </c>
      <c r="C2" s="2"/>
      <c r="D2" s="2"/>
      <c r="E2" s="17"/>
      <c r="F2" s="2"/>
      <c r="G2" s="60"/>
    </row>
    <row r="3" spans="1:12" x14ac:dyDescent="0.3">
      <c r="A3" s="60"/>
      <c r="B3" s="2"/>
      <c r="C3" s="60"/>
      <c r="D3" s="60"/>
      <c r="E3" s="60"/>
      <c r="F3" s="60"/>
      <c r="G3" s="60"/>
    </row>
    <row r="4" spans="1:12" x14ac:dyDescent="0.3">
      <c r="A4" s="65" t="s">
        <v>34</v>
      </c>
      <c r="B4" s="67" t="s">
        <v>3</v>
      </c>
      <c r="C4" s="67" t="s">
        <v>49</v>
      </c>
      <c r="D4" s="67" t="s">
        <v>45</v>
      </c>
      <c r="E4" s="67" t="s">
        <v>78</v>
      </c>
      <c r="F4" s="67" t="s">
        <v>77</v>
      </c>
      <c r="G4" s="67" t="s">
        <v>46</v>
      </c>
      <c r="H4" s="67" t="s">
        <v>42</v>
      </c>
      <c r="I4" s="67" t="s">
        <v>48</v>
      </c>
      <c r="K4" s="86" t="s">
        <v>72</v>
      </c>
      <c r="L4" s="86" t="s">
        <v>42</v>
      </c>
    </row>
    <row r="5" spans="1:12" x14ac:dyDescent="0.3">
      <c r="A5" s="66" t="s">
        <v>82</v>
      </c>
      <c r="B5" s="66">
        <v>2024</v>
      </c>
      <c r="C5" s="68" t="s">
        <v>42</v>
      </c>
      <c r="D5" s="40">
        <v>1082.175</v>
      </c>
      <c r="E5" s="40">
        <v>226.589</v>
      </c>
      <c r="F5" s="40">
        <v>0.44500000000000001</v>
      </c>
      <c r="G5" s="40">
        <v>846.85299999999995</v>
      </c>
      <c r="H5" s="40">
        <f>SUM(D5:G5)</f>
        <v>2156.0619999999999</v>
      </c>
      <c r="I5" s="3" t="s">
        <v>35</v>
      </c>
      <c r="K5" s="3" t="s">
        <v>81</v>
      </c>
      <c r="L5" s="99">
        <f>H5</f>
        <v>2156.0619999999999</v>
      </c>
    </row>
    <row r="6" spans="1:12" x14ac:dyDescent="0.3">
      <c r="A6" s="66" t="s">
        <v>79</v>
      </c>
      <c r="B6" s="66" t="s">
        <v>4</v>
      </c>
      <c r="C6" s="68" t="s">
        <v>42</v>
      </c>
      <c r="D6" s="40">
        <v>372.51900000000001</v>
      </c>
      <c r="E6" s="40">
        <v>55.768999999999998</v>
      </c>
      <c r="F6" s="40">
        <v>0.78200000000000003</v>
      </c>
      <c r="G6" s="40">
        <v>212.12200000000001</v>
      </c>
      <c r="H6" s="40">
        <f>SUM(D6:G6)</f>
        <v>641.19200000000001</v>
      </c>
      <c r="I6" s="3" t="s">
        <v>35</v>
      </c>
      <c r="K6" s="3" t="s">
        <v>5</v>
      </c>
      <c r="L6" s="100">
        <f>L5-SUM(L7:L9)</f>
        <v>556.35400000000004</v>
      </c>
    </row>
    <row r="7" spans="1:12" x14ac:dyDescent="0.3">
      <c r="A7" s="66" t="s">
        <v>79</v>
      </c>
      <c r="B7" s="66" t="s">
        <v>6</v>
      </c>
      <c r="C7" s="68" t="s">
        <v>42</v>
      </c>
      <c r="D7" s="40">
        <v>254.00700000000001</v>
      </c>
      <c r="E7" s="40">
        <v>57.078000000000003</v>
      </c>
      <c r="F7" s="40">
        <v>-6.2E-2</v>
      </c>
      <c r="G7" s="40">
        <v>206.923</v>
      </c>
      <c r="H7" s="40">
        <f>SUM(D7:G7)</f>
        <v>517.94600000000003</v>
      </c>
      <c r="I7" s="3" t="s">
        <v>35</v>
      </c>
      <c r="K7" s="3" t="s">
        <v>4</v>
      </c>
      <c r="L7" s="100">
        <f>H6</f>
        <v>641.19200000000001</v>
      </c>
    </row>
    <row r="8" spans="1:12" x14ac:dyDescent="0.3">
      <c r="A8" s="66" t="s">
        <v>79</v>
      </c>
      <c r="B8" s="66" t="s">
        <v>7</v>
      </c>
      <c r="C8" s="68" t="s">
        <v>42</v>
      </c>
      <c r="D8" s="40">
        <v>173.55699999999999</v>
      </c>
      <c r="E8" s="40">
        <v>54.765999999999998</v>
      </c>
      <c r="F8" s="40">
        <v>-2.1999999999999999E-2</v>
      </c>
      <c r="G8" s="40">
        <v>212.26900000000001</v>
      </c>
      <c r="H8" s="40">
        <f>SUM(D8:G8)</f>
        <v>440.57</v>
      </c>
      <c r="I8" s="3" t="s">
        <v>35</v>
      </c>
      <c r="K8" s="3" t="s">
        <v>6</v>
      </c>
      <c r="L8" s="100">
        <f t="shared" ref="L8:L9" si="0">H7</f>
        <v>517.94600000000003</v>
      </c>
    </row>
    <row r="9" spans="1:12" x14ac:dyDescent="0.3">
      <c r="A9" s="66"/>
      <c r="B9" s="66"/>
      <c r="K9" s="3" t="s">
        <v>7</v>
      </c>
      <c r="L9" s="100">
        <f t="shared" si="0"/>
        <v>440.57</v>
      </c>
    </row>
    <row r="22" spans="1:12" x14ac:dyDescent="0.3">
      <c r="A22" s="65" t="s">
        <v>66</v>
      </c>
      <c r="B22" s="67" t="s">
        <v>83</v>
      </c>
      <c r="C22" s="67" t="s">
        <v>49</v>
      </c>
      <c r="D22" s="67" t="s">
        <v>45</v>
      </c>
      <c r="E22" s="67" t="s">
        <v>78</v>
      </c>
      <c r="F22" s="67" t="s">
        <v>77</v>
      </c>
      <c r="G22" s="67" t="s">
        <v>46</v>
      </c>
      <c r="H22" s="67" t="s">
        <v>42</v>
      </c>
      <c r="I22" s="67" t="s">
        <v>48</v>
      </c>
      <c r="K22" s="86" t="s">
        <v>72</v>
      </c>
      <c r="L22" s="86" t="s">
        <v>42</v>
      </c>
    </row>
    <row r="23" spans="1:12" x14ac:dyDescent="0.3">
      <c r="A23" s="66" t="s">
        <v>82</v>
      </c>
      <c r="B23" s="66">
        <v>2024</v>
      </c>
      <c r="C23" s="68" t="s">
        <v>42</v>
      </c>
      <c r="D23" s="85">
        <f>-3903</f>
        <v>-3903</v>
      </c>
      <c r="E23" s="68">
        <v>932</v>
      </c>
      <c r="F23" s="66">
        <v>24</v>
      </c>
      <c r="G23" s="66">
        <v>1738</v>
      </c>
      <c r="H23" s="3">
        <f>SUM(D23:G23)</f>
        <v>-1209</v>
      </c>
      <c r="I23" s="3" t="s">
        <v>35</v>
      </c>
      <c r="K23" s="3" t="s">
        <v>81</v>
      </c>
      <c r="L23" s="99">
        <f>H23</f>
        <v>-1209</v>
      </c>
    </row>
    <row r="24" spans="1:12" x14ac:dyDescent="0.3">
      <c r="A24" s="66" t="s">
        <v>79</v>
      </c>
      <c r="B24" s="66" t="s">
        <v>4</v>
      </c>
      <c r="C24" s="68" t="s">
        <v>42</v>
      </c>
      <c r="D24" s="3">
        <v>303</v>
      </c>
      <c r="E24" s="68">
        <v>236</v>
      </c>
      <c r="F24" s="66">
        <v>5</v>
      </c>
      <c r="G24" s="66">
        <v>432</v>
      </c>
      <c r="H24" s="3">
        <f>SUM(D24:G24)</f>
        <v>976</v>
      </c>
      <c r="I24" s="3" t="s">
        <v>35</v>
      </c>
      <c r="K24" s="3" t="s">
        <v>5</v>
      </c>
      <c r="L24" s="100">
        <f>L23-SUM(L25:L27)</f>
        <v>-4086</v>
      </c>
    </row>
    <row r="25" spans="1:12" x14ac:dyDescent="0.3">
      <c r="A25" s="66" t="s">
        <v>79</v>
      </c>
      <c r="B25" s="66" t="s">
        <v>6</v>
      </c>
      <c r="C25" s="68" t="s">
        <v>42</v>
      </c>
      <c r="D25" s="3">
        <v>251</v>
      </c>
      <c r="E25" s="68">
        <v>230</v>
      </c>
      <c r="F25" s="66">
        <v>7</v>
      </c>
      <c r="G25" s="66">
        <v>430</v>
      </c>
      <c r="H25" s="3">
        <f t="shared" ref="H25:H26" si="1">SUM(D25:G25)</f>
        <v>918</v>
      </c>
      <c r="I25" s="3" t="s">
        <v>35</v>
      </c>
      <c r="K25" s="3" t="s">
        <v>4</v>
      </c>
      <c r="L25" s="100">
        <f>H24</f>
        <v>976</v>
      </c>
    </row>
    <row r="26" spans="1:12" x14ac:dyDescent="0.3">
      <c r="A26" s="66" t="s">
        <v>79</v>
      </c>
      <c r="B26" s="66" t="s">
        <v>7</v>
      </c>
      <c r="C26" s="68" t="s">
        <v>42</v>
      </c>
      <c r="D26" s="3">
        <v>311</v>
      </c>
      <c r="E26" s="68">
        <v>226</v>
      </c>
      <c r="F26" s="66">
        <v>7</v>
      </c>
      <c r="G26" s="66">
        <v>439</v>
      </c>
      <c r="H26" s="3">
        <f t="shared" si="1"/>
        <v>983</v>
      </c>
      <c r="I26" s="3" t="s">
        <v>35</v>
      </c>
      <c r="K26" s="3" t="s">
        <v>6</v>
      </c>
      <c r="L26" s="100">
        <f>H25</f>
        <v>918</v>
      </c>
    </row>
    <row r="27" spans="1:12" x14ac:dyDescent="0.3">
      <c r="A27" s="66"/>
      <c r="B27" s="66"/>
      <c r="C27" s="68"/>
      <c r="D27" s="85"/>
      <c r="E27" s="68"/>
      <c r="F27" s="66"/>
      <c r="G27" s="66"/>
      <c r="H27" s="3"/>
      <c r="I27" s="3"/>
      <c r="K27" s="3" t="s">
        <v>7</v>
      </c>
      <c r="L27" s="100">
        <f>H26</f>
        <v>983</v>
      </c>
    </row>
    <row r="41" spans="1:12" x14ac:dyDescent="0.3">
      <c r="A41" s="65" t="s">
        <v>84</v>
      </c>
      <c r="B41" s="67" t="s">
        <v>83</v>
      </c>
      <c r="C41" s="67" t="s">
        <v>49</v>
      </c>
      <c r="D41" s="67" t="s">
        <v>45</v>
      </c>
      <c r="E41" s="67" t="s">
        <v>78</v>
      </c>
      <c r="F41" s="67" t="s">
        <v>77</v>
      </c>
      <c r="G41" s="67" t="s">
        <v>46</v>
      </c>
      <c r="H41" s="67" t="s">
        <v>42</v>
      </c>
      <c r="I41" s="67" t="s">
        <v>48</v>
      </c>
      <c r="K41" s="86" t="s">
        <v>72</v>
      </c>
      <c r="L41" s="86" t="s">
        <v>42</v>
      </c>
    </row>
    <row r="42" spans="1:12" x14ac:dyDescent="0.3">
      <c r="A42" s="66" t="s">
        <v>82</v>
      </c>
      <c r="B42" s="66">
        <v>2024</v>
      </c>
      <c r="C42" s="68" t="s">
        <v>42</v>
      </c>
      <c r="D42" s="40">
        <v>2280.1999999999998</v>
      </c>
      <c r="E42" s="68">
        <v>1404.5</v>
      </c>
      <c r="F42" s="68">
        <v>366.3</v>
      </c>
      <c r="G42" s="68">
        <v>2028.8</v>
      </c>
      <c r="H42" s="40">
        <f>SUM(D42:G42)</f>
        <v>6079.8</v>
      </c>
      <c r="I42" s="3" t="s">
        <v>35</v>
      </c>
      <c r="K42" s="3" t="s">
        <v>81</v>
      </c>
      <c r="L42" s="68">
        <f>H42</f>
        <v>6079.8</v>
      </c>
    </row>
    <row r="43" spans="1:12" x14ac:dyDescent="0.3">
      <c r="A43" s="66" t="s">
        <v>79</v>
      </c>
      <c r="B43" s="66" t="s">
        <v>4</v>
      </c>
      <c r="C43" s="68" t="s">
        <v>42</v>
      </c>
      <c r="D43" s="40">
        <v>-780.4</v>
      </c>
      <c r="E43" s="68">
        <v>356.8</v>
      </c>
      <c r="F43" s="68">
        <v>122.4</v>
      </c>
      <c r="G43" s="68">
        <v>498.5</v>
      </c>
      <c r="H43" s="40">
        <f>SUM(D43:G43)</f>
        <v>197.30000000000007</v>
      </c>
      <c r="I43" s="3" t="s">
        <v>35</v>
      </c>
      <c r="K43" s="3" t="s">
        <v>5</v>
      </c>
      <c r="L43" s="68">
        <f>L42-SUM(L44:L46)</f>
        <v>1980.5999999999995</v>
      </c>
    </row>
    <row r="44" spans="1:12" x14ac:dyDescent="0.3">
      <c r="A44" s="66" t="s">
        <v>79</v>
      </c>
      <c r="B44" s="66" t="s">
        <v>6</v>
      </c>
      <c r="C44" s="68" t="s">
        <v>42</v>
      </c>
      <c r="D44" s="98">
        <v>908.4</v>
      </c>
      <c r="E44" s="68">
        <v>365.4</v>
      </c>
      <c r="F44" s="68">
        <v>120</v>
      </c>
      <c r="G44" s="68">
        <v>561.70000000000005</v>
      </c>
      <c r="H44" s="40">
        <f>SUM(D44:G44)</f>
        <v>1955.5</v>
      </c>
      <c r="I44" s="3" t="s">
        <v>35</v>
      </c>
      <c r="K44" s="3" t="s">
        <v>4</v>
      </c>
      <c r="L44" s="68">
        <f>H43</f>
        <v>197.30000000000007</v>
      </c>
    </row>
    <row r="45" spans="1:12" x14ac:dyDescent="0.3">
      <c r="A45" s="66" t="s">
        <v>79</v>
      </c>
      <c r="B45" s="66" t="s">
        <v>7</v>
      </c>
      <c r="C45" s="68" t="s">
        <v>42</v>
      </c>
      <c r="D45" s="98">
        <v>921</v>
      </c>
      <c r="E45" s="68">
        <v>367</v>
      </c>
      <c r="F45" s="68">
        <v>109</v>
      </c>
      <c r="G45" s="68">
        <v>549.4</v>
      </c>
      <c r="H45" s="40">
        <f>SUM(D45:G45)</f>
        <v>1946.4</v>
      </c>
      <c r="I45" s="3" t="s">
        <v>35</v>
      </c>
      <c r="K45" s="3" t="s">
        <v>6</v>
      </c>
      <c r="L45" s="68">
        <f>H44</f>
        <v>1955.5</v>
      </c>
    </row>
    <row r="46" spans="1:12" x14ac:dyDescent="0.3">
      <c r="K46" s="3" t="s">
        <v>7</v>
      </c>
      <c r="L46" s="68">
        <f>H45</f>
        <v>1946.4</v>
      </c>
    </row>
    <row r="59" spans="1:12" x14ac:dyDescent="0.3">
      <c r="A59" s="66"/>
    </row>
    <row r="60" spans="1:12" x14ac:dyDescent="0.3">
      <c r="A60" s="65" t="s">
        <v>90</v>
      </c>
      <c r="B60" s="67" t="s">
        <v>83</v>
      </c>
      <c r="C60" s="67" t="s">
        <v>49</v>
      </c>
      <c r="D60" s="67" t="s">
        <v>45</v>
      </c>
      <c r="E60" s="67" t="s">
        <v>78</v>
      </c>
      <c r="F60" s="67" t="s">
        <v>77</v>
      </c>
      <c r="G60" s="67" t="s">
        <v>46</v>
      </c>
      <c r="H60" s="67" t="s">
        <v>42</v>
      </c>
      <c r="I60" s="67" t="s">
        <v>48</v>
      </c>
      <c r="K60" s="86" t="s">
        <v>72</v>
      </c>
      <c r="L60" s="86" t="s">
        <v>42</v>
      </c>
    </row>
    <row r="61" spans="1:12" x14ac:dyDescent="0.3">
      <c r="A61" s="66" t="s">
        <v>82</v>
      </c>
      <c r="B61" s="66">
        <v>2024</v>
      </c>
      <c r="C61" s="68" t="s">
        <v>42</v>
      </c>
      <c r="D61" s="40">
        <v>3947.9349999999999</v>
      </c>
      <c r="E61" s="68">
        <v>863.93200000000002</v>
      </c>
      <c r="F61" s="68">
        <v>166.94300000000001</v>
      </c>
      <c r="G61" s="68">
        <v>2580.5189999999998</v>
      </c>
      <c r="H61" s="40">
        <f>SUM(D61:G61)</f>
        <v>7559.3289999999997</v>
      </c>
      <c r="I61" s="3" t="s">
        <v>35</v>
      </c>
      <c r="K61" s="3" t="s">
        <v>81</v>
      </c>
      <c r="L61" s="68">
        <f>H61</f>
        <v>7559.3289999999997</v>
      </c>
    </row>
    <row r="62" spans="1:12" x14ac:dyDescent="0.3">
      <c r="A62" s="66" t="s">
        <v>79</v>
      </c>
      <c r="B62" s="66" t="s">
        <v>4</v>
      </c>
      <c r="C62" s="68" t="s">
        <v>42</v>
      </c>
      <c r="D62" s="40">
        <v>1063.415</v>
      </c>
      <c r="E62" s="68">
        <v>230.113</v>
      </c>
      <c r="F62" s="68">
        <v>4.2140000000000004</v>
      </c>
      <c r="G62" s="68">
        <v>649.26499999999999</v>
      </c>
      <c r="H62" s="40">
        <f t="shared" ref="H62:H64" si="2">SUM(D62:G62)</f>
        <v>1947.0070000000001</v>
      </c>
      <c r="I62" s="3" t="s">
        <v>35</v>
      </c>
      <c r="K62" s="3" t="s">
        <v>5</v>
      </c>
      <c r="L62" s="68">
        <f>L61-SUM(L63:L65)</f>
        <v>2317.7579999999998</v>
      </c>
    </row>
    <row r="63" spans="1:12" x14ac:dyDescent="0.3">
      <c r="A63" s="66" t="s">
        <v>79</v>
      </c>
      <c r="B63" s="66" t="s">
        <v>6</v>
      </c>
      <c r="C63" s="68" t="s">
        <v>42</v>
      </c>
      <c r="D63" s="40">
        <v>911.50099999999998</v>
      </c>
      <c r="E63" s="68">
        <v>208.267</v>
      </c>
      <c r="F63" s="68">
        <v>43.058999999999997</v>
      </c>
      <c r="G63" s="68">
        <v>637.30499999999995</v>
      </c>
      <c r="H63" s="40">
        <f>SUM(D63:G63)</f>
        <v>1800.1320000000001</v>
      </c>
      <c r="I63" s="3" t="s">
        <v>35</v>
      </c>
      <c r="K63" s="3" t="s">
        <v>4</v>
      </c>
      <c r="L63" s="68">
        <f>H62</f>
        <v>1947.0070000000001</v>
      </c>
    </row>
    <row r="64" spans="1:12" x14ac:dyDescent="0.3">
      <c r="A64" s="66" t="s">
        <v>79</v>
      </c>
      <c r="B64" s="66" t="s">
        <v>7</v>
      </c>
      <c r="C64" s="68" t="s">
        <v>42</v>
      </c>
      <c r="D64" s="40">
        <v>630.80700000000002</v>
      </c>
      <c r="E64" s="68">
        <v>193.32</v>
      </c>
      <c r="F64" s="68">
        <v>32.799999999999997</v>
      </c>
      <c r="G64" s="68">
        <v>637.505</v>
      </c>
      <c r="H64" s="40">
        <f t="shared" si="2"/>
        <v>1494.4319999999998</v>
      </c>
      <c r="I64" s="3" t="s">
        <v>35</v>
      </c>
      <c r="K64" s="3" t="s">
        <v>6</v>
      </c>
      <c r="L64" s="68">
        <f>H63</f>
        <v>1800.1320000000001</v>
      </c>
    </row>
    <row r="65" spans="1:12" x14ac:dyDescent="0.3">
      <c r="K65" s="3" t="s">
        <v>7</v>
      </c>
      <c r="L65" s="68">
        <f>H64</f>
        <v>1494.4319999999998</v>
      </c>
    </row>
    <row r="67" spans="1:12" x14ac:dyDescent="0.3">
      <c r="H67" s="107"/>
      <c r="L67" s="108"/>
    </row>
    <row r="78" spans="1:12" x14ac:dyDescent="0.3">
      <c r="A78" s="65" t="s">
        <v>96</v>
      </c>
      <c r="B78" s="67" t="s">
        <v>83</v>
      </c>
      <c r="C78" s="67" t="s">
        <v>49</v>
      </c>
      <c r="D78" s="67" t="s">
        <v>45</v>
      </c>
      <c r="E78" s="67" t="s">
        <v>78</v>
      </c>
      <c r="F78" s="67" t="s">
        <v>77</v>
      </c>
      <c r="G78" s="67" t="s">
        <v>46</v>
      </c>
      <c r="H78" s="67" t="s">
        <v>42</v>
      </c>
      <c r="I78" s="67" t="s">
        <v>48</v>
      </c>
      <c r="K78" s="86" t="s">
        <v>72</v>
      </c>
      <c r="L78" s="86" t="s">
        <v>42</v>
      </c>
    </row>
    <row r="79" spans="1:12" x14ac:dyDescent="0.3">
      <c r="A79" s="66" t="s">
        <v>82</v>
      </c>
      <c r="B79" s="66">
        <v>2024</v>
      </c>
      <c r="C79" s="68" t="s">
        <v>42</v>
      </c>
      <c r="D79" s="40">
        <v>972.85699999999997</v>
      </c>
      <c r="E79" s="40">
        <v>574.26099999999997</v>
      </c>
      <c r="F79" s="40">
        <v>2.7</v>
      </c>
      <c r="G79" s="40">
        <v>1632.0930000000001</v>
      </c>
      <c r="H79" s="40">
        <f>SUM(D79:G79)</f>
        <v>3181.9110000000001</v>
      </c>
      <c r="I79" s="3" t="s">
        <v>35</v>
      </c>
      <c r="K79" s="3" t="s">
        <v>81</v>
      </c>
      <c r="L79" s="68">
        <f>H79</f>
        <v>3181.9110000000001</v>
      </c>
    </row>
    <row r="80" spans="1:12" x14ac:dyDescent="0.3">
      <c r="A80" s="66" t="s">
        <v>79</v>
      </c>
      <c r="B80" s="66" t="s">
        <v>4</v>
      </c>
      <c r="C80" s="68" t="s">
        <v>42</v>
      </c>
      <c r="D80" s="40">
        <v>456.8</v>
      </c>
      <c r="E80" s="40">
        <v>139.05000000000001</v>
      </c>
      <c r="F80" s="40">
        <v>-4.7060000000000004</v>
      </c>
      <c r="G80" s="40">
        <v>403.779</v>
      </c>
      <c r="H80" s="40">
        <f>SUM(D80:G80)</f>
        <v>994.923</v>
      </c>
      <c r="I80" s="3" t="s">
        <v>35</v>
      </c>
      <c r="K80" s="3" t="s">
        <v>5</v>
      </c>
      <c r="L80" s="68">
        <f>L79-SUM(L81:L83)</f>
        <v>758.74200000000019</v>
      </c>
    </row>
    <row r="81" spans="1:12" x14ac:dyDescent="0.3">
      <c r="A81" s="66" t="s">
        <v>79</v>
      </c>
      <c r="B81" s="66" t="s">
        <v>6</v>
      </c>
      <c r="C81" s="68" t="s">
        <v>42</v>
      </c>
      <c r="D81" s="40">
        <v>260.67</v>
      </c>
      <c r="E81" s="40">
        <v>133.42400000000001</v>
      </c>
      <c r="F81" s="40">
        <v>1.101</v>
      </c>
      <c r="G81" s="40">
        <v>382.04500000000002</v>
      </c>
      <c r="H81" s="40">
        <f t="shared" ref="H81" si="3">SUM(D81:G81)</f>
        <v>777.24</v>
      </c>
      <c r="I81" s="3" t="s">
        <v>35</v>
      </c>
      <c r="K81" s="3" t="s">
        <v>4</v>
      </c>
      <c r="L81" s="68">
        <f>H80</f>
        <v>994.923</v>
      </c>
    </row>
    <row r="82" spans="1:12" x14ac:dyDescent="0.3">
      <c r="A82" s="66" t="s">
        <v>79</v>
      </c>
      <c r="B82" s="66" t="s">
        <v>7</v>
      </c>
      <c r="C82" s="68" t="s">
        <v>42</v>
      </c>
      <c r="D82" s="40">
        <v>131.63399999999999</v>
      </c>
      <c r="E82" s="40">
        <v>147.31800000000001</v>
      </c>
      <c r="F82" s="40">
        <v>6.1909999999999998</v>
      </c>
      <c r="G82" s="40">
        <v>365.863</v>
      </c>
      <c r="H82" s="40">
        <f>SUM(D82:G82)</f>
        <v>651.00599999999997</v>
      </c>
      <c r="I82" s="3" t="s">
        <v>35</v>
      </c>
      <c r="K82" s="3" t="s">
        <v>6</v>
      </c>
      <c r="L82" s="68">
        <f>H81</f>
        <v>777.24</v>
      </c>
    </row>
    <row r="83" spans="1:12" x14ac:dyDescent="0.3">
      <c r="K83" s="3" t="s">
        <v>7</v>
      </c>
      <c r="L83" s="68">
        <f>H82</f>
        <v>651.00599999999997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WELL</vt:lpstr>
      <vt:lpstr>WELL Manual</vt:lpstr>
      <vt:lpstr>WELL LLM API</vt:lpstr>
      <vt:lpstr>WELL Script</vt:lpstr>
      <vt:lpstr>PLD</vt:lpstr>
      <vt:lpstr>PLD Manual</vt:lpstr>
      <vt:lpstr>PLD LLM API</vt:lpstr>
      <vt:lpstr>PLD Script</vt:lpstr>
      <vt:lpstr>CCI</vt:lpstr>
      <vt:lpstr>CCI Manual</vt:lpstr>
      <vt:lpstr>CCI LLM API</vt:lpstr>
      <vt:lpstr>CCI Script</vt:lpstr>
      <vt:lpstr>AVB</vt:lpstr>
      <vt:lpstr>AVB Manual</vt:lpstr>
      <vt:lpstr>AVB LLM API</vt:lpstr>
      <vt:lpstr>AVB Script</vt:lpstr>
      <vt:lpstr>AMT</vt:lpstr>
      <vt:lpstr>AMT Manual</vt:lpstr>
      <vt:lpstr>AMT LLM API</vt:lpstr>
      <vt:lpstr>AMT Script</vt:lpstr>
      <vt:lpstr>EBITDA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FinCoFella LLC</dc:creator>
  <cp:lastModifiedBy>FinCoFella LLC</cp:lastModifiedBy>
  <dcterms:created xsi:type="dcterms:W3CDTF">2025-06-10T07:25:13Z</dcterms:created>
  <dcterms:modified xsi:type="dcterms:W3CDTF">2025-08-27T22:41:13Z</dcterms:modified>
</cp:coreProperties>
</file>