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case0-my.sharepoint.com/personal/gal81_case_edu/Documents/Desktop/Projects/"/>
    </mc:Choice>
  </mc:AlternateContent>
  <xr:revisionPtr revIDLastSave="14" documentId="13_ncr:1_{A7A04B59-058F-4640-BCC6-23E91A5A9183}" xr6:coauthVersionLast="47" xr6:coauthVersionMax="47" xr10:uidLastSave="{81A17E04-5CF3-4614-A033-3FE307829336}"/>
  <bookViews>
    <workbookView xWindow="-120" yWindow="-120" windowWidth="20730" windowHeight="11040" firstSheet="1" activeTab="3" xr2:uid="{793DEB1C-CB95-40F3-A4F2-CBC26A3E9B76}"/>
  </bookViews>
  <sheets>
    <sheet name="Introduction" sheetId="2" r:id="rId1"/>
    <sheet name="Summary Stock Performance" sheetId="5" r:id="rId2"/>
    <sheet name="Comm Size &amp; Hor Analysis" sheetId="6" r:id="rId3"/>
    <sheet name="Financial Statements" sheetId="7" r:id="rId4"/>
    <sheet name="Predictive Model" sheetId="16" r:id="rId5"/>
    <sheet name="Revenue Analysis" sheetId="9" r:id="rId6"/>
    <sheet name="Supporting Schedules" sheetId="11" r:id="rId7"/>
    <sheet name="Mid-term DCF" sheetId="8" r:id="rId8"/>
    <sheet name="Assumptions" sheetId="10" r:id="rId9"/>
    <sheet name="Depreciation" sheetId="12" r:id="rId10"/>
    <sheet name="Trading Comps" sheetId="13" r:id="rId11"/>
    <sheet name="WACC" sheetId="17" r:id="rId12"/>
  </sheets>
  <externalReferences>
    <externalReference r:id="rId13"/>
    <externalReference r:id="rId14"/>
  </externalReferences>
  <definedNames>
    <definedName name="_xlnm._FilterDatabase" localSheetId="4" hidden="1">'Predictive Model'!$A$1:$A$1048</definedName>
    <definedName name="asd" localSheetId="8">#REF!</definedName>
    <definedName name="asd" localSheetId="2">#REF!</definedName>
    <definedName name="asd" localSheetId="9">#REF!</definedName>
    <definedName name="asd" localSheetId="3">#REF!</definedName>
    <definedName name="asd" localSheetId="7">#REF!</definedName>
    <definedName name="asd" localSheetId="5">#REF!</definedName>
    <definedName name="asd" localSheetId="6">#REF!</definedName>
    <definedName name="asd" localSheetId="10">#REF!</definedName>
    <definedName name="asd" localSheetId="11">#REF!</definedName>
    <definedName name="asd">#REF!</definedName>
    <definedName name="Case">Depreciation!$M$7</definedName>
    <definedName name="Case1" localSheetId="8">#REF!</definedName>
    <definedName name="Case1" localSheetId="2">#REF!</definedName>
    <definedName name="Case1" localSheetId="9">#REF!</definedName>
    <definedName name="Case1" localSheetId="3">#REF!</definedName>
    <definedName name="Case1" localSheetId="7">#REF!</definedName>
    <definedName name="Case1" localSheetId="5">#REF!</definedName>
    <definedName name="Case1" localSheetId="6">#REF!</definedName>
    <definedName name="Case1" localSheetId="10">#REF!</definedName>
    <definedName name="Case1" localSheetId="11">#REF!</definedName>
    <definedName name="Case1">#REF!</definedName>
    <definedName name="Case2">'[1]Revenues Analysis'!$M$7</definedName>
    <definedName name="Case4">'[1]Revenues Analysis'!$M$7</definedName>
    <definedName name="CIQWBGuid" hidden="1">"2cd8126d-26c3-430c-b7fa-a069e3a1fc62"</definedName>
    <definedName name="Circ" localSheetId="8">#REF!</definedName>
    <definedName name="Circ" localSheetId="2">#REF!</definedName>
    <definedName name="Circ" localSheetId="9">#REF!</definedName>
    <definedName name="Circ" localSheetId="3">#REF!</definedName>
    <definedName name="Circ" localSheetId="7">#REF!</definedName>
    <definedName name="Circ" localSheetId="5">#REF!</definedName>
    <definedName name="Circ" localSheetId="6">#REF!</definedName>
    <definedName name="Circ" localSheetId="10">#REF!</definedName>
    <definedName name="Circ" localSheetId="11">#REF!</definedName>
    <definedName name="Circ">#REF!</definedName>
    <definedName name="Forecast" localSheetId="8">#REF!</definedName>
    <definedName name="Forecast" localSheetId="2">#REF!</definedName>
    <definedName name="Forecast" localSheetId="9">#REF!</definedName>
    <definedName name="Forecast" localSheetId="3">#REF!</definedName>
    <definedName name="Forecast" localSheetId="7">#REF!</definedName>
    <definedName name="Forecast" localSheetId="5">#REF!</definedName>
    <definedName name="Forecast" localSheetId="6">#REF!</definedName>
    <definedName name="Forecast" localSheetId="10">#REF!</definedName>
    <definedName name="Forecast" localSheetId="11">#REF!</definedName>
    <definedName name="Forecast">#REF!</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41666.7099189815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_xlnm.Print_Area" localSheetId="1">'Summary Stock Performance'!$A$1:$J$36</definedName>
    <definedName name="Step_1" localSheetId="8">#REF!</definedName>
    <definedName name="Step_1" localSheetId="2">#REF!</definedName>
    <definedName name="Step_1" localSheetId="9">#REF!</definedName>
    <definedName name="Step_1" localSheetId="3">#REF!</definedName>
    <definedName name="Step_1" localSheetId="7">#REF!</definedName>
    <definedName name="Step_1" localSheetId="5">#REF!</definedName>
    <definedName name="Step_1" localSheetId="6">#REF!</definedName>
    <definedName name="Step_1" localSheetId="10">#REF!</definedName>
    <definedName name="Step_1" localSheetId="11">#REF!</definedName>
    <definedName name="Step_1">#REF!</definedName>
    <definedName name="Step_2" localSheetId="8">#REF!</definedName>
    <definedName name="Step_2" localSheetId="2">#REF!</definedName>
    <definedName name="Step_2" localSheetId="9">#REF!</definedName>
    <definedName name="Step_2" localSheetId="3">#REF!</definedName>
    <definedName name="Step_2" localSheetId="7">#REF!</definedName>
    <definedName name="Step_2" localSheetId="5">#REF!</definedName>
    <definedName name="Step_2" localSheetId="6">#REF!</definedName>
    <definedName name="Step_2" localSheetId="10">#REF!</definedName>
    <definedName name="Step_2" localSheetId="11">#REF!</definedName>
    <definedName name="Step_2">#REF!</definedName>
    <definedName name="Step_3" localSheetId="8">#REF!</definedName>
    <definedName name="Step_3" localSheetId="2">#REF!</definedName>
    <definedName name="Step_3" localSheetId="9">#REF!</definedName>
    <definedName name="Step_3" localSheetId="3">#REF!</definedName>
    <definedName name="Step_3" localSheetId="7">#REF!</definedName>
    <definedName name="Step_3" localSheetId="5">#REF!</definedName>
    <definedName name="Step_3" localSheetId="6">#REF!</definedName>
    <definedName name="Step_3" localSheetId="10">#REF!</definedName>
    <definedName name="Step_3" localSheetId="11">#REF!</definedName>
    <definedName name="Step_3">#REF!</definedName>
    <definedName name="Step_4" localSheetId="8">#REF!</definedName>
    <definedName name="Step_4" localSheetId="2">#REF!</definedName>
    <definedName name="Step_4" localSheetId="9">#REF!</definedName>
    <definedName name="Step_4" localSheetId="3">#REF!</definedName>
    <definedName name="Step_4" localSheetId="7">#REF!</definedName>
    <definedName name="Step_4" localSheetId="5">#REF!</definedName>
    <definedName name="Step_4" localSheetId="6">#REF!</definedName>
    <definedName name="Step_4" localSheetId="10">#REF!</definedName>
    <definedName name="Step_4" localSheetId="11">#REF!</definedName>
    <definedName name="Step_4">#REF!</definedName>
    <definedName name="Step_5" localSheetId="8">#REF!</definedName>
    <definedName name="Step_5" localSheetId="2">#REF!</definedName>
    <definedName name="Step_5" localSheetId="9">#REF!</definedName>
    <definedName name="Step_5" localSheetId="3">#REF!</definedName>
    <definedName name="Step_5" localSheetId="7">#REF!</definedName>
    <definedName name="Step_5" localSheetId="5">#REF!</definedName>
    <definedName name="Step_5" localSheetId="6">#REF!</definedName>
    <definedName name="Step_5" localSheetId="10">#REF!</definedName>
    <definedName name="Step_5" localSheetId="11">#REF!</definedName>
    <definedName name="Step_5">#REF!</definedName>
    <definedName name="Step_6" localSheetId="8">#REF!</definedName>
    <definedName name="Step_6" localSheetId="2">#REF!</definedName>
    <definedName name="Step_6" localSheetId="9">#REF!</definedName>
    <definedName name="Step_6" localSheetId="3">#REF!</definedName>
    <definedName name="Step_6" localSheetId="7">#REF!</definedName>
    <definedName name="Step_6" localSheetId="5">#REF!</definedName>
    <definedName name="Step_6" localSheetId="6">#REF!</definedName>
    <definedName name="Step_6" localSheetId="10">#REF!</definedName>
    <definedName name="Step_6" localSheetId="11">#REF!</definedName>
    <definedName name="Step_6">#REF!</definedName>
    <definedName name="Step1" localSheetId="8">#REF!</definedName>
    <definedName name="Step1" localSheetId="2">#REF!</definedName>
    <definedName name="Step1" localSheetId="9">#REF!</definedName>
    <definedName name="Step1" localSheetId="3">#REF!</definedName>
    <definedName name="Step1" localSheetId="7">#REF!</definedName>
    <definedName name="Step1" localSheetId="5">#REF!</definedName>
    <definedName name="Step1" localSheetId="6">#REF!</definedName>
    <definedName name="Step1" localSheetId="10">#REF!</definedName>
    <definedName name="Step1" localSheetId="11">#REF!</definedName>
    <definedName name="Step1">#REF!</definedName>
    <definedName name="Step2" localSheetId="8">#REF!</definedName>
    <definedName name="Step2" localSheetId="2">#REF!</definedName>
    <definedName name="Step2" localSheetId="9">#REF!</definedName>
    <definedName name="Step2" localSheetId="3">#REF!</definedName>
    <definedName name="Step2" localSheetId="7">#REF!</definedName>
    <definedName name="Step2" localSheetId="5">#REF!</definedName>
    <definedName name="Step2" localSheetId="6">#REF!</definedName>
    <definedName name="Step2" localSheetId="10">#REF!</definedName>
    <definedName name="Step2" localSheetId="11">#REF!</definedName>
    <definedName name="Step2">#REF!</definedName>
    <definedName name="Step3" localSheetId="8">#REF!</definedName>
    <definedName name="Step3" localSheetId="2">#REF!</definedName>
    <definedName name="Step3" localSheetId="9">#REF!</definedName>
    <definedName name="Step3" localSheetId="3">#REF!</definedName>
    <definedName name="Step3" localSheetId="7">#REF!</definedName>
    <definedName name="Step3" localSheetId="5">#REF!</definedName>
    <definedName name="Step3" localSheetId="6">#REF!</definedName>
    <definedName name="Step3" localSheetId="10">#REF!</definedName>
    <definedName name="Step3" localSheetId="11">#REF!</definedName>
    <definedName name="Step3">#REF!</definedName>
    <definedName name="Step4" localSheetId="8">#REF!</definedName>
    <definedName name="Step4" localSheetId="2">#REF!</definedName>
    <definedName name="Step4" localSheetId="9">#REF!</definedName>
    <definedName name="Step4" localSheetId="3">#REF!</definedName>
    <definedName name="Step4" localSheetId="7">#REF!</definedName>
    <definedName name="Step4" localSheetId="5">#REF!</definedName>
    <definedName name="Step4" localSheetId="6">#REF!</definedName>
    <definedName name="Step4" localSheetId="10">#REF!</definedName>
    <definedName name="Step4" localSheetId="11">#REF!</definedName>
    <definedName name="Step4">#REF!</definedName>
    <definedName name="Step5" localSheetId="8">#REF!</definedName>
    <definedName name="Step5" localSheetId="2">#REF!</definedName>
    <definedName name="Step5" localSheetId="9">#REF!</definedName>
    <definedName name="Step5" localSheetId="3">#REF!</definedName>
    <definedName name="Step5" localSheetId="7">#REF!</definedName>
    <definedName name="Step5" localSheetId="5">#REF!</definedName>
    <definedName name="Step5" localSheetId="6">#REF!</definedName>
    <definedName name="Step5" localSheetId="10">#REF!</definedName>
    <definedName name="Step5" localSheetId="11">#REF!</definedName>
    <definedName name="Step5">#REF!</definedName>
    <definedName name="Step6" localSheetId="8">#REF!</definedName>
    <definedName name="Step6" localSheetId="2">#REF!</definedName>
    <definedName name="Step6" localSheetId="9">#REF!</definedName>
    <definedName name="Step6" localSheetId="3">#REF!</definedName>
    <definedName name="Step6" localSheetId="7">#REF!</definedName>
    <definedName name="Step6" localSheetId="5">#REF!</definedName>
    <definedName name="Step6" localSheetId="6">#REF!</definedName>
    <definedName name="Step6" localSheetId="10">#REF!</definedName>
    <definedName name="Step6" localSheetId="11">#REF!</definedName>
    <definedName name="Step6">#REF!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8" i="7" l="1"/>
  <c r="C20" i="17"/>
  <c r="B1" i="7"/>
  <c r="C23" i="5"/>
  <c r="C22" i="5"/>
  <c r="C21" i="5"/>
  <c r="L21" i="8"/>
  <c r="C26" i="8"/>
  <c r="I37" i="7"/>
  <c r="J37" i="7" s="1"/>
  <c r="K37" i="7" s="1"/>
  <c r="L37" i="7" s="1"/>
  <c r="I36" i="7"/>
  <c r="J36" i="7" s="1"/>
  <c r="K36" i="7" s="1"/>
  <c r="L36" i="7" s="1"/>
  <c r="L25" i="8" l="1"/>
  <c r="C36" i="8"/>
  <c r="I16" i="8"/>
  <c r="H16" i="8"/>
  <c r="G16" i="8"/>
  <c r="F16" i="8"/>
  <c r="E16" i="8"/>
  <c r="E15" i="8"/>
  <c r="F15" i="8" s="1"/>
  <c r="L8" i="7"/>
  <c r="L7" i="7"/>
  <c r="K8" i="7"/>
  <c r="K7" i="7"/>
  <c r="J8" i="7"/>
  <c r="J7" i="7"/>
  <c r="I8" i="7"/>
  <c r="I7" i="7"/>
  <c r="H8" i="7"/>
  <c r="H7" i="7"/>
  <c r="F17" i="8" l="1"/>
  <c r="G15" i="8"/>
  <c r="E17" i="8"/>
  <c r="C16" i="17"/>
  <c r="C17" i="17" s="1"/>
  <c r="C11" i="17"/>
  <c r="C12" i="17"/>
  <c r="B1" i="17"/>
  <c r="J62" i="17"/>
  <c r="H62" i="17"/>
  <c r="J61" i="17"/>
  <c r="H61" i="17"/>
  <c r="J60" i="17"/>
  <c r="H60" i="17"/>
  <c r="J59" i="17"/>
  <c r="H59" i="17"/>
  <c r="J58" i="17"/>
  <c r="H58" i="17"/>
  <c r="J57" i="17"/>
  <c r="H57" i="17"/>
  <c r="J56" i="17"/>
  <c r="H56" i="17"/>
  <c r="J55" i="17"/>
  <c r="H55" i="17"/>
  <c r="J54" i="17"/>
  <c r="H54" i="17"/>
  <c r="J53" i="17"/>
  <c r="H53" i="17"/>
  <c r="J52" i="17"/>
  <c r="H52" i="17"/>
  <c r="J51" i="17"/>
  <c r="H51" i="17"/>
  <c r="J50" i="17"/>
  <c r="H50" i="17"/>
  <c r="J49" i="17"/>
  <c r="H49" i="17"/>
  <c r="J48" i="17"/>
  <c r="H48" i="17"/>
  <c r="J47" i="17"/>
  <c r="H47" i="17"/>
  <c r="J46" i="17"/>
  <c r="H46" i="17"/>
  <c r="J45" i="17"/>
  <c r="H45" i="17"/>
  <c r="J44" i="17"/>
  <c r="H44" i="17"/>
  <c r="J43" i="17"/>
  <c r="H43" i="17"/>
  <c r="J42" i="17"/>
  <c r="H42" i="17"/>
  <c r="J41" i="17"/>
  <c r="H41" i="17"/>
  <c r="J40" i="17"/>
  <c r="H40" i="17"/>
  <c r="J39" i="17"/>
  <c r="H39" i="17"/>
  <c r="J38" i="17"/>
  <c r="H38" i="17"/>
  <c r="J37" i="17"/>
  <c r="H37" i="17"/>
  <c r="J36" i="17"/>
  <c r="H36" i="17"/>
  <c r="J35" i="17"/>
  <c r="H35" i="17"/>
  <c r="J34" i="17"/>
  <c r="H34" i="17"/>
  <c r="J33" i="17"/>
  <c r="H33" i="17"/>
  <c r="J32" i="17"/>
  <c r="H32" i="17"/>
  <c r="J31" i="17"/>
  <c r="H31" i="17"/>
  <c r="J30" i="17"/>
  <c r="H30" i="17"/>
  <c r="J29" i="17"/>
  <c r="H29" i="17"/>
  <c r="J28" i="17"/>
  <c r="H28" i="17"/>
  <c r="J27" i="17"/>
  <c r="H27" i="17"/>
  <c r="J26" i="17"/>
  <c r="H26" i="17"/>
  <c r="J25" i="17"/>
  <c r="H25" i="17"/>
  <c r="J24" i="17"/>
  <c r="H24" i="17"/>
  <c r="J23" i="17"/>
  <c r="H23" i="17"/>
  <c r="J22" i="17"/>
  <c r="H22" i="17"/>
  <c r="J21" i="17"/>
  <c r="H21" i="17"/>
  <c r="J20" i="17"/>
  <c r="H20" i="17"/>
  <c r="J19" i="17"/>
  <c r="H19" i="17"/>
  <c r="J18" i="17"/>
  <c r="H18" i="17"/>
  <c r="J17" i="17"/>
  <c r="H17" i="17"/>
  <c r="J16" i="17"/>
  <c r="H16" i="17"/>
  <c r="J15" i="17"/>
  <c r="H15" i="17"/>
  <c r="J14" i="17"/>
  <c r="H14" i="17"/>
  <c r="J13" i="17"/>
  <c r="H13" i="17"/>
  <c r="J12" i="17"/>
  <c r="H12" i="17"/>
  <c r="J11" i="17"/>
  <c r="H11" i="17"/>
  <c r="J10" i="17"/>
  <c r="H10" i="17"/>
  <c r="J9" i="17"/>
  <c r="H9" i="17"/>
  <c r="J8" i="17"/>
  <c r="H8" i="17"/>
  <c r="J7" i="17"/>
  <c r="H7" i="17"/>
  <c r="J6" i="17"/>
  <c r="H6" i="17"/>
  <c r="J5" i="17"/>
  <c r="H5" i="17"/>
  <c r="J4" i="17"/>
  <c r="H4" i="17"/>
  <c r="M3" i="17" s="1"/>
  <c r="M6" i="17" s="1"/>
  <c r="C6" i="17" s="1"/>
  <c r="C8" i="17" s="1"/>
  <c r="C18" i="17" s="1"/>
  <c r="C23" i="8"/>
  <c r="C22" i="8"/>
  <c r="C5" i="8"/>
  <c r="G17" i="8" l="1"/>
  <c r="H15" i="8"/>
  <c r="M4" i="17"/>
  <c r="C13" i="17"/>
  <c r="C19" i="17" s="1"/>
  <c r="I15" i="8" l="1"/>
  <c r="I17" i="8" s="1"/>
  <c r="H17" i="8"/>
  <c r="G18" i="5"/>
  <c r="G19" i="5"/>
  <c r="G20" i="5"/>
  <c r="G17" i="5"/>
  <c r="F20" i="5"/>
  <c r="F19" i="5"/>
  <c r="F18" i="5"/>
  <c r="F17" i="5"/>
  <c r="L44" i="7" l="1"/>
  <c r="K44" i="7"/>
  <c r="J44" i="7"/>
  <c r="I44" i="7"/>
  <c r="H44" i="7"/>
  <c r="C9" i="12"/>
  <c r="D9" i="12"/>
  <c r="B9" i="12"/>
  <c r="H96" i="7"/>
  <c r="I117" i="7"/>
  <c r="J117" i="7"/>
  <c r="K117" i="7"/>
  <c r="L117" i="7"/>
  <c r="H117" i="7"/>
  <c r="E59" i="11"/>
  <c r="C32" i="11"/>
  <c r="C60" i="11" s="1"/>
  <c r="D32" i="11"/>
  <c r="D60" i="11" s="1"/>
  <c r="E32" i="11"/>
  <c r="E60" i="11" s="1"/>
  <c r="C33" i="11"/>
  <c r="C61" i="11" s="1"/>
  <c r="D33" i="11"/>
  <c r="D61" i="11" s="1"/>
  <c r="E33" i="11"/>
  <c r="E61" i="11" s="1"/>
  <c r="C34" i="11"/>
  <c r="C62" i="11" s="1"/>
  <c r="D34" i="11"/>
  <c r="D62" i="11" s="1"/>
  <c r="E34" i="11"/>
  <c r="E62" i="11" s="1"/>
  <c r="C35" i="11"/>
  <c r="C63" i="11" s="1"/>
  <c r="D35" i="11"/>
  <c r="D63" i="11" s="1"/>
  <c r="E35" i="11"/>
  <c r="E63" i="11" s="1"/>
  <c r="D31" i="11"/>
  <c r="D59" i="11" s="1"/>
  <c r="E31" i="11"/>
  <c r="C31" i="11"/>
  <c r="C59" i="11" s="1"/>
  <c r="F59" i="11" s="1"/>
  <c r="F62" i="11" l="1"/>
  <c r="F61" i="11"/>
  <c r="G61" i="11" s="1"/>
  <c r="F60" i="11"/>
  <c r="F63" i="11"/>
  <c r="G59" i="11"/>
  <c r="G62" i="11"/>
  <c r="G60" i="11" l="1"/>
  <c r="H60" i="11"/>
  <c r="H59" i="11"/>
  <c r="G63" i="11"/>
  <c r="H62" i="11"/>
  <c r="H61" i="11"/>
  <c r="I59" i="11" l="1"/>
  <c r="I61" i="11"/>
  <c r="I62" i="11"/>
  <c r="H63" i="11"/>
  <c r="I60" i="11"/>
  <c r="J60" i="11" l="1"/>
  <c r="J59" i="11"/>
  <c r="I63" i="11"/>
  <c r="J62" i="11"/>
  <c r="J61" i="11"/>
  <c r="J63" i="11" l="1"/>
  <c r="C23" i="11" l="1"/>
  <c r="D23" i="11"/>
  <c r="E23" i="11"/>
  <c r="C24" i="11"/>
  <c r="D24" i="11"/>
  <c r="E24" i="11"/>
  <c r="C25" i="11"/>
  <c r="D25" i="11"/>
  <c r="E25" i="11"/>
  <c r="C26" i="11"/>
  <c r="C53" i="11" s="1"/>
  <c r="D26" i="11"/>
  <c r="D53" i="11" s="1"/>
  <c r="E26" i="11"/>
  <c r="E53" i="11" s="1"/>
  <c r="C27" i="11"/>
  <c r="D27" i="11"/>
  <c r="E27" i="11"/>
  <c r="C28" i="11"/>
  <c r="D28" i="11"/>
  <c r="E28" i="11"/>
  <c r="C29" i="11"/>
  <c r="D29" i="11"/>
  <c r="E29" i="11"/>
  <c r="D22" i="11"/>
  <c r="E22" i="11"/>
  <c r="C22" i="11"/>
  <c r="C17" i="11"/>
  <c r="D17" i="11"/>
  <c r="E17" i="11"/>
  <c r="C18" i="11"/>
  <c r="D18" i="11"/>
  <c r="E18" i="11"/>
  <c r="C19" i="11"/>
  <c r="D19" i="11"/>
  <c r="E19" i="11"/>
  <c r="C20" i="11"/>
  <c r="D20" i="11"/>
  <c r="E20" i="11"/>
  <c r="D16" i="11"/>
  <c r="E16" i="11"/>
  <c r="C16" i="11"/>
  <c r="C11" i="11"/>
  <c r="D11" i="11"/>
  <c r="E11" i="11"/>
  <c r="C12" i="11"/>
  <c r="D12" i="11"/>
  <c r="E12" i="11"/>
  <c r="C13" i="11"/>
  <c r="D13" i="11"/>
  <c r="E13" i="11"/>
  <c r="D10" i="11"/>
  <c r="E10" i="11"/>
  <c r="C10" i="11"/>
  <c r="G79" i="7"/>
  <c r="F79" i="7"/>
  <c r="E79" i="7"/>
  <c r="G60" i="7"/>
  <c r="F60" i="7"/>
  <c r="E60" i="7"/>
  <c r="E15" i="10"/>
  <c r="D15" i="10"/>
  <c r="C15" i="10"/>
  <c r="D112" i="11"/>
  <c r="E112" i="11"/>
  <c r="C112" i="11"/>
  <c r="I81" i="11"/>
  <c r="H80" i="11"/>
  <c r="H81" i="11"/>
  <c r="G79" i="11"/>
  <c r="G80" i="11"/>
  <c r="G81" i="11"/>
  <c r="F78" i="11"/>
  <c r="F79" i="11"/>
  <c r="F80" i="11"/>
  <c r="F81" i="11"/>
  <c r="E110" i="11"/>
  <c r="D110" i="11"/>
  <c r="C110" i="11"/>
  <c r="E90" i="11"/>
  <c r="D90" i="11"/>
  <c r="C90" i="11"/>
  <c r="E40" i="10"/>
  <c r="D40" i="10"/>
  <c r="C40" i="10"/>
  <c r="E32" i="10"/>
  <c r="D32" i="10"/>
  <c r="C32" i="10"/>
  <c r="E24" i="10"/>
  <c r="D24" i="10"/>
  <c r="C24" i="10"/>
  <c r="E16" i="10"/>
  <c r="D16" i="10"/>
  <c r="C16" i="10"/>
  <c r="E8" i="10"/>
  <c r="D8" i="10"/>
  <c r="C8" i="10"/>
  <c r="E7" i="10"/>
  <c r="D7" i="10"/>
  <c r="C7" i="10"/>
  <c r="I37" i="13"/>
  <c r="I36" i="13"/>
  <c r="I35" i="13"/>
  <c r="I34" i="13"/>
  <c r="I33" i="13"/>
  <c r="I32" i="13"/>
  <c r="H37" i="13"/>
  <c r="H36" i="13"/>
  <c r="H35" i="13"/>
  <c r="H34" i="13"/>
  <c r="H33" i="13"/>
  <c r="H32" i="13"/>
  <c r="G26" i="13"/>
  <c r="G25" i="13"/>
  <c r="F26" i="13"/>
  <c r="F25" i="13"/>
  <c r="E26" i="13"/>
  <c r="E25" i="13"/>
  <c r="D26" i="13"/>
  <c r="D25" i="13"/>
  <c r="C26" i="13"/>
  <c r="I26" i="13" s="1"/>
  <c r="C25" i="13"/>
  <c r="G24" i="13"/>
  <c r="F24" i="13"/>
  <c r="E24" i="13"/>
  <c r="D24" i="13"/>
  <c r="C24" i="13"/>
  <c r="H26" i="13"/>
  <c r="H25" i="13"/>
  <c r="H24" i="13"/>
  <c r="I25" i="13"/>
  <c r="I24" i="13"/>
  <c r="I23" i="13"/>
  <c r="H23" i="13"/>
  <c r="G23" i="13"/>
  <c r="F23" i="13"/>
  <c r="E23" i="13"/>
  <c r="D23" i="13"/>
  <c r="C23" i="13"/>
  <c r="J15" i="13"/>
  <c r="I15" i="13"/>
  <c r="H15" i="13"/>
  <c r="G15" i="13"/>
  <c r="J14" i="13"/>
  <c r="I14" i="13"/>
  <c r="H14" i="13"/>
  <c r="G14" i="13"/>
  <c r="D8" i="12"/>
  <c r="E68" i="11" s="1"/>
  <c r="C8" i="12"/>
  <c r="D68" i="11" s="1"/>
  <c r="B8" i="12"/>
  <c r="C68" i="11" s="1"/>
  <c r="C69" i="11"/>
  <c r="D69" i="11"/>
  <c r="E69" i="11"/>
  <c r="D7" i="12"/>
  <c r="E67" i="11" s="1"/>
  <c r="C7" i="12"/>
  <c r="D67" i="11" s="1"/>
  <c r="B7" i="12"/>
  <c r="C67" i="11" s="1"/>
  <c r="B1" i="11"/>
  <c r="F53" i="11" l="1"/>
  <c r="G53" i="11" s="1"/>
  <c r="H53" i="11" s="1"/>
  <c r="I53" i="11" s="1"/>
  <c r="J53" i="11" s="1"/>
  <c r="B1" i="10"/>
  <c r="B1" i="8"/>
  <c r="B1" i="9"/>
  <c r="O89" i="6" l="1"/>
  <c r="P89" i="6" s="1"/>
  <c r="Q89" i="6" s="1"/>
  <c r="R89" i="6" s="1"/>
  <c r="O36" i="6"/>
  <c r="P36" i="6" s="1"/>
  <c r="Q36" i="6" s="1"/>
  <c r="R36" i="6" s="1"/>
  <c r="J89" i="6"/>
  <c r="K89" i="6" s="1"/>
  <c r="L89" i="6" s="1"/>
  <c r="J36" i="6"/>
  <c r="K36" i="6" s="1"/>
  <c r="L36" i="6" s="1"/>
  <c r="A17" i="12" a="1"/>
  <c r="A18" i="12" s="1"/>
  <c r="D12" i="12"/>
  <c r="C12" i="12"/>
  <c r="D71" i="11" s="1"/>
  <c r="B12" i="12"/>
  <c r="C71" i="11" s="1"/>
  <c r="E8" i="12"/>
  <c r="E105" i="11"/>
  <c r="F105" i="11" s="1"/>
  <c r="I99" i="11"/>
  <c r="H99" i="11"/>
  <c r="G99" i="11"/>
  <c r="F99" i="11"/>
  <c r="J97" i="11"/>
  <c r="I97" i="11"/>
  <c r="H97" i="11"/>
  <c r="G97" i="11"/>
  <c r="F96" i="11"/>
  <c r="F97" i="11" s="1"/>
  <c r="F98" i="11" s="1"/>
  <c r="F95" i="11"/>
  <c r="I92" i="11"/>
  <c r="K129" i="7" s="1"/>
  <c r="H92" i="11"/>
  <c r="J129" i="7" s="1"/>
  <c r="G92" i="11"/>
  <c r="I129" i="7" s="1"/>
  <c r="F92" i="11"/>
  <c r="H129" i="7" s="1"/>
  <c r="H90" i="11"/>
  <c r="I90" i="11" s="1"/>
  <c r="J90" i="11" s="1"/>
  <c r="F89" i="11"/>
  <c r="F88" i="11"/>
  <c r="E93" i="11" s="1"/>
  <c r="E103" i="11" s="1"/>
  <c r="F103" i="11" s="1"/>
  <c r="G103" i="11" s="1"/>
  <c r="B77" i="11" a="1"/>
  <c r="B81" i="11" s="1"/>
  <c r="F68" i="11"/>
  <c r="G68" i="11" s="1"/>
  <c r="H68" i="11" s="1"/>
  <c r="I68" i="11" s="1"/>
  <c r="J68" i="11" s="1"/>
  <c r="G40" i="11"/>
  <c r="H40" i="11" s="1"/>
  <c r="I40" i="11" s="1"/>
  <c r="J40" i="11" s="1"/>
  <c r="F45" i="10"/>
  <c r="F44" i="10"/>
  <c r="G43" i="10"/>
  <c r="G44" i="10" s="1"/>
  <c r="F41" i="10"/>
  <c r="G42" i="9"/>
  <c r="G41" i="9"/>
  <c r="H40" i="9"/>
  <c r="I40" i="9" s="1"/>
  <c r="G39" i="9"/>
  <c r="G37" i="9"/>
  <c r="G36" i="9"/>
  <c r="H35" i="9"/>
  <c r="I35" i="9" s="1"/>
  <c r="G34" i="9"/>
  <c r="G32" i="9"/>
  <c r="G31" i="9"/>
  <c r="H30" i="9"/>
  <c r="H31" i="9" s="1"/>
  <c r="F30" i="9"/>
  <c r="E30" i="9"/>
  <c r="D30" i="9"/>
  <c r="G29" i="9"/>
  <c r="F23" i="9"/>
  <c r="E23" i="9"/>
  <c r="D23" i="9"/>
  <c r="C23" i="9"/>
  <c r="F22" i="9"/>
  <c r="E22" i="9"/>
  <c r="D22" i="9"/>
  <c r="C22" i="9"/>
  <c r="F21" i="9"/>
  <c r="E21" i="9"/>
  <c r="D21" i="9"/>
  <c r="C21" i="9"/>
  <c r="F15" i="9"/>
  <c r="F40" i="9" s="1"/>
  <c r="E15" i="9"/>
  <c r="E40" i="9" s="1"/>
  <c r="D15" i="9"/>
  <c r="D40" i="9" s="1"/>
  <c r="F14" i="9"/>
  <c r="F35" i="9" s="1"/>
  <c r="E14" i="9"/>
  <c r="E35" i="9" s="1"/>
  <c r="D14" i="9"/>
  <c r="D35" i="9" s="1"/>
  <c r="F13" i="9"/>
  <c r="E13" i="9"/>
  <c r="D13" i="9"/>
  <c r="F8" i="9"/>
  <c r="E8" i="9"/>
  <c r="D8" i="9"/>
  <c r="D24" i="9" s="1"/>
  <c r="C8" i="9"/>
  <c r="C24" i="9" s="1"/>
  <c r="C35" i="8"/>
  <c r="C24" i="5" s="1"/>
  <c r="D26" i="8"/>
  <c r="D24" i="8"/>
  <c r="D23" i="8"/>
  <c r="D22" i="8"/>
  <c r="E15" i="12" l="1"/>
  <c r="E71" i="11"/>
  <c r="F67" i="11" s="1"/>
  <c r="G98" i="11"/>
  <c r="H98" i="11" s="1"/>
  <c r="I98" i="11" s="1"/>
  <c r="J98" i="11" s="1"/>
  <c r="F100" i="11"/>
  <c r="G95" i="11" s="1"/>
  <c r="G100" i="11" s="1"/>
  <c r="H95" i="11" s="1"/>
  <c r="H100" i="11" s="1"/>
  <c r="I95" i="11" s="1"/>
  <c r="I100" i="11" s="1"/>
  <c r="J95" i="11" s="1"/>
  <c r="J99" i="11" s="1"/>
  <c r="J100" i="11" s="1"/>
  <c r="D17" i="10"/>
  <c r="L11" i="8"/>
  <c r="D9" i="10"/>
  <c r="G21" i="9"/>
  <c r="G23" i="9"/>
  <c r="G7" i="9" s="1"/>
  <c r="G15" i="9" s="1"/>
  <c r="H41" i="9"/>
  <c r="H42" i="9"/>
  <c r="G22" i="9"/>
  <c r="G6" i="9" s="1"/>
  <c r="G14" i="9" s="1"/>
  <c r="E17" i="10"/>
  <c r="E7" i="12"/>
  <c r="D16" i="9"/>
  <c r="E16" i="9"/>
  <c r="F16" i="9"/>
  <c r="C10" i="12"/>
  <c r="D11" i="12"/>
  <c r="E70" i="11" s="1"/>
  <c r="C9" i="10"/>
  <c r="E111" i="11"/>
  <c r="F111" i="11" s="1"/>
  <c r="G111" i="11" s="1"/>
  <c r="C17" i="10"/>
  <c r="B10" i="12"/>
  <c r="B11" i="12"/>
  <c r="C70" i="11" s="1"/>
  <c r="C11" i="12"/>
  <c r="D70" i="11" s="1"/>
  <c r="D10" i="12"/>
  <c r="E9" i="10"/>
  <c r="F90" i="11"/>
  <c r="F91" i="11" s="1"/>
  <c r="G91" i="11" s="1"/>
  <c r="H91" i="11" s="1"/>
  <c r="I91" i="11" s="1"/>
  <c r="J91" i="11" s="1"/>
  <c r="E17" i="12"/>
  <c r="F77" i="11" s="1"/>
  <c r="F8" i="12"/>
  <c r="A19" i="12"/>
  <c r="A20" i="12"/>
  <c r="A21" i="12"/>
  <c r="A17" i="12"/>
  <c r="G105" i="11"/>
  <c r="H103" i="11"/>
  <c r="B78" i="11"/>
  <c r="B79" i="11"/>
  <c r="B80" i="11"/>
  <c r="B77" i="11"/>
  <c r="H43" i="10"/>
  <c r="G45" i="10"/>
  <c r="G41" i="10"/>
  <c r="I36" i="9"/>
  <c r="I34" i="9"/>
  <c r="J35" i="9"/>
  <c r="I37" i="9"/>
  <c r="J40" i="9"/>
  <c r="I41" i="9"/>
  <c r="I42" i="9"/>
  <c r="I39" i="9"/>
  <c r="H34" i="9"/>
  <c r="H37" i="9"/>
  <c r="E24" i="9"/>
  <c r="H29" i="9"/>
  <c r="H21" i="9" s="1"/>
  <c r="I30" i="9"/>
  <c r="G5" i="9"/>
  <c r="F24" i="9"/>
  <c r="H32" i="9"/>
  <c r="H36" i="9"/>
  <c r="H39" i="9"/>
  <c r="L23" i="8" l="1"/>
  <c r="F15" i="12"/>
  <c r="F74" i="11"/>
  <c r="F106" i="11"/>
  <c r="F93" i="11"/>
  <c r="G88" i="11" s="1"/>
  <c r="G93" i="11" s="1"/>
  <c r="H88" i="11" s="1"/>
  <c r="H93" i="11" s="1"/>
  <c r="I88" i="11" s="1"/>
  <c r="I93" i="11" s="1"/>
  <c r="J88" i="11" s="1"/>
  <c r="J92" i="11" s="1"/>
  <c r="H23" i="9"/>
  <c r="E18" i="10"/>
  <c r="F19" i="10" s="1"/>
  <c r="G19" i="10" s="1"/>
  <c r="G20" i="10" s="1"/>
  <c r="G21" i="10" s="1"/>
  <c r="H22" i="9"/>
  <c r="H24" i="9" s="1"/>
  <c r="G24" i="9"/>
  <c r="E10" i="10"/>
  <c r="F11" i="10" s="1"/>
  <c r="F12" i="10" s="1"/>
  <c r="E22" i="12"/>
  <c r="F17" i="12"/>
  <c r="G77" i="11" s="1"/>
  <c r="G8" i="12"/>
  <c r="F18" i="12"/>
  <c r="I103" i="11"/>
  <c r="H111" i="11"/>
  <c r="G106" i="11"/>
  <c r="H105" i="11"/>
  <c r="H41" i="10"/>
  <c r="H44" i="10"/>
  <c r="H45" i="10"/>
  <c r="I43" i="10"/>
  <c r="H7" i="9"/>
  <c r="H15" i="9" s="1"/>
  <c r="I23" i="9"/>
  <c r="G13" i="9"/>
  <c r="G8" i="9"/>
  <c r="I32" i="9"/>
  <c r="J30" i="9"/>
  <c r="I29" i="9"/>
  <c r="I21" i="9" s="1"/>
  <c r="I31" i="9"/>
  <c r="J39" i="9"/>
  <c r="K40" i="9"/>
  <c r="J41" i="9"/>
  <c r="J42" i="9"/>
  <c r="I22" i="9"/>
  <c r="H5" i="9"/>
  <c r="J36" i="9"/>
  <c r="J37" i="9"/>
  <c r="K35" i="9"/>
  <c r="J34" i="9"/>
  <c r="J93" i="11" l="1"/>
  <c r="L129" i="7"/>
  <c r="G74" i="11"/>
  <c r="G15" i="12"/>
  <c r="E23" i="12"/>
  <c r="H100" i="7" s="1"/>
  <c r="E11" i="8" s="1"/>
  <c r="F82" i="11"/>
  <c r="G18" i="12"/>
  <c r="G78" i="11"/>
  <c r="G17" i="10"/>
  <c r="F20" i="10"/>
  <c r="F21" i="10"/>
  <c r="F17" i="10"/>
  <c r="H19" i="10"/>
  <c r="H17" i="10" s="1"/>
  <c r="H104" i="11"/>
  <c r="F104" i="11"/>
  <c r="F107" i="11" s="1"/>
  <c r="H21" i="7" s="1"/>
  <c r="G104" i="11"/>
  <c r="G107" i="11" s="1"/>
  <c r="I21" i="7" s="1"/>
  <c r="G16" i="9"/>
  <c r="H6" i="9"/>
  <c r="H14" i="9" s="1"/>
  <c r="F9" i="10"/>
  <c r="F13" i="10"/>
  <c r="G11" i="10"/>
  <c r="G13" i="10" s="1"/>
  <c r="F22" i="12"/>
  <c r="G17" i="12"/>
  <c r="H77" i="11" s="1"/>
  <c r="H8" i="12"/>
  <c r="G19" i="12"/>
  <c r="H106" i="11"/>
  <c r="I105" i="11"/>
  <c r="J103" i="11"/>
  <c r="I104" i="11"/>
  <c r="I111" i="11"/>
  <c r="I41" i="10"/>
  <c r="I45" i="10"/>
  <c r="J43" i="10"/>
  <c r="I44" i="10"/>
  <c r="I24" i="9"/>
  <c r="I5" i="9"/>
  <c r="K36" i="9"/>
  <c r="K37" i="9"/>
  <c r="K34" i="9"/>
  <c r="H13" i="9"/>
  <c r="H8" i="9"/>
  <c r="J32" i="9"/>
  <c r="K30" i="9"/>
  <c r="J29" i="9"/>
  <c r="J21" i="9" s="1"/>
  <c r="J31" i="9"/>
  <c r="K41" i="9"/>
  <c r="K42" i="9"/>
  <c r="K39" i="9"/>
  <c r="J23" i="9"/>
  <c r="I7" i="9"/>
  <c r="I15" i="9" s="1"/>
  <c r="J22" i="9"/>
  <c r="I6" i="9"/>
  <c r="I14" i="9" s="1"/>
  <c r="J104" i="11" l="1"/>
  <c r="H74" i="11"/>
  <c r="H15" i="12"/>
  <c r="H11" i="7"/>
  <c r="H20" i="10"/>
  <c r="H21" i="10" s="1"/>
  <c r="H12" i="7"/>
  <c r="F23" i="12"/>
  <c r="I100" i="7" s="1"/>
  <c r="F11" i="8" s="1"/>
  <c r="G82" i="11"/>
  <c r="E9" i="12"/>
  <c r="F83" i="11"/>
  <c r="F69" i="11" s="1"/>
  <c r="I19" i="10"/>
  <c r="I17" i="10" s="1"/>
  <c r="H18" i="12"/>
  <c r="H78" i="11"/>
  <c r="H19" i="12"/>
  <c r="H79" i="11"/>
  <c r="H107" i="11"/>
  <c r="J21" i="7" s="1"/>
  <c r="H16" i="9"/>
  <c r="I12" i="7"/>
  <c r="H11" i="10"/>
  <c r="I11" i="10" s="1"/>
  <c r="G12" i="10"/>
  <c r="G9" i="10"/>
  <c r="I8" i="12"/>
  <c r="I21" i="12" s="1"/>
  <c r="J81" i="11" s="1"/>
  <c r="H20" i="12"/>
  <c r="H17" i="12"/>
  <c r="I77" i="11" s="1"/>
  <c r="G22" i="12"/>
  <c r="J111" i="11"/>
  <c r="J105" i="11"/>
  <c r="J106" i="11" s="1"/>
  <c r="I106" i="11"/>
  <c r="I107" i="11" s="1"/>
  <c r="K21" i="7" s="1"/>
  <c r="J45" i="10"/>
  <c r="J44" i="10"/>
  <c r="J41" i="10"/>
  <c r="J5" i="9"/>
  <c r="J24" i="9"/>
  <c r="K32" i="9"/>
  <c r="K31" i="9"/>
  <c r="K29" i="9"/>
  <c r="K21" i="9" s="1"/>
  <c r="K22" i="9"/>
  <c r="K6" i="9" s="1"/>
  <c r="J6" i="9"/>
  <c r="J14" i="9" s="1"/>
  <c r="J7" i="9"/>
  <c r="J15" i="9" s="1"/>
  <c r="K23" i="9"/>
  <c r="K7" i="9" s="1"/>
  <c r="I13" i="9"/>
  <c r="I8" i="9"/>
  <c r="J107" i="11" l="1"/>
  <c r="L21" i="7" s="1"/>
  <c r="I74" i="11"/>
  <c r="I15" i="12"/>
  <c r="J74" i="11" s="1"/>
  <c r="I11" i="7"/>
  <c r="H13" i="10"/>
  <c r="H9" i="10"/>
  <c r="I20" i="10"/>
  <c r="I21" i="10" s="1"/>
  <c r="J19" i="10"/>
  <c r="J17" i="10" s="1"/>
  <c r="H12" i="10"/>
  <c r="I18" i="12"/>
  <c r="J78" i="11" s="1"/>
  <c r="I78" i="11"/>
  <c r="I20" i="12"/>
  <c r="J80" i="11" s="1"/>
  <c r="I80" i="11"/>
  <c r="I19" i="12"/>
  <c r="J79" i="11" s="1"/>
  <c r="I79" i="11"/>
  <c r="G23" i="12"/>
  <c r="J100" i="7" s="1"/>
  <c r="G11" i="8" s="1"/>
  <c r="H82" i="11"/>
  <c r="F70" i="11"/>
  <c r="F71" i="11"/>
  <c r="G67" i="11" s="1"/>
  <c r="E12" i="12"/>
  <c r="E11" i="12"/>
  <c r="F9" i="12"/>
  <c r="G83" i="11"/>
  <c r="G69" i="11" s="1"/>
  <c r="I16" i="9"/>
  <c r="J12" i="7"/>
  <c r="K15" i="9"/>
  <c r="H22" i="12"/>
  <c r="I17" i="12"/>
  <c r="I13" i="10"/>
  <c r="I9" i="10"/>
  <c r="J11" i="10"/>
  <c r="I12" i="10"/>
  <c r="K24" i="9"/>
  <c r="K5" i="9"/>
  <c r="K14" i="9"/>
  <c r="J8" i="9"/>
  <c r="J13" i="9"/>
  <c r="L22" i="8"/>
  <c r="O24" i="8" s="1"/>
  <c r="L10" i="8"/>
  <c r="O12" i="8" s="1"/>
  <c r="O11" i="8" l="1"/>
  <c r="O10" i="8" s="1"/>
  <c r="O13" i="8"/>
  <c r="O14" i="8" s="1"/>
  <c r="F7" i="12"/>
  <c r="H54" i="7"/>
  <c r="J20" i="10"/>
  <c r="J21" i="10" s="1"/>
  <c r="J11" i="7"/>
  <c r="F11" i="12"/>
  <c r="G70" i="11"/>
  <c r="G71" i="11"/>
  <c r="H67" i="11" s="1"/>
  <c r="I22" i="12"/>
  <c r="J77" i="11"/>
  <c r="G9" i="12"/>
  <c r="H83" i="11"/>
  <c r="H69" i="11" s="1"/>
  <c r="H23" i="12"/>
  <c r="K100" i="7" s="1"/>
  <c r="H11" i="8" s="1"/>
  <c r="I82" i="11"/>
  <c r="F12" i="12"/>
  <c r="J16" i="9"/>
  <c r="K11" i="7"/>
  <c r="K12" i="7"/>
  <c r="J12" i="10"/>
  <c r="J13" i="10"/>
  <c r="J9" i="10"/>
  <c r="K13" i="9"/>
  <c r="K8" i="9"/>
  <c r="L12" i="8"/>
  <c r="L24" i="8"/>
  <c r="H116" i="7" l="1"/>
  <c r="E13" i="8" s="1"/>
  <c r="G7" i="12"/>
  <c r="G12" i="12" s="1"/>
  <c r="I54" i="7"/>
  <c r="H70" i="11"/>
  <c r="H71" i="11"/>
  <c r="I67" i="11" s="1"/>
  <c r="H9" i="12"/>
  <c r="I83" i="11"/>
  <c r="I69" i="11" s="1"/>
  <c r="I23" i="12"/>
  <c r="L100" i="7" s="1"/>
  <c r="I11" i="8" s="1"/>
  <c r="J82" i="11"/>
  <c r="K16" i="9"/>
  <c r="L11" i="7"/>
  <c r="L12" i="7"/>
  <c r="G11" i="12" l="1"/>
  <c r="I116" i="7"/>
  <c r="F13" i="8" s="1"/>
  <c r="H7" i="12"/>
  <c r="H11" i="12" s="1"/>
  <c r="J54" i="7"/>
  <c r="I9" i="12"/>
  <c r="J83" i="11"/>
  <c r="J69" i="11" s="1"/>
  <c r="I70" i="11"/>
  <c r="I71" i="11"/>
  <c r="J67" i="11" s="1"/>
  <c r="I9" i="7"/>
  <c r="G6" i="11" s="1"/>
  <c r="G33" i="11" s="1"/>
  <c r="I76" i="7" s="1"/>
  <c r="F5" i="7"/>
  <c r="G5" i="7" s="1"/>
  <c r="H5" i="7" s="1"/>
  <c r="I5" i="7" s="1"/>
  <c r="J5" i="7" s="1"/>
  <c r="K5" i="7" s="1"/>
  <c r="L5" i="7" s="1"/>
  <c r="F134" i="7"/>
  <c r="E134" i="7"/>
  <c r="D134" i="7"/>
  <c r="C134" i="7"/>
  <c r="J118" i="11"/>
  <c r="I118" i="11"/>
  <c r="H118" i="11"/>
  <c r="G118" i="11"/>
  <c r="F118" i="11"/>
  <c r="G134" i="7"/>
  <c r="F124" i="7"/>
  <c r="E124" i="7"/>
  <c r="D124" i="7"/>
  <c r="C124" i="7"/>
  <c r="G124" i="7"/>
  <c r="H103" i="7"/>
  <c r="I103" i="7" s="1"/>
  <c r="J103" i="7" s="1"/>
  <c r="K103" i="7" s="1"/>
  <c r="L103" i="7" s="1"/>
  <c r="H101" i="7"/>
  <c r="I101" i="7" s="1"/>
  <c r="J101" i="7" s="1"/>
  <c r="K101" i="7" s="1"/>
  <c r="L101" i="7" s="1"/>
  <c r="G90" i="7"/>
  <c r="F90" i="7"/>
  <c r="E90" i="7"/>
  <c r="D90" i="7"/>
  <c r="C90" i="7"/>
  <c r="H89" i="7"/>
  <c r="I89" i="7" s="1"/>
  <c r="J89" i="7" s="1"/>
  <c r="K89" i="7" s="1"/>
  <c r="L89" i="7" s="1"/>
  <c r="D79" i="7"/>
  <c r="C79" i="7"/>
  <c r="G73" i="7"/>
  <c r="F73" i="7"/>
  <c r="E73" i="7"/>
  <c r="D73" i="7"/>
  <c r="C73" i="7"/>
  <c r="D60" i="7"/>
  <c r="C60" i="7"/>
  <c r="G50" i="7"/>
  <c r="F50" i="7"/>
  <c r="E50" i="7"/>
  <c r="E61" i="7" s="1"/>
  <c r="D50" i="7"/>
  <c r="C50" i="7"/>
  <c r="G23" i="7"/>
  <c r="F23" i="7"/>
  <c r="E23" i="7"/>
  <c r="H22" i="7"/>
  <c r="I22" i="7" s="1"/>
  <c r="J22" i="7" s="1"/>
  <c r="K22" i="7" s="1"/>
  <c r="L22" i="7" s="1"/>
  <c r="G18" i="7"/>
  <c r="F18" i="7"/>
  <c r="E18" i="7"/>
  <c r="D18" i="7"/>
  <c r="C18" i="7"/>
  <c r="G13" i="7"/>
  <c r="F13" i="7"/>
  <c r="D7" i="11" s="1"/>
  <c r="E13" i="7"/>
  <c r="C7" i="11" s="1"/>
  <c r="D13" i="7"/>
  <c r="C13" i="7"/>
  <c r="G9" i="7"/>
  <c r="F9" i="7"/>
  <c r="E9" i="7"/>
  <c r="D9" i="7"/>
  <c r="C9" i="7"/>
  <c r="P75" i="6"/>
  <c r="C72" i="6"/>
  <c r="E72" i="6"/>
  <c r="D72" i="6"/>
  <c r="I39" i="6"/>
  <c r="J39" i="6"/>
  <c r="L69" i="6"/>
  <c r="K69" i="6"/>
  <c r="J69" i="6"/>
  <c r="I69" i="6"/>
  <c r="L68" i="6"/>
  <c r="K68" i="6"/>
  <c r="J68" i="6"/>
  <c r="I68" i="6"/>
  <c r="L67" i="6"/>
  <c r="K67" i="6"/>
  <c r="J67" i="6"/>
  <c r="I67" i="6"/>
  <c r="L66" i="6"/>
  <c r="K66" i="6"/>
  <c r="J66" i="6"/>
  <c r="I66" i="6"/>
  <c r="L64" i="6"/>
  <c r="L60" i="6"/>
  <c r="L61" i="6"/>
  <c r="L62" i="6"/>
  <c r="L63" i="6"/>
  <c r="K60" i="6"/>
  <c r="K61" i="6"/>
  <c r="K62" i="6"/>
  <c r="K63" i="6"/>
  <c r="J60" i="6"/>
  <c r="J61" i="6"/>
  <c r="J62" i="6"/>
  <c r="J63" i="6"/>
  <c r="I60" i="6"/>
  <c r="I61" i="6"/>
  <c r="I62" i="6"/>
  <c r="I63" i="6"/>
  <c r="L49" i="6"/>
  <c r="L50" i="6"/>
  <c r="L51" i="6"/>
  <c r="K49" i="6"/>
  <c r="K50" i="6"/>
  <c r="K51" i="6"/>
  <c r="J49" i="6"/>
  <c r="J50" i="6"/>
  <c r="J51" i="6"/>
  <c r="I49" i="6"/>
  <c r="I50" i="6"/>
  <c r="I51" i="6"/>
  <c r="F72" i="6"/>
  <c r="G72" i="6"/>
  <c r="I41" i="6"/>
  <c r="J41" i="6"/>
  <c r="C17" i="6"/>
  <c r="D36" i="6"/>
  <c r="E36" i="6" s="1"/>
  <c r="F36" i="6" s="1"/>
  <c r="G36" i="6" s="1"/>
  <c r="I11" i="6"/>
  <c r="J11" i="6"/>
  <c r="I7" i="6"/>
  <c r="J7" i="6"/>
  <c r="I8" i="6"/>
  <c r="J8" i="6"/>
  <c r="O5" i="6"/>
  <c r="P5" i="6" s="1"/>
  <c r="Q5" i="6" s="1"/>
  <c r="R5" i="6" s="1"/>
  <c r="J5" i="6"/>
  <c r="K5" i="6" s="1"/>
  <c r="L5" i="6" s="1"/>
  <c r="D5" i="6"/>
  <c r="E5" i="6" s="1"/>
  <c r="F5" i="6" s="1"/>
  <c r="G5" i="6" s="1"/>
  <c r="B1" i="6"/>
  <c r="H12" i="12" l="1"/>
  <c r="I7" i="12" s="1"/>
  <c r="J116" i="7"/>
  <c r="G13" i="8" s="1"/>
  <c r="C51" i="11"/>
  <c r="C55" i="11"/>
  <c r="C52" i="11"/>
  <c r="D51" i="11"/>
  <c r="D55" i="11"/>
  <c r="D52" i="11"/>
  <c r="J71" i="11"/>
  <c r="D14" i="7"/>
  <c r="D19" i="7" s="1"/>
  <c r="D24" i="7" s="1"/>
  <c r="D26" i="7" s="1"/>
  <c r="D98" i="7" s="1"/>
  <c r="D114" i="7" s="1"/>
  <c r="D136" i="7" s="1"/>
  <c r="D135" i="7" s="1"/>
  <c r="E6" i="11"/>
  <c r="E31" i="10"/>
  <c r="E33" i="10" s="1"/>
  <c r="E23" i="10"/>
  <c r="E25" i="10" s="1"/>
  <c r="E7" i="11"/>
  <c r="C6" i="11"/>
  <c r="C31" i="10"/>
  <c r="C33" i="10" s="1"/>
  <c r="C23" i="10"/>
  <c r="C25" i="10" s="1"/>
  <c r="D31" i="10"/>
  <c r="D33" i="10" s="1"/>
  <c r="D6" i="11"/>
  <c r="D23" i="10"/>
  <c r="D25" i="10" s="1"/>
  <c r="C50" i="11"/>
  <c r="C40" i="11"/>
  <c r="C49" i="11"/>
  <c r="D49" i="11"/>
  <c r="D50" i="11"/>
  <c r="D40" i="11"/>
  <c r="J70" i="11"/>
  <c r="J9" i="7"/>
  <c r="H6" i="11" s="1"/>
  <c r="H33" i="11" s="1"/>
  <c r="J76" i="7" s="1"/>
  <c r="D81" i="7"/>
  <c r="D91" i="7" s="1"/>
  <c r="C61" i="7"/>
  <c r="D61" i="7"/>
  <c r="K108" i="7"/>
  <c r="L108" i="7"/>
  <c r="C14" i="7"/>
  <c r="C19" i="7" s="1"/>
  <c r="C24" i="7" s="1"/>
  <c r="C26" i="7" s="1"/>
  <c r="I108" i="7"/>
  <c r="J108" i="7"/>
  <c r="C81" i="7"/>
  <c r="C91" i="7" s="1"/>
  <c r="G61" i="7"/>
  <c r="F81" i="7"/>
  <c r="F91" i="7" s="1"/>
  <c r="E81" i="7"/>
  <c r="E91" i="7" s="1"/>
  <c r="G81" i="7"/>
  <c r="G91" i="7" s="1"/>
  <c r="F61" i="7"/>
  <c r="E14" i="7"/>
  <c r="E19" i="7" s="1"/>
  <c r="E24" i="7" s="1"/>
  <c r="C39" i="10" s="1"/>
  <c r="F14" i="7"/>
  <c r="F19" i="7" s="1"/>
  <c r="F24" i="7" s="1"/>
  <c r="D39" i="10" s="1"/>
  <c r="I13" i="7"/>
  <c r="L13" i="7"/>
  <c r="J7" i="11" s="1"/>
  <c r="G14" i="7"/>
  <c r="G19" i="7" s="1"/>
  <c r="G24" i="7" s="1"/>
  <c r="E39" i="10" s="1"/>
  <c r="J13" i="7"/>
  <c r="H13" i="7"/>
  <c r="F7" i="11" s="1"/>
  <c r="H9" i="7"/>
  <c r="F6" i="11" s="1"/>
  <c r="F33" i="11" s="1"/>
  <c r="H76" i="7" s="1"/>
  <c r="L9" i="7"/>
  <c r="J6" i="11" s="1"/>
  <c r="J33" i="11" s="1"/>
  <c r="L76" i="7" s="1"/>
  <c r="K9" i="7"/>
  <c r="I6" i="11" s="1"/>
  <c r="I33" i="11" s="1"/>
  <c r="K76" i="7" s="1"/>
  <c r="K13" i="7"/>
  <c r="I7" i="11" s="1"/>
  <c r="F128" i="6"/>
  <c r="Q126" i="6" s="1"/>
  <c r="E128" i="6"/>
  <c r="P128" i="6" s="1"/>
  <c r="D128" i="6"/>
  <c r="O128" i="6" s="1"/>
  <c r="C128" i="6"/>
  <c r="N128" i="6" s="1"/>
  <c r="L126" i="6"/>
  <c r="K126" i="6"/>
  <c r="J126" i="6"/>
  <c r="I126" i="6"/>
  <c r="L125" i="6"/>
  <c r="K125" i="6"/>
  <c r="J125" i="6"/>
  <c r="I125" i="6"/>
  <c r="L124" i="6"/>
  <c r="K124" i="6"/>
  <c r="J124" i="6"/>
  <c r="I124" i="6"/>
  <c r="L123" i="6"/>
  <c r="K123" i="6"/>
  <c r="J123" i="6"/>
  <c r="I123" i="6"/>
  <c r="K122" i="6"/>
  <c r="J122" i="6"/>
  <c r="I122" i="6"/>
  <c r="G128" i="6"/>
  <c r="J120" i="6"/>
  <c r="I120" i="6"/>
  <c r="G118" i="6"/>
  <c r="R114" i="6" s="1"/>
  <c r="F118" i="6"/>
  <c r="Q111" i="6" s="1"/>
  <c r="E118" i="6"/>
  <c r="P112" i="6" s="1"/>
  <c r="D118" i="6"/>
  <c r="O118" i="6" s="1"/>
  <c r="C118" i="6"/>
  <c r="N118" i="6" s="1"/>
  <c r="L116" i="6"/>
  <c r="K116" i="6"/>
  <c r="J116" i="6"/>
  <c r="I116" i="6"/>
  <c r="L115" i="6"/>
  <c r="K115" i="6"/>
  <c r="J115" i="6"/>
  <c r="I115" i="6"/>
  <c r="L114" i="6"/>
  <c r="K114" i="6"/>
  <c r="J114" i="6"/>
  <c r="I114" i="6"/>
  <c r="L113" i="6"/>
  <c r="K113" i="6"/>
  <c r="J113" i="6"/>
  <c r="I113" i="6"/>
  <c r="L112" i="6"/>
  <c r="K112" i="6"/>
  <c r="J112" i="6"/>
  <c r="I112" i="6"/>
  <c r="L111" i="6"/>
  <c r="K111" i="6"/>
  <c r="J111" i="6"/>
  <c r="I111" i="6"/>
  <c r="L110" i="6"/>
  <c r="K110" i="6"/>
  <c r="J110" i="6"/>
  <c r="I110" i="6"/>
  <c r="L106" i="6"/>
  <c r="K106" i="6"/>
  <c r="J106" i="6"/>
  <c r="I106" i="6"/>
  <c r="K104" i="6"/>
  <c r="J104" i="6"/>
  <c r="I104" i="6"/>
  <c r="L104" i="6"/>
  <c r="K103" i="6"/>
  <c r="J103" i="6"/>
  <c r="I103" i="6"/>
  <c r="L102" i="6"/>
  <c r="K102" i="6"/>
  <c r="J102" i="6"/>
  <c r="I102" i="6"/>
  <c r="L101" i="6"/>
  <c r="K101" i="6"/>
  <c r="J101" i="6"/>
  <c r="I101" i="6"/>
  <c r="L100" i="6"/>
  <c r="K100" i="6"/>
  <c r="J100" i="6"/>
  <c r="I100" i="6"/>
  <c r="L99" i="6"/>
  <c r="K99" i="6"/>
  <c r="J99" i="6"/>
  <c r="I99" i="6"/>
  <c r="L97" i="6"/>
  <c r="K97" i="6"/>
  <c r="L96" i="6"/>
  <c r="K96" i="6"/>
  <c r="J96" i="6"/>
  <c r="I96" i="6"/>
  <c r="L95" i="6"/>
  <c r="K95" i="6"/>
  <c r="J95" i="6"/>
  <c r="I95" i="6"/>
  <c r="L94" i="6"/>
  <c r="K94" i="6"/>
  <c r="J94" i="6"/>
  <c r="I94" i="6"/>
  <c r="L90" i="6"/>
  <c r="K90" i="6"/>
  <c r="J90" i="6"/>
  <c r="I90" i="6"/>
  <c r="G83" i="6"/>
  <c r="F83" i="6"/>
  <c r="E83" i="6"/>
  <c r="D83" i="6"/>
  <c r="C83" i="6"/>
  <c r="L82" i="6"/>
  <c r="K82" i="6"/>
  <c r="J82" i="6"/>
  <c r="I82" i="6"/>
  <c r="L81" i="6"/>
  <c r="K81" i="6"/>
  <c r="J81" i="6"/>
  <c r="I81" i="6"/>
  <c r="L80" i="6"/>
  <c r="K80" i="6"/>
  <c r="J80" i="6"/>
  <c r="I80" i="6"/>
  <c r="L71" i="6"/>
  <c r="K71" i="6"/>
  <c r="J71" i="6"/>
  <c r="I71" i="6"/>
  <c r="L70" i="6"/>
  <c r="K70" i="6"/>
  <c r="J70" i="6"/>
  <c r="I70" i="6"/>
  <c r="G65" i="6"/>
  <c r="F65" i="6"/>
  <c r="E65" i="6"/>
  <c r="D65" i="6"/>
  <c r="C65" i="6"/>
  <c r="K64" i="6"/>
  <c r="J64" i="6"/>
  <c r="I64" i="6"/>
  <c r="L59" i="6"/>
  <c r="K59" i="6"/>
  <c r="J59" i="6"/>
  <c r="I59" i="6"/>
  <c r="L58" i="6"/>
  <c r="K58" i="6"/>
  <c r="J58" i="6"/>
  <c r="I58" i="6"/>
  <c r="G53" i="6"/>
  <c r="F53" i="6"/>
  <c r="E53" i="6"/>
  <c r="D53" i="6"/>
  <c r="C53" i="6"/>
  <c r="L52" i="6"/>
  <c r="K52" i="6"/>
  <c r="J52" i="6"/>
  <c r="I52" i="6"/>
  <c r="L48" i="6"/>
  <c r="K48" i="6"/>
  <c r="J48" i="6"/>
  <c r="I48" i="6"/>
  <c r="L47" i="6"/>
  <c r="K47" i="6"/>
  <c r="J47" i="6"/>
  <c r="I47" i="6"/>
  <c r="G44" i="6"/>
  <c r="F44" i="6"/>
  <c r="E44" i="6"/>
  <c r="D44" i="6"/>
  <c r="C44" i="6"/>
  <c r="L43" i="6"/>
  <c r="K43" i="6"/>
  <c r="J43" i="6"/>
  <c r="I43" i="6"/>
  <c r="L42" i="6"/>
  <c r="K42" i="6"/>
  <c r="J42" i="6"/>
  <c r="I42" i="6"/>
  <c r="L41" i="6"/>
  <c r="K41" i="6"/>
  <c r="L40" i="6"/>
  <c r="K40" i="6"/>
  <c r="J40" i="6"/>
  <c r="I40" i="6"/>
  <c r="L39" i="6"/>
  <c r="K39" i="6"/>
  <c r="L22" i="6"/>
  <c r="K22" i="6"/>
  <c r="J22" i="6"/>
  <c r="I22" i="6"/>
  <c r="L20" i="6"/>
  <c r="K20" i="6"/>
  <c r="J20" i="6"/>
  <c r="I20" i="6"/>
  <c r="G18" i="6"/>
  <c r="F18" i="6"/>
  <c r="E18" i="6"/>
  <c r="D18" i="6"/>
  <c r="C18" i="6"/>
  <c r="L17" i="6"/>
  <c r="K17" i="6"/>
  <c r="J17" i="6"/>
  <c r="I17" i="6"/>
  <c r="L16" i="6"/>
  <c r="K16" i="6"/>
  <c r="J16" i="6"/>
  <c r="I16" i="6"/>
  <c r="G13" i="6"/>
  <c r="F13" i="6"/>
  <c r="E13" i="6"/>
  <c r="D13" i="6"/>
  <c r="C13" i="6"/>
  <c r="L12" i="6"/>
  <c r="K12" i="6"/>
  <c r="J12" i="6"/>
  <c r="I12" i="6"/>
  <c r="L11" i="6"/>
  <c r="K11" i="6"/>
  <c r="G9" i="6"/>
  <c r="R133" i="6" s="1"/>
  <c r="F9" i="6"/>
  <c r="Q17" i="6" s="1"/>
  <c r="E9" i="6"/>
  <c r="P11" i="6" s="1"/>
  <c r="D9" i="6"/>
  <c r="O12" i="6" s="1"/>
  <c r="C9" i="6"/>
  <c r="N12" i="6" s="1"/>
  <c r="L8" i="6"/>
  <c r="K8" i="6"/>
  <c r="L7" i="6"/>
  <c r="K7" i="6"/>
  <c r="C25" i="5"/>
  <c r="F16" i="5"/>
  <c r="F14" i="5"/>
  <c r="F13" i="5"/>
  <c r="F12" i="5"/>
  <c r="C11" i="5"/>
  <c r="B1" i="5"/>
  <c r="J12" i="11" l="1"/>
  <c r="J34" i="11"/>
  <c r="L77" i="7" s="1"/>
  <c r="J31" i="11"/>
  <c r="L74" i="7" s="1"/>
  <c r="J32" i="11"/>
  <c r="L75" i="7" s="1"/>
  <c r="J35" i="11"/>
  <c r="L78" i="7" s="1"/>
  <c r="L79" i="7" s="1"/>
  <c r="L110" i="7"/>
  <c r="I12" i="11"/>
  <c r="I32" i="11"/>
  <c r="K75" i="7" s="1"/>
  <c r="I31" i="11"/>
  <c r="K74" i="7" s="1"/>
  <c r="I34" i="11"/>
  <c r="K77" i="7" s="1"/>
  <c r="I35" i="11"/>
  <c r="K78" i="7" s="1"/>
  <c r="K110" i="7"/>
  <c r="J110" i="7"/>
  <c r="H110" i="7"/>
  <c r="I110" i="7"/>
  <c r="F12" i="11"/>
  <c r="H47" i="7" s="1"/>
  <c r="H106" i="7" s="1"/>
  <c r="F31" i="11"/>
  <c r="H74" i="7" s="1"/>
  <c r="F34" i="11"/>
  <c r="H77" i="7" s="1"/>
  <c r="F32" i="11"/>
  <c r="H75" i="7" s="1"/>
  <c r="F35" i="11"/>
  <c r="H78" i="7" s="1"/>
  <c r="H79" i="7" s="1"/>
  <c r="I11" i="12"/>
  <c r="I12" i="12"/>
  <c r="L54" i="7" s="1"/>
  <c r="K54" i="7"/>
  <c r="D44" i="11"/>
  <c r="D47" i="11"/>
  <c r="D45" i="11"/>
  <c r="D46" i="11"/>
  <c r="D43" i="11"/>
  <c r="E47" i="11"/>
  <c r="E44" i="11"/>
  <c r="E43" i="11"/>
  <c r="E45" i="11"/>
  <c r="E46" i="11"/>
  <c r="C43" i="11"/>
  <c r="C45" i="11"/>
  <c r="C47" i="11"/>
  <c r="C44" i="11"/>
  <c r="C46" i="11"/>
  <c r="D56" i="11"/>
  <c r="D54" i="11"/>
  <c r="E56" i="11"/>
  <c r="E54" i="11"/>
  <c r="E55" i="11"/>
  <c r="F55" i="11" s="1"/>
  <c r="G55" i="11" s="1"/>
  <c r="H55" i="11" s="1"/>
  <c r="I55" i="11" s="1"/>
  <c r="J55" i="11" s="1"/>
  <c r="J28" i="11" s="1"/>
  <c r="L71" i="7" s="1"/>
  <c r="E51" i="11"/>
  <c r="E52" i="11"/>
  <c r="C41" i="11"/>
  <c r="C54" i="11"/>
  <c r="C56" i="11"/>
  <c r="C39" i="11"/>
  <c r="E34" i="10"/>
  <c r="F35" i="10" s="1"/>
  <c r="F36" i="10" s="1"/>
  <c r="D41" i="11"/>
  <c r="D38" i="11"/>
  <c r="D39" i="11"/>
  <c r="E49" i="11"/>
  <c r="F49" i="11" s="1"/>
  <c r="E40" i="11"/>
  <c r="E50" i="11"/>
  <c r="F50" i="11" s="1"/>
  <c r="G50" i="11" s="1"/>
  <c r="H50" i="11" s="1"/>
  <c r="I50" i="11" s="1"/>
  <c r="J50" i="11" s="1"/>
  <c r="J23" i="11" s="1"/>
  <c r="L66" i="7" s="1"/>
  <c r="C38" i="11"/>
  <c r="E26" i="10"/>
  <c r="F27" i="10" s="1"/>
  <c r="E41" i="11"/>
  <c r="E38" i="11"/>
  <c r="E39" i="11"/>
  <c r="L47" i="7"/>
  <c r="K47" i="7"/>
  <c r="J14" i="7"/>
  <c r="H7" i="11"/>
  <c r="I14" i="7"/>
  <c r="G7" i="11"/>
  <c r="G26" i="7"/>
  <c r="G98" i="7" s="1"/>
  <c r="G114" i="7" s="1"/>
  <c r="G136" i="7" s="1"/>
  <c r="G135" i="7" s="1"/>
  <c r="E41" i="10"/>
  <c r="F26" i="7"/>
  <c r="F28" i="7" s="1"/>
  <c r="D41" i="10"/>
  <c r="E26" i="7"/>
  <c r="E28" i="7" s="1"/>
  <c r="C41" i="10"/>
  <c r="D28" i="7"/>
  <c r="D33" i="7" s="1"/>
  <c r="C92" i="7"/>
  <c r="C28" i="7"/>
  <c r="C33" i="7" s="1"/>
  <c r="C98" i="7"/>
  <c r="C114" i="7" s="1"/>
  <c r="C136" i="7" s="1"/>
  <c r="C135" i="7" s="1"/>
  <c r="D92" i="7"/>
  <c r="F92" i="7"/>
  <c r="E92" i="7"/>
  <c r="E3" i="7"/>
  <c r="F3" i="7"/>
  <c r="G92" i="7"/>
  <c r="G3" i="7"/>
  <c r="H14" i="7"/>
  <c r="K14" i="7"/>
  <c r="L14" i="7"/>
  <c r="N123" i="6"/>
  <c r="O127" i="6"/>
  <c r="O123" i="6"/>
  <c r="K72" i="6"/>
  <c r="E74" i="6"/>
  <c r="E84" i="6" s="1"/>
  <c r="C54" i="6"/>
  <c r="I65" i="6"/>
  <c r="R113" i="6"/>
  <c r="R110" i="6"/>
  <c r="F54" i="6"/>
  <c r="L122" i="6"/>
  <c r="F74" i="6"/>
  <c r="F84" i="6" s="1"/>
  <c r="O13" i="6"/>
  <c r="O8" i="6"/>
  <c r="I83" i="6"/>
  <c r="O117" i="6"/>
  <c r="K65" i="6"/>
  <c r="O124" i="6"/>
  <c r="G54" i="6"/>
  <c r="Q113" i="6"/>
  <c r="P13" i="6"/>
  <c r="P7" i="6"/>
  <c r="J83" i="6"/>
  <c r="I44" i="6"/>
  <c r="L83" i="6"/>
  <c r="R112" i="6"/>
  <c r="N122" i="6"/>
  <c r="N126" i="6"/>
  <c r="D14" i="6"/>
  <c r="D19" i="6" s="1"/>
  <c r="I53" i="6"/>
  <c r="I72" i="6"/>
  <c r="N121" i="6"/>
  <c r="O122" i="6"/>
  <c r="O126" i="6"/>
  <c r="J53" i="6"/>
  <c r="O121" i="6"/>
  <c r="N125" i="6"/>
  <c r="I128" i="6"/>
  <c r="R111" i="6"/>
  <c r="N120" i="6"/>
  <c r="O125" i="6"/>
  <c r="J18" i="6"/>
  <c r="L53" i="6"/>
  <c r="L72" i="6"/>
  <c r="N116" i="6"/>
  <c r="O120" i="6"/>
  <c r="N124" i="6"/>
  <c r="N127" i="6"/>
  <c r="J9" i="6"/>
  <c r="R18" i="6"/>
  <c r="R7" i="6"/>
  <c r="R12" i="6"/>
  <c r="R8" i="6"/>
  <c r="Q18" i="6"/>
  <c r="K9" i="6"/>
  <c r="L9" i="6"/>
  <c r="Q8" i="6"/>
  <c r="Q13" i="6"/>
  <c r="Q7" i="6"/>
  <c r="L44" i="6"/>
  <c r="O116" i="6"/>
  <c r="N112" i="6"/>
  <c r="O114" i="6"/>
  <c r="O112" i="6"/>
  <c r="P127" i="6"/>
  <c r="N110" i="6"/>
  <c r="O111" i="6"/>
  <c r="Q114" i="6"/>
  <c r="L118" i="6"/>
  <c r="P120" i="6"/>
  <c r="P121" i="6"/>
  <c r="Q127" i="6"/>
  <c r="Q128" i="6"/>
  <c r="N113" i="6"/>
  <c r="J128" i="6"/>
  <c r="O115" i="6"/>
  <c r="O110" i="6"/>
  <c r="Q120" i="6"/>
  <c r="Q121" i="6"/>
  <c r="P122" i="6"/>
  <c r="P123" i="6"/>
  <c r="P124" i="6"/>
  <c r="P125" i="6"/>
  <c r="P126" i="6"/>
  <c r="N114" i="6"/>
  <c r="I118" i="6"/>
  <c r="O113" i="6"/>
  <c r="N115" i="6"/>
  <c r="N111" i="6"/>
  <c r="P114" i="6"/>
  <c r="K128" i="6"/>
  <c r="J44" i="6"/>
  <c r="G74" i="6"/>
  <c r="G84" i="6" s="1"/>
  <c r="N117" i="6"/>
  <c r="Q122" i="6"/>
  <c r="Q123" i="6"/>
  <c r="Q124" i="6"/>
  <c r="Q125" i="6"/>
  <c r="L13" i="6"/>
  <c r="J13" i="6"/>
  <c r="L18" i="6"/>
  <c r="Q12" i="6"/>
  <c r="K13" i="6"/>
  <c r="O22" i="6"/>
  <c r="R11" i="6"/>
  <c r="I18" i="6"/>
  <c r="N20" i="6"/>
  <c r="C14" i="6"/>
  <c r="C19" i="6" s="1"/>
  <c r="C21" i="6" s="1"/>
  <c r="N13" i="6"/>
  <c r="N18" i="6"/>
  <c r="R121" i="6"/>
  <c r="R120" i="6"/>
  <c r="L128" i="6"/>
  <c r="R126" i="6"/>
  <c r="R123" i="6"/>
  <c r="R127" i="6"/>
  <c r="R125" i="6"/>
  <c r="R124" i="6"/>
  <c r="R128" i="6"/>
  <c r="R122" i="6"/>
  <c r="P8" i="6"/>
  <c r="I9" i="6"/>
  <c r="R9" i="6"/>
  <c r="Q11" i="6"/>
  <c r="P12" i="6"/>
  <c r="I13" i="6"/>
  <c r="R13" i="6"/>
  <c r="R17" i="6"/>
  <c r="K18" i="6"/>
  <c r="N22" i="6"/>
  <c r="K44" i="6"/>
  <c r="L103" i="6"/>
  <c r="Q112" i="6"/>
  <c r="P113" i="6"/>
  <c r="O20" i="6"/>
  <c r="P22" i="6"/>
  <c r="P115" i="6"/>
  <c r="P118" i="6"/>
  <c r="N132" i="6"/>
  <c r="E14" i="6"/>
  <c r="N16" i="6"/>
  <c r="O18" i="6"/>
  <c r="P20" i="6"/>
  <c r="Q22" i="6"/>
  <c r="K53" i="6"/>
  <c r="D54" i="6"/>
  <c r="J65" i="6"/>
  <c r="J72" i="6"/>
  <c r="C74" i="6"/>
  <c r="K83" i="6"/>
  <c r="Q115" i="6"/>
  <c r="P116" i="6"/>
  <c r="Q118" i="6"/>
  <c r="O132" i="6"/>
  <c r="N133" i="6"/>
  <c r="N9" i="6"/>
  <c r="F14" i="6"/>
  <c r="O16" i="6"/>
  <c r="N17" i="6"/>
  <c r="P18" i="6"/>
  <c r="Q20" i="6"/>
  <c r="R22" i="6"/>
  <c r="E54" i="6"/>
  <c r="D74" i="6"/>
  <c r="R115" i="6"/>
  <c r="Q116" i="6"/>
  <c r="P117" i="6"/>
  <c r="R118" i="6"/>
  <c r="P132" i="6"/>
  <c r="O133" i="6"/>
  <c r="N7" i="6"/>
  <c r="O9" i="6"/>
  <c r="N11" i="6"/>
  <c r="G14" i="6"/>
  <c r="P16" i="6"/>
  <c r="O17" i="6"/>
  <c r="R20" i="6"/>
  <c r="Q44" i="6"/>
  <c r="L65" i="6"/>
  <c r="P110" i="6"/>
  <c r="R116" i="6"/>
  <c r="Q117" i="6"/>
  <c r="J118" i="6"/>
  <c r="Q132" i="6"/>
  <c r="P133" i="6"/>
  <c r="O7" i="6"/>
  <c r="N8" i="6"/>
  <c r="P9" i="6"/>
  <c r="O11" i="6"/>
  <c r="Q16" i="6"/>
  <c r="P17" i="6"/>
  <c r="Q110" i="6"/>
  <c r="P111" i="6"/>
  <c r="R117" i="6"/>
  <c r="K118" i="6"/>
  <c r="R132" i="6"/>
  <c r="Q133" i="6"/>
  <c r="Q9" i="6"/>
  <c r="R16" i="6"/>
  <c r="L116" i="7" l="1"/>
  <c r="I13" i="8" s="1"/>
  <c r="K116" i="7"/>
  <c r="H13" i="8" s="1"/>
  <c r="K79" i="7"/>
  <c r="H12" i="11"/>
  <c r="J47" i="7" s="1"/>
  <c r="K106" i="7" s="1"/>
  <c r="H32" i="11"/>
  <c r="J75" i="7" s="1"/>
  <c r="H31" i="11"/>
  <c r="J74" i="7" s="1"/>
  <c r="H34" i="11"/>
  <c r="J77" i="7" s="1"/>
  <c r="H35" i="11"/>
  <c r="J78" i="7" s="1"/>
  <c r="J79" i="7" s="1"/>
  <c r="G12" i="11"/>
  <c r="I47" i="7" s="1"/>
  <c r="I106" i="7" s="1"/>
  <c r="G34" i="11"/>
  <c r="I77" i="7" s="1"/>
  <c r="G31" i="11"/>
  <c r="I74" i="7" s="1"/>
  <c r="G32" i="11"/>
  <c r="I75" i="7" s="1"/>
  <c r="G35" i="11"/>
  <c r="I78" i="7" s="1"/>
  <c r="F39" i="11"/>
  <c r="F45" i="11"/>
  <c r="G45" i="11" s="1"/>
  <c r="H45" i="11" s="1"/>
  <c r="H28" i="11"/>
  <c r="J71" i="7" s="1"/>
  <c r="F44" i="11"/>
  <c r="F18" i="11"/>
  <c r="H57" i="7" s="1"/>
  <c r="F46" i="11"/>
  <c r="G46" i="11" s="1"/>
  <c r="H46" i="11" s="1"/>
  <c r="G28" i="11"/>
  <c r="I71" i="7" s="1"/>
  <c r="F28" i="11"/>
  <c r="H71" i="7" s="1"/>
  <c r="I28" i="11"/>
  <c r="K71" i="7" s="1"/>
  <c r="L112" i="7" s="1"/>
  <c r="F43" i="11"/>
  <c r="F47" i="11"/>
  <c r="F54" i="11"/>
  <c r="F27" i="11" s="1"/>
  <c r="H23" i="11"/>
  <c r="J66" i="7" s="1"/>
  <c r="F56" i="11"/>
  <c r="I23" i="11"/>
  <c r="K66" i="7" s="1"/>
  <c r="G23" i="11"/>
  <c r="I66" i="7" s="1"/>
  <c r="G35" i="10"/>
  <c r="G33" i="10" s="1"/>
  <c r="I17" i="7" s="1"/>
  <c r="F37" i="10"/>
  <c r="F33" i="10"/>
  <c r="H17" i="7" s="1"/>
  <c r="D32" i="7"/>
  <c r="G28" i="7"/>
  <c r="F23" i="11"/>
  <c r="H66" i="7" s="1"/>
  <c r="F51" i="11"/>
  <c r="F24" i="11" s="1"/>
  <c r="F52" i="11"/>
  <c r="F41" i="11"/>
  <c r="F13" i="11" s="1"/>
  <c r="H48" i="7" s="1"/>
  <c r="G49" i="11"/>
  <c r="H49" i="11" s="1"/>
  <c r="I49" i="11" s="1"/>
  <c r="J49" i="11" s="1"/>
  <c r="J22" i="11" s="1"/>
  <c r="L65" i="7" s="1"/>
  <c r="F22" i="11"/>
  <c r="H65" i="7" s="1"/>
  <c r="F29" i="10"/>
  <c r="F25" i="10"/>
  <c r="H16" i="7" s="1"/>
  <c r="F28" i="10"/>
  <c r="G27" i="10"/>
  <c r="F38" i="11"/>
  <c r="F10" i="11" s="1"/>
  <c r="G36" i="10"/>
  <c r="H35" i="10"/>
  <c r="G37" i="10"/>
  <c r="L106" i="7"/>
  <c r="E114" i="7"/>
  <c r="E136" i="7" s="1"/>
  <c r="E135" i="7" s="1"/>
  <c r="E42" i="10"/>
  <c r="F98" i="7"/>
  <c r="F114" i="7" s="1"/>
  <c r="F136" i="7" s="1"/>
  <c r="F135" i="7" s="1"/>
  <c r="C32" i="7"/>
  <c r="P67" i="6"/>
  <c r="P57" i="6"/>
  <c r="P49" i="6"/>
  <c r="P77" i="6"/>
  <c r="P63" i="6"/>
  <c r="P69" i="6"/>
  <c r="P60" i="6"/>
  <c r="P64" i="6"/>
  <c r="P79" i="6"/>
  <c r="P66" i="6"/>
  <c r="P56" i="6"/>
  <c r="P68" i="6"/>
  <c r="P59" i="6"/>
  <c r="P55" i="6"/>
  <c r="P61" i="6"/>
  <c r="P76" i="6"/>
  <c r="P62" i="6"/>
  <c r="P78" i="6"/>
  <c r="R54" i="6"/>
  <c r="R69" i="6"/>
  <c r="R60" i="6"/>
  <c r="R79" i="6"/>
  <c r="R66" i="6"/>
  <c r="R56" i="6"/>
  <c r="R76" i="6"/>
  <c r="R62" i="6"/>
  <c r="R75" i="6"/>
  <c r="R61" i="6"/>
  <c r="R57" i="6"/>
  <c r="R63" i="6"/>
  <c r="R68" i="6"/>
  <c r="R59" i="6"/>
  <c r="R67" i="6"/>
  <c r="R77" i="6"/>
  <c r="R49" i="6"/>
  <c r="R78" i="6"/>
  <c r="R64" i="6"/>
  <c r="R55" i="6"/>
  <c r="Q77" i="6"/>
  <c r="Q63" i="6"/>
  <c r="Q69" i="6"/>
  <c r="Q60" i="6"/>
  <c r="Q49" i="6"/>
  <c r="Q64" i="6"/>
  <c r="Q75" i="6"/>
  <c r="Q67" i="6"/>
  <c r="Q57" i="6"/>
  <c r="Q79" i="6"/>
  <c r="Q66" i="6"/>
  <c r="Q56" i="6"/>
  <c r="Q76" i="6"/>
  <c r="Q62" i="6"/>
  <c r="Q68" i="6"/>
  <c r="Q59" i="6"/>
  <c r="Q78" i="6"/>
  <c r="Q55" i="6"/>
  <c r="Q61" i="6"/>
  <c r="N52" i="6"/>
  <c r="N67" i="6"/>
  <c r="N57" i="6"/>
  <c r="N68" i="6"/>
  <c r="N79" i="6"/>
  <c r="N56" i="6"/>
  <c r="N63" i="6"/>
  <c r="N49" i="6"/>
  <c r="N75" i="6"/>
  <c r="N61" i="6"/>
  <c r="N59" i="6"/>
  <c r="N62" i="6"/>
  <c r="N60" i="6"/>
  <c r="N77" i="6"/>
  <c r="N78" i="6"/>
  <c r="N64" i="6"/>
  <c r="N55" i="6"/>
  <c r="N76" i="6"/>
  <c r="N66" i="6"/>
  <c r="N69" i="6"/>
  <c r="O72" i="6"/>
  <c r="O75" i="6"/>
  <c r="O61" i="6"/>
  <c r="O62" i="6"/>
  <c r="O66" i="6"/>
  <c r="O63" i="6"/>
  <c r="O78" i="6"/>
  <c r="O64" i="6"/>
  <c r="O55" i="6"/>
  <c r="O76" i="6"/>
  <c r="O79" i="6"/>
  <c r="O56" i="6"/>
  <c r="O69" i="6"/>
  <c r="O60" i="6"/>
  <c r="O77" i="6"/>
  <c r="O67" i="6"/>
  <c r="O57" i="6"/>
  <c r="O68" i="6"/>
  <c r="O59" i="6"/>
  <c r="O49" i="6"/>
  <c r="Q39" i="6"/>
  <c r="Q41" i="6"/>
  <c r="Q52" i="6"/>
  <c r="Q47" i="6"/>
  <c r="Q54" i="6"/>
  <c r="N83" i="6"/>
  <c r="N53" i="6"/>
  <c r="N65" i="6"/>
  <c r="N42" i="6"/>
  <c r="N41" i="6"/>
  <c r="K74" i="6"/>
  <c r="N47" i="6"/>
  <c r="N51" i="6"/>
  <c r="P74" i="6"/>
  <c r="N81" i="6"/>
  <c r="N54" i="6"/>
  <c r="N70" i="6"/>
  <c r="N44" i="6"/>
  <c r="N58" i="6"/>
  <c r="N82" i="6"/>
  <c r="N40" i="6"/>
  <c r="N50" i="6"/>
  <c r="N80" i="6"/>
  <c r="N72" i="6"/>
  <c r="Q50" i="6"/>
  <c r="Q43" i="6"/>
  <c r="Q70" i="6"/>
  <c r="Q48" i="6"/>
  <c r="Q42" i="6"/>
  <c r="Q65" i="6"/>
  <c r="Q51" i="6"/>
  <c r="N43" i="6"/>
  <c r="N39" i="6"/>
  <c r="Q81" i="6"/>
  <c r="Q53" i="6"/>
  <c r="Q72" i="6"/>
  <c r="Q74" i="6"/>
  <c r="Q82" i="6"/>
  <c r="Q58" i="6"/>
  <c r="Q40" i="6"/>
  <c r="Q83" i="6"/>
  <c r="N71" i="6"/>
  <c r="N48" i="6"/>
  <c r="Q80" i="6"/>
  <c r="Q71" i="6"/>
  <c r="R50" i="6"/>
  <c r="R70" i="6"/>
  <c r="R42" i="6"/>
  <c r="R51" i="6"/>
  <c r="R53" i="6"/>
  <c r="R83" i="6"/>
  <c r="R48" i="6"/>
  <c r="R58" i="6"/>
  <c r="R44" i="6"/>
  <c r="L54" i="6"/>
  <c r="R80" i="6"/>
  <c r="R40" i="6"/>
  <c r="R47" i="6"/>
  <c r="R72" i="6"/>
  <c r="R81" i="6"/>
  <c r="R82" i="6"/>
  <c r="G85" i="6"/>
  <c r="R65" i="6"/>
  <c r="R39" i="6"/>
  <c r="R41" i="6"/>
  <c r="N14" i="6"/>
  <c r="O14" i="6"/>
  <c r="R43" i="6"/>
  <c r="R52" i="6"/>
  <c r="R71" i="6"/>
  <c r="R74" i="6"/>
  <c r="N19" i="6"/>
  <c r="L74" i="6"/>
  <c r="O83" i="6"/>
  <c r="O65" i="6"/>
  <c r="O44" i="6"/>
  <c r="P72" i="6"/>
  <c r="P83" i="6"/>
  <c r="K54" i="6"/>
  <c r="P53" i="6"/>
  <c r="P65" i="6"/>
  <c r="O53" i="6"/>
  <c r="I14" i="6"/>
  <c r="N21" i="6"/>
  <c r="C23" i="6"/>
  <c r="Q84" i="6"/>
  <c r="K84" i="6"/>
  <c r="P84" i="6"/>
  <c r="Q14" i="6"/>
  <c r="F19" i="6"/>
  <c r="K14" i="6"/>
  <c r="N74" i="6"/>
  <c r="C84" i="6"/>
  <c r="R14" i="6"/>
  <c r="L14" i="6"/>
  <c r="G19" i="6"/>
  <c r="J74" i="6"/>
  <c r="O74" i="6"/>
  <c r="D84" i="6"/>
  <c r="J84" i="6" s="1"/>
  <c r="I74" i="6"/>
  <c r="P80" i="6"/>
  <c r="P58" i="6"/>
  <c r="P48" i="6"/>
  <c r="P43" i="6"/>
  <c r="P54" i="6"/>
  <c r="P47" i="6"/>
  <c r="P52" i="6"/>
  <c r="P44" i="6"/>
  <c r="P42" i="6"/>
  <c r="P70" i="6"/>
  <c r="P50" i="6"/>
  <c r="P41" i="6"/>
  <c r="E85" i="6"/>
  <c r="P71" i="6"/>
  <c r="P40" i="6"/>
  <c r="P82" i="6"/>
  <c r="P81" i="6"/>
  <c r="J54" i="6"/>
  <c r="P51" i="6"/>
  <c r="P39" i="6"/>
  <c r="D21" i="6"/>
  <c r="O19" i="6"/>
  <c r="I19" i="6"/>
  <c r="F85" i="6"/>
  <c r="O81" i="6"/>
  <c r="I54" i="6"/>
  <c r="O51" i="6"/>
  <c r="O80" i="6"/>
  <c r="O71" i="6"/>
  <c r="O58" i="6"/>
  <c r="O48" i="6"/>
  <c r="O43" i="6"/>
  <c r="O40" i="6"/>
  <c r="O54" i="6"/>
  <c r="O47" i="6"/>
  <c r="O42" i="6"/>
  <c r="O50" i="6"/>
  <c r="O41" i="6"/>
  <c r="O82" i="6"/>
  <c r="O70" i="6"/>
  <c r="O52" i="6"/>
  <c r="O39" i="6"/>
  <c r="J14" i="6"/>
  <c r="E19" i="6"/>
  <c r="P14" i="6"/>
  <c r="R84" i="6"/>
  <c r="L84" i="6"/>
  <c r="I79" i="7" l="1"/>
  <c r="J112" i="7"/>
  <c r="G18" i="11"/>
  <c r="I57" i="7" s="1"/>
  <c r="G39" i="11"/>
  <c r="F11" i="11"/>
  <c r="H46" i="7" s="1"/>
  <c r="H105" i="7" s="1"/>
  <c r="H112" i="7"/>
  <c r="I112" i="7"/>
  <c r="G44" i="11"/>
  <c r="F17" i="11"/>
  <c r="H56" i="7" s="1"/>
  <c r="K112" i="7"/>
  <c r="H107" i="7"/>
  <c r="H108" i="7"/>
  <c r="G19" i="11"/>
  <c r="I58" i="7" s="1"/>
  <c r="F19" i="11"/>
  <c r="H58" i="7" s="1"/>
  <c r="H109" i="7"/>
  <c r="I45" i="11"/>
  <c r="H18" i="11"/>
  <c r="J57" i="7" s="1"/>
  <c r="G54" i="11"/>
  <c r="H70" i="7"/>
  <c r="G47" i="11"/>
  <c r="F20" i="11"/>
  <c r="H59" i="7" s="1"/>
  <c r="G43" i="11"/>
  <c r="F16" i="11"/>
  <c r="H55" i="7" s="1"/>
  <c r="G56" i="11"/>
  <c r="F29" i="11"/>
  <c r="H72" i="7" s="1"/>
  <c r="I46" i="11"/>
  <c r="H19" i="11"/>
  <c r="J58" i="7" s="1"/>
  <c r="G52" i="11"/>
  <c r="F25" i="11"/>
  <c r="H68" i="7" s="1"/>
  <c r="H67" i="7"/>
  <c r="H18" i="7"/>
  <c r="H19" i="7" s="1"/>
  <c r="E8" i="8" s="1"/>
  <c r="G41" i="11"/>
  <c r="G13" i="11" s="1"/>
  <c r="I48" i="7" s="1"/>
  <c r="I107" i="7" s="1"/>
  <c r="G51" i="11"/>
  <c r="G22" i="11"/>
  <c r="I65" i="7" s="1"/>
  <c r="I109" i="7" s="1"/>
  <c r="E117" i="11"/>
  <c r="E122" i="11" s="1"/>
  <c r="F116" i="11" s="1"/>
  <c r="I22" i="11"/>
  <c r="K65" i="7" s="1"/>
  <c r="L109" i="7" s="1"/>
  <c r="H22" i="11"/>
  <c r="J65" i="7" s="1"/>
  <c r="J109" i="7" s="1"/>
  <c r="H37" i="10"/>
  <c r="H33" i="10"/>
  <c r="J17" i="7" s="1"/>
  <c r="H36" i="10"/>
  <c r="I35" i="10"/>
  <c r="H45" i="7"/>
  <c r="G38" i="11"/>
  <c r="G10" i="11" s="1"/>
  <c r="G25" i="10"/>
  <c r="I16" i="7" s="1"/>
  <c r="I18" i="7" s="1"/>
  <c r="I19" i="7" s="1"/>
  <c r="F8" i="8" s="1"/>
  <c r="G29" i="10"/>
  <c r="H27" i="10"/>
  <c r="G28" i="10"/>
  <c r="F26" i="11"/>
  <c r="H69" i="7" s="1"/>
  <c r="J106" i="7"/>
  <c r="D85" i="6"/>
  <c r="L19" i="6"/>
  <c r="R19" i="6"/>
  <c r="G21" i="6"/>
  <c r="K19" i="6"/>
  <c r="F21" i="6"/>
  <c r="Q19" i="6"/>
  <c r="D23" i="6"/>
  <c r="I21" i="6"/>
  <c r="O21" i="6"/>
  <c r="N84" i="6"/>
  <c r="C85" i="6"/>
  <c r="C92" i="6"/>
  <c r="C108" i="6" s="1"/>
  <c r="N23" i="6"/>
  <c r="C25" i="6"/>
  <c r="J19" i="6"/>
  <c r="P19" i="6"/>
  <c r="E21" i="6"/>
  <c r="I84" i="6"/>
  <c r="O84" i="6"/>
  <c r="F9" i="8" l="1"/>
  <c r="F10" i="8"/>
  <c r="E9" i="8"/>
  <c r="E10" i="8" s="1"/>
  <c r="H39" i="11"/>
  <c r="G11" i="11"/>
  <c r="I46" i="7" s="1"/>
  <c r="I105" i="7" s="1"/>
  <c r="H60" i="7"/>
  <c r="K109" i="7"/>
  <c r="H44" i="11"/>
  <c r="G17" i="11"/>
  <c r="I56" i="7" s="1"/>
  <c r="H121" i="7"/>
  <c r="H51" i="11"/>
  <c r="G24" i="11"/>
  <c r="H113" i="7"/>
  <c r="E12" i="8" s="1"/>
  <c r="H73" i="7"/>
  <c r="H81" i="7" s="1"/>
  <c r="H56" i="11"/>
  <c r="G29" i="11"/>
  <c r="I72" i="7" s="1"/>
  <c r="H54" i="11"/>
  <c r="G27" i="11"/>
  <c r="I70" i="7" s="1"/>
  <c r="H123" i="7"/>
  <c r="H43" i="11"/>
  <c r="G16" i="11"/>
  <c r="I55" i="7" s="1"/>
  <c r="J45" i="11"/>
  <c r="J18" i="11" s="1"/>
  <c r="L57" i="7" s="1"/>
  <c r="I18" i="11"/>
  <c r="K57" i="7" s="1"/>
  <c r="J46" i="11"/>
  <c r="J19" i="11" s="1"/>
  <c r="L58" i="7" s="1"/>
  <c r="I19" i="11"/>
  <c r="K58" i="7" s="1"/>
  <c r="H47" i="11"/>
  <c r="G20" i="11"/>
  <c r="I59" i="7" s="1"/>
  <c r="I121" i="7" s="1"/>
  <c r="H52" i="11"/>
  <c r="G25" i="11"/>
  <c r="I68" i="7" s="1"/>
  <c r="H41" i="11"/>
  <c r="I67" i="7"/>
  <c r="G26" i="11"/>
  <c r="I69" i="7" s="1"/>
  <c r="H38" i="11"/>
  <c r="H10" i="11" s="1"/>
  <c r="I45" i="7"/>
  <c r="J35" i="10"/>
  <c r="I37" i="10"/>
  <c r="I33" i="10"/>
  <c r="K17" i="7" s="1"/>
  <c r="I36" i="10"/>
  <c r="H29" i="10"/>
  <c r="H28" i="10"/>
  <c r="I27" i="10"/>
  <c r="H25" i="10"/>
  <c r="J16" i="7" s="1"/>
  <c r="J18" i="7" s="1"/>
  <c r="J19" i="7" s="1"/>
  <c r="G8" i="8" s="1"/>
  <c r="C130" i="6"/>
  <c r="C129" i="6"/>
  <c r="C28" i="6"/>
  <c r="C29" i="6"/>
  <c r="N25" i="6"/>
  <c r="K21" i="6"/>
  <c r="Q21" i="6"/>
  <c r="F23" i="6"/>
  <c r="D92" i="6"/>
  <c r="D108" i="6" s="1"/>
  <c r="D129" i="6" s="1"/>
  <c r="O23" i="6"/>
  <c r="D25" i="6"/>
  <c r="I23" i="6"/>
  <c r="L21" i="6"/>
  <c r="R21" i="6"/>
  <c r="G23" i="6"/>
  <c r="E23" i="6"/>
  <c r="P21" i="6"/>
  <c r="J21" i="6"/>
  <c r="G9" i="8" l="1"/>
  <c r="G10" i="8" s="1"/>
  <c r="E14" i="8"/>
  <c r="E18" i="8" s="1"/>
  <c r="I60" i="7"/>
  <c r="I39" i="11"/>
  <c r="H11" i="11"/>
  <c r="J46" i="7" s="1"/>
  <c r="J105" i="7" s="1"/>
  <c r="H24" i="11"/>
  <c r="J67" i="7" s="1"/>
  <c r="I44" i="11"/>
  <c r="H17" i="11"/>
  <c r="J56" i="7" s="1"/>
  <c r="H124" i="7"/>
  <c r="I113" i="7"/>
  <c r="F12" i="8" s="1"/>
  <c r="F14" i="8" s="1"/>
  <c r="F18" i="8" s="1"/>
  <c r="I51" i="11"/>
  <c r="I73" i="7"/>
  <c r="I81" i="7" s="1"/>
  <c r="I47" i="11"/>
  <c r="H20" i="11"/>
  <c r="J59" i="7" s="1"/>
  <c r="J121" i="7" s="1"/>
  <c r="I43" i="11"/>
  <c r="H16" i="11"/>
  <c r="J55" i="7" s="1"/>
  <c r="I123" i="7"/>
  <c r="I124" i="7" s="1"/>
  <c r="I54" i="11"/>
  <c r="H27" i="11"/>
  <c r="J70" i="7" s="1"/>
  <c r="I56" i="11"/>
  <c r="H29" i="11"/>
  <c r="J72" i="7" s="1"/>
  <c r="H25" i="11"/>
  <c r="J68" i="7" s="1"/>
  <c r="I52" i="11"/>
  <c r="J51" i="11"/>
  <c r="H13" i="11"/>
  <c r="J48" i="7" s="1"/>
  <c r="J107" i="7" s="1"/>
  <c r="I41" i="11"/>
  <c r="I25" i="10"/>
  <c r="K16" i="7" s="1"/>
  <c r="K18" i="7" s="1"/>
  <c r="K19" i="7" s="1"/>
  <c r="H8" i="8" s="1"/>
  <c r="I29" i="10"/>
  <c r="J27" i="10"/>
  <c r="I28" i="10"/>
  <c r="H26" i="11"/>
  <c r="J69" i="7" s="1"/>
  <c r="I38" i="11"/>
  <c r="I10" i="11" s="1"/>
  <c r="J45" i="7"/>
  <c r="J36" i="10"/>
  <c r="J37" i="10"/>
  <c r="J33" i="10"/>
  <c r="L17" i="7" s="1"/>
  <c r="D28" i="6"/>
  <c r="D29" i="6"/>
  <c r="N102" i="6"/>
  <c r="N101" i="6"/>
  <c r="N100" i="6"/>
  <c r="N95" i="6"/>
  <c r="N106" i="6"/>
  <c r="N99" i="6"/>
  <c r="N104" i="6"/>
  <c r="N97" i="6"/>
  <c r="N103" i="6"/>
  <c r="N108" i="6"/>
  <c r="N96" i="6"/>
  <c r="N94" i="6"/>
  <c r="G25" i="6"/>
  <c r="L23" i="6"/>
  <c r="G92" i="6"/>
  <c r="G108" i="6" s="1"/>
  <c r="R23" i="6"/>
  <c r="F25" i="6"/>
  <c r="F92" i="6"/>
  <c r="F108" i="6" s="1"/>
  <c r="F129" i="6" s="1"/>
  <c r="K23" i="6"/>
  <c r="Q23" i="6"/>
  <c r="I92" i="6"/>
  <c r="O92" i="6"/>
  <c r="E25" i="6"/>
  <c r="J23" i="6"/>
  <c r="E92" i="6"/>
  <c r="E108" i="6" s="1"/>
  <c r="E129" i="6" s="1"/>
  <c r="P23" i="6"/>
  <c r="N92" i="6"/>
  <c r="O25" i="6"/>
  <c r="I25" i="6"/>
  <c r="H9" i="8" l="1"/>
  <c r="H10" i="8" s="1"/>
  <c r="J39" i="11"/>
  <c r="J11" i="11" s="1"/>
  <c r="L46" i="7" s="1"/>
  <c r="I11" i="11"/>
  <c r="K46" i="7" s="1"/>
  <c r="K105" i="7" s="1"/>
  <c r="J113" i="7"/>
  <c r="G12" i="8" s="1"/>
  <c r="G14" i="8" s="1"/>
  <c r="G18" i="8" s="1"/>
  <c r="J123" i="7"/>
  <c r="J124" i="7" s="1"/>
  <c r="J60" i="7"/>
  <c r="I24" i="11"/>
  <c r="K67" i="7" s="1"/>
  <c r="J24" i="11"/>
  <c r="L67" i="7" s="1"/>
  <c r="J44" i="11"/>
  <c r="J17" i="11" s="1"/>
  <c r="L56" i="7" s="1"/>
  <c r="I17" i="11"/>
  <c r="K56" i="7" s="1"/>
  <c r="J73" i="7"/>
  <c r="J81" i="7" s="1"/>
  <c r="J56" i="11"/>
  <c r="J29" i="11" s="1"/>
  <c r="L72" i="7" s="1"/>
  <c r="I29" i="11"/>
  <c r="K72" i="7" s="1"/>
  <c r="J43" i="11"/>
  <c r="J16" i="11" s="1"/>
  <c r="L55" i="7" s="1"/>
  <c r="I16" i="11"/>
  <c r="K55" i="7" s="1"/>
  <c r="J47" i="11"/>
  <c r="J20" i="11" s="1"/>
  <c r="L59" i="7" s="1"/>
  <c r="I20" i="11"/>
  <c r="K59" i="7" s="1"/>
  <c r="J54" i="11"/>
  <c r="J27" i="11" s="1"/>
  <c r="L70" i="7" s="1"/>
  <c r="I27" i="11"/>
  <c r="K70" i="7" s="1"/>
  <c r="I25" i="11"/>
  <c r="K68" i="7" s="1"/>
  <c r="J52" i="11"/>
  <c r="J25" i="11" s="1"/>
  <c r="L68" i="7" s="1"/>
  <c r="I13" i="11"/>
  <c r="K48" i="7" s="1"/>
  <c r="K107" i="7" s="1"/>
  <c r="J41" i="11"/>
  <c r="J13" i="11" s="1"/>
  <c r="L48" i="7" s="1"/>
  <c r="J38" i="11"/>
  <c r="J10" i="11" s="1"/>
  <c r="K45" i="7"/>
  <c r="J29" i="10"/>
  <c r="J25" i="10"/>
  <c r="L16" i="7" s="1"/>
  <c r="L18" i="7" s="1"/>
  <c r="L19" i="7" s="1"/>
  <c r="I8" i="8" s="1"/>
  <c r="J28" i="10"/>
  <c r="J26" i="11"/>
  <c r="L69" i="7" s="1"/>
  <c r="I26" i="11"/>
  <c r="K69" i="7" s="1"/>
  <c r="G129" i="6"/>
  <c r="G130" i="6"/>
  <c r="G28" i="6"/>
  <c r="L25" i="6"/>
  <c r="G29" i="6"/>
  <c r="R25" i="6"/>
  <c r="O101" i="6"/>
  <c r="O94" i="6"/>
  <c r="I108" i="6"/>
  <c r="O100" i="6"/>
  <c r="O106" i="6"/>
  <c r="O99" i="6"/>
  <c r="O104" i="6"/>
  <c r="O97" i="6"/>
  <c r="D130" i="6"/>
  <c r="O108" i="6"/>
  <c r="O96" i="6"/>
  <c r="O103" i="6"/>
  <c r="O95" i="6"/>
  <c r="O102" i="6"/>
  <c r="N130" i="6"/>
  <c r="N129" i="6"/>
  <c r="N90" i="6"/>
  <c r="J92" i="6"/>
  <c r="P92" i="6"/>
  <c r="K92" i="6"/>
  <c r="Q92" i="6"/>
  <c r="L92" i="6"/>
  <c r="R92" i="6"/>
  <c r="Q25" i="6"/>
  <c r="F28" i="6"/>
  <c r="F29" i="6"/>
  <c r="K25" i="6"/>
  <c r="J25" i="6"/>
  <c r="P25" i="6"/>
  <c r="E28" i="6"/>
  <c r="E29" i="6"/>
  <c r="I9" i="8" l="1"/>
  <c r="I10" i="8" s="1"/>
  <c r="L26" i="8"/>
  <c r="L27" i="8" s="1"/>
  <c r="L121" i="7"/>
  <c r="K60" i="7"/>
  <c r="L60" i="7"/>
  <c r="L105" i="7"/>
  <c r="L113" i="7"/>
  <c r="K121" i="7"/>
  <c r="K113" i="7"/>
  <c r="H12" i="8" s="1"/>
  <c r="H14" i="8" s="1"/>
  <c r="H18" i="8" s="1"/>
  <c r="L73" i="7"/>
  <c r="L81" i="7" s="1"/>
  <c r="K73" i="7"/>
  <c r="K81" i="7" s="1"/>
  <c r="L123" i="7"/>
  <c r="L124" i="7" s="1"/>
  <c r="K123" i="7"/>
  <c r="L45" i="7"/>
  <c r="L107" i="7"/>
  <c r="J108" i="6"/>
  <c r="P100" i="6"/>
  <c r="P106" i="6"/>
  <c r="P99" i="6"/>
  <c r="P104" i="6"/>
  <c r="P97" i="6"/>
  <c r="P108" i="6"/>
  <c r="P96" i="6"/>
  <c r="P102" i="6"/>
  <c r="P103" i="6"/>
  <c r="P95" i="6"/>
  <c r="E130" i="6"/>
  <c r="P94" i="6"/>
  <c r="P101" i="6"/>
  <c r="I130" i="6"/>
  <c r="O130" i="6"/>
  <c r="O90" i="6"/>
  <c r="Q106" i="6"/>
  <c r="Q99" i="6"/>
  <c r="Q104" i="6"/>
  <c r="Q97" i="6"/>
  <c r="Q108" i="6"/>
  <c r="Q96" i="6"/>
  <c r="Q103" i="6"/>
  <c r="Q95" i="6"/>
  <c r="F130" i="6"/>
  <c r="Q94" i="6"/>
  <c r="Q102" i="6"/>
  <c r="Q101" i="6"/>
  <c r="K108" i="6"/>
  <c r="Q100" i="6"/>
  <c r="R97" i="6"/>
  <c r="R100" i="6"/>
  <c r="R108" i="6"/>
  <c r="R96" i="6"/>
  <c r="R95" i="6"/>
  <c r="R94" i="6"/>
  <c r="R102" i="6"/>
  <c r="R101" i="6"/>
  <c r="L108" i="6"/>
  <c r="R106" i="6"/>
  <c r="R99" i="6"/>
  <c r="R103" i="6"/>
  <c r="R104" i="6"/>
  <c r="I12" i="8" l="1"/>
  <c r="I14" i="8" s="1"/>
  <c r="K124" i="7"/>
  <c r="XFD96" i="6"/>
  <c r="I129" i="6"/>
  <c r="O129" i="6"/>
  <c r="J130" i="6"/>
  <c r="P130" i="6"/>
  <c r="P90" i="6"/>
  <c r="R130" i="6"/>
  <c r="R90" i="6"/>
  <c r="L130" i="6"/>
  <c r="K130" i="6"/>
  <c r="Q130" i="6"/>
  <c r="Q90" i="6"/>
  <c r="L9" i="8" l="1"/>
  <c r="L14" i="8" s="1"/>
  <c r="L15" i="8" s="1"/>
  <c r="I18" i="8"/>
  <c r="Q129" i="6"/>
  <c r="K129" i="6"/>
  <c r="R129" i="6"/>
  <c r="L129" i="6"/>
  <c r="P129" i="6"/>
  <c r="J129" i="6"/>
  <c r="L8" i="8" l="1"/>
  <c r="L16" i="8" s="1"/>
  <c r="C21" i="8" s="1"/>
  <c r="C25" i="8" s="1"/>
  <c r="C27" i="8" s="1"/>
  <c r="L20" i="8"/>
  <c r="L28" i="8" s="1"/>
  <c r="D21" i="8" s="1"/>
  <c r="D25" i="8" s="1"/>
  <c r="D27" i="8" s="1"/>
  <c r="O21" i="8" s="1"/>
  <c r="I50" i="7"/>
  <c r="I61" i="7" s="1"/>
  <c r="J110" i="11"/>
  <c r="K50" i="7"/>
  <c r="K61" i="7" s="1"/>
  <c r="G110" i="11"/>
  <c r="L50" i="7"/>
  <c r="L61" i="7" s="1"/>
  <c r="H110" i="11"/>
  <c r="L96" i="7"/>
  <c r="K96" i="7"/>
  <c r="I110" i="11"/>
  <c r="J96" i="7"/>
  <c r="J50" i="7"/>
  <c r="J61" i="7" s="1"/>
  <c r="O9" i="8" l="1"/>
  <c r="J112" i="11"/>
  <c r="L20" i="7" s="1"/>
  <c r="L23" i="7" s="1"/>
  <c r="L24" i="7" s="1"/>
  <c r="L25" i="7" s="1"/>
  <c r="L26" i="7" s="1"/>
  <c r="I112" i="11"/>
  <c r="K20" i="7" s="1"/>
  <c r="K23" i="7" s="1"/>
  <c r="K24" i="7" s="1"/>
  <c r="K25" i="7" s="1"/>
  <c r="K26" i="7" s="1"/>
  <c r="H112" i="11"/>
  <c r="J20" i="7" s="1"/>
  <c r="J23" i="7" s="1"/>
  <c r="J24" i="7" s="1"/>
  <c r="J25" i="7" s="1"/>
  <c r="J26" i="7" s="1"/>
  <c r="K98" i="7" l="1"/>
  <c r="K114" i="7" s="1"/>
  <c r="K28" i="7"/>
  <c r="L98" i="7"/>
  <c r="L114" i="7" s="1"/>
  <c r="L28" i="7"/>
  <c r="J98" i="7"/>
  <c r="J114" i="7" s="1"/>
  <c r="J28" i="7"/>
  <c r="K32" i="7" l="1"/>
  <c r="K33" i="7"/>
  <c r="J32" i="7"/>
  <c r="J33" i="7"/>
  <c r="L32" i="7"/>
  <c r="L33" i="7"/>
  <c r="L128" i="7"/>
  <c r="L134" i="7" s="1"/>
  <c r="L136" i="7" s="1"/>
  <c r="L135" i="7" s="1"/>
  <c r="J117" i="11"/>
  <c r="I117" i="11"/>
  <c r="K128" i="7"/>
  <c r="K134" i="7" s="1"/>
  <c r="K136" i="7" s="1"/>
  <c r="K135" i="7" s="1"/>
  <c r="J128" i="7"/>
  <c r="J134" i="7" s="1"/>
  <c r="J136" i="7" s="1"/>
  <c r="J135" i="7" s="1"/>
  <c r="H117" i="11"/>
  <c r="H50" i="7"/>
  <c r="H61" i="7" s="1"/>
  <c r="I96" i="7"/>
  <c r="G112" i="11"/>
  <c r="I20" i="7" s="1"/>
  <c r="I23" i="7" s="1"/>
  <c r="I24" i="7" s="1"/>
  <c r="F110" i="11"/>
  <c r="F112" i="11" s="1"/>
  <c r="H20" i="7" s="1"/>
  <c r="H23" i="7" s="1"/>
  <c r="H24" i="7" s="1"/>
  <c r="H25" i="7" l="1"/>
  <c r="H26" i="7" s="1"/>
  <c r="I25" i="7"/>
  <c r="I26" i="7" s="1"/>
  <c r="I98" i="7" l="1"/>
  <c r="I114" i="7" s="1"/>
  <c r="I28" i="7"/>
  <c r="H28" i="7"/>
  <c r="H98" i="7"/>
  <c r="H114" i="7" s="1"/>
  <c r="I33" i="7" l="1"/>
  <c r="I32" i="7"/>
  <c r="H33" i="7"/>
  <c r="H32" i="7"/>
  <c r="H128" i="7"/>
  <c r="H134" i="7" s="1"/>
  <c r="H136" i="7" s="1"/>
  <c r="H135" i="7" s="1"/>
  <c r="F117" i="11"/>
  <c r="F122" i="11" s="1"/>
  <c r="I128" i="7"/>
  <c r="I134" i="7" s="1"/>
  <c r="I136" i="7" s="1"/>
  <c r="I135" i="7" s="1"/>
  <c r="G117" i="11"/>
  <c r="G116" i="11" l="1"/>
  <c r="G122" i="11" s="1"/>
  <c r="H88" i="7"/>
  <c r="H90" i="7" s="1"/>
  <c r="H91" i="7" s="1"/>
  <c r="H92" i="7" s="1"/>
  <c r="H3" i="7" l="1"/>
  <c r="I88" i="7"/>
  <c r="I90" i="7" s="1"/>
  <c r="I91" i="7" s="1"/>
  <c r="H116" i="11"/>
  <c r="H122" i="11" s="1"/>
  <c r="I116" i="11" l="1"/>
  <c r="I122" i="11" s="1"/>
  <c r="J88" i="7"/>
  <c r="J90" i="7" s="1"/>
  <c r="J91" i="7" s="1"/>
  <c r="I92" i="7"/>
  <c r="I3" i="7"/>
  <c r="J3" i="7" l="1"/>
  <c r="J92" i="7"/>
  <c r="K88" i="7"/>
  <c r="K90" i="7" s="1"/>
  <c r="K91" i="7" s="1"/>
  <c r="J116" i="11"/>
  <c r="J122" i="11" s="1"/>
  <c r="L88" i="7" s="1"/>
  <c r="L90" i="7" s="1"/>
  <c r="L91" i="7" s="1"/>
  <c r="L92" i="7" s="1"/>
  <c r="L3" i="7" l="1"/>
  <c r="K92" i="7"/>
  <c r="K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tc={8CF5D4D4-D43F-4D80-9D9D-3EBB289B666D}</author>
    <author>tc={C3C4C629-D361-4D79-9318-612E513FEC8B}</author>
  </authors>
  <commentList>
    <comment ref="G30" authorId="0" shapeId="0" xr:uid="{8CF5D4D4-D43F-4D80-9D9D-3EBB289B666D}">
      <text>
        <t>[Threaded comment]
Your version of Excel allows you to read this threaded comment; however, any edits to it will get removed if the file is opened in a newer version of Excel. Learn more: https://go.microsoft.com/fwlink/?linkid=870924
Comment:
    the company is continuing to invest in r&amp;d , and their employees with risk factors that have been steady overtime (I.e. political events, macroeconomic and industry risk, Covid)</t>
      </text>
    </comment>
    <comment ref="G35" authorId="1" shapeId="0" xr:uid="{C3C4C629-D361-4D79-9318-612E513FEC8B}">
      <text>
        <t>[Threaded comment]
Your version of Excel allows you to read this threaded comment; however, any edits to it will get removed if the file is opened in a newer version of Excel. Learn more: https://go.microsoft.com/fwlink/?linkid=870924
Comment:
    Although there is rise in MAC revenue before COVID, which is declining in later years, that may be effect of covid.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Georgio Bou-Anak</author>
    <author>User</author>
  </authors>
  <commentList>
    <comment ref="E92" authorId="0" shapeId="0" xr:uid="{C490A95C-AC3A-4E7A-93DA-212B932EF0A9}">
      <text>
        <r>
          <rPr>
            <sz val="9"/>
            <color indexed="81"/>
            <rFont val="Tahoma"/>
            <family val="2"/>
          </rPr>
          <t xml:space="preserve">2021 10-K pg. 45
</t>
        </r>
      </text>
    </comment>
    <comment ref="J92" authorId="0" shapeId="0" xr:uid="{8740D7D6-8533-46DC-BAF2-CDB330C77375}">
      <text>
        <r>
          <rPr>
            <sz val="9"/>
            <color indexed="81"/>
            <rFont val="Tahoma"/>
            <family val="2"/>
          </rPr>
          <t>Assuming current portion = 10% of Long-Term balance</t>
        </r>
      </text>
    </comment>
    <comment ref="E93" authorId="0" shapeId="0" xr:uid="{F39074D1-54F6-42A6-B5EA-86A93B225E29}">
      <text>
        <r>
          <rPr>
            <sz val="9"/>
            <color indexed="81"/>
            <rFont val="Tahoma"/>
            <family val="2"/>
          </rPr>
          <t>2021 10-K pg. 74</t>
        </r>
      </text>
    </comment>
    <comment ref="F93" authorId="1" shapeId="0" xr:uid="{6674C799-3F82-4F65-8AA4-7D5A84C411FF}">
      <text>
        <r>
          <rPr>
            <sz val="9"/>
            <color indexed="81"/>
            <rFont val="Tahoma"/>
            <family val="2"/>
          </rPr>
          <t xml:space="preserve">The long-term debt balance is reduced by the amount that is allocated to the current portion of debt.   That current portion of debt shows on the balance sheet this year, but will be paid off next year. </t>
        </r>
      </text>
    </comment>
    <comment ref="G96" authorId="0" shapeId="0" xr:uid="{A4A05ADC-800A-4369-BE44-3CB92670E6E3}">
      <text>
        <r>
          <rPr>
            <sz val="9"/>
            <color indexed="81"/>
            <rFont val="Tahoma"/>
            <family val="2"/>
          </rPr>
          <t xml:space="preserve">2021 10-K pg. 44
</t>
        </r>
      </text>
    </comment>
    <comment ref="E99" authorId="0" shapeId="0" xr:uid="{1B4C9C9D-C250-4356-A001-398383798CDC}">
      <text>
        <r>
          <rPr>
            <sz val="9"/>
            <color indexed="81"/>
            <rFont val="Tahoma"/>
            <family val="2"/>
          </rPr>
          <t xml:space="preserve">2021 10-K pg. 45
</t>
        </r>
      </text>
    </comment>
    <comment ref="J99" authorId="0" shapeId="0" xr:uid="{F59E0B21-2F60-460B-84A7-18414E61792E}">
      <text>
        <r>
          <rPr>
            <sz val="9"/>
            <color indexed="81"/>
            <rFont val="Tahoma"/>
            <family val="2"/>
          </rPr>
          <t>Assuming current portion = 10% of LT balance</t>
        </r>
      </text>
    </comment>
    <comment ref="E100" authorId="0" shapeId="0" xr:uid="{EF322587-E34F-4F1F-A70D-7D03EC6E0825}">
      <text>
        <r>
          <rPr>
            <sz val="9"/>
            <color indexed="81"/>
            <rFont val="Tahoma"/>
            <family val="2"/>
          </rPr>
          <t>2021 10-K pg. 45</t>
        </r>
      </text>
    </comment>
    <comment ref="E106" authorId="0" shapeId="0" xr:uid="{3A3A99C0-B65D-4A16-BC01-5D57A64D9424}">
      <text>
        <r>
          <rPr>
            <sz val="9"/>
            <color indexed="81"/>
            <rFont val="Tahoma"/>
            <family val="2"/>
          </rPr>
          <t>2021 10-K pg. 80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B31" authorId="0" shapeId="0" xr:uid="{052FFD69-5BC7-4DBC-B9CC-E326AFC5099E}">
      <text>
        <r>
          <rPr>
            <sz val="9"/>
            <color indexed="81"/>
            <rFont val="Tahoma"/>
            <family val="2"/>
          </rPr>
          <t>The values in C33:D33, C34:D34 and C35:D35 are copy/pasted from range C28:D28 for each of the three scenarios analyzed (base, upside and downside). I did this because the Implied Share Price (found in cells C28:D28) will vary depending on which of the three cases we are analyzing and there's no other place in this model where you can see all 3 outcomes simultaneously. This is the last step in your model and it will allow you to calculate the weighted average of all three scenarios (shown in cells C36:D36).</t>
        </r>
      </text>
    </comment>
    <comment ref="D31" authorId="0" shapeId="0" xr:uid="{2A241A55-C242-4384-B6C3-786A1E1C1960}">
      <text>
        <r>
          <rPr>
            <sz val="9"/>
            <color indexed="81"/>
            <rFont val="Tahoma"/>
            <family val="2"/>
          </rPr>
          <t>This is where you adjust the weights you want to assign to each case (base, upside and downside). Feel free to adjust as you see fit, but make sure you can support your decision.</t>
        </r>
      </text>
    </comment>
  </commentList>
</comments>
</file>

<file path=xl/sharedStrings.xml><?xml version="1.0" encoding="utf-8"?>
<sst xmlns="http://schemas.openxmlformats.org/spreadsheetml/2006/main" count="751" uniqueCount="391">
  <si>
    <t>Net Income</t>
  </si>
  <si>
    <t>Apple</t>
  </si>
  <si>
    <t>IBM</t>
  </si>
  <si>
    <t>Oracle</t>
  </si>
  <si>
    <t>(USD in mm except per share amounts and when otherwise noted)</t>
  </si>
  <si>
    <t>x</t>
  </si>
  <si>
    <t>Company Name</t>
  </si>
  <si>
    <t>MICROSOFT CORP</t>
  </si>
  <si>
    <t>Font Legend:</t>
  </si>
  <si>
    <t>Ticker</t>
  </si>
  <si>
    <t>MSFT</t>
  </si>
  <si>
    <t>Blue</t>
  </si>
  <si>
    <t>Hardcoded Input</t>
  </si>
  <si>
    <t>Closing Share Price [1]</t>
  </si>
  <si>
    <t>Black</t>
  </si>
  <si>
    <t xml:space="preserve">Formula only referencing cell(s) in same sheet </t>
  </si>
  <si>
    <t>52-Week High</t>
  </si>
  <si>
    <t>Green</t>
  </si>
  <si>
    <t>Formula referencing cell(s) in other sheet(s)</t>
  </si>
  <si>
    <t>52-Week Low</t>
  </si>
  <si>
    <t>% of 52-Week High</t>
  </si>
  <si>
    <t>Stock Performance</t>
  </si>
  <si>
    <t>Current</t>
  </si>
  <si>
    <t>Valuation Date</t>
  </si>
  <si>
    <t>Year-to-Date Return</t>
  </si>
  <si>
    <t>Last Fiscal Year End Date</t>
  </si>
  <si>
    <t>3-Year CAGR</t>
  </si>
  <si>
    <t>Financial Units</t>
  </si>
  <si>
    <t>USD in mm</t>
  </si>
  <si>
    <t>5-Year CAGR</t>
  </si>
  <si>
    <t>Circularity</t>
  </si>
  <si>
    <t>[1] As of 08/21/2024</t>
  </si>
  <si>
    <t>Peer Mean</t>
  </si>
  <si>
    <t>Current EV/EBITDA</t>
  </si>
  <si>
    <t>Current P/E</t>
  </si>
  <si>
    <t>Valuation Summary</t>
  </si>
  <si>
    <t>Forward EV/EBITDA</t>
  </si>
  <si>
    <t>Discounted Cash Flow</t>
  </si>
  <si>
    <t>Perpetual Growth</t>
  </si>
  <si>
    <t>Forward P/E</t>
  </si>
  <si>
    <t>Base Case</t>
  </si>
  <si>
    <t>Upside Case</t>
  </si>
  <si>
    <t>Stock Price Summary:</t>
  </si>
  <si>
    <t>Downside Case</t>
  </si>
  <si>
    <t>Weighted Average [2]</t>
  </si>
  <si>
    <t>Implied Premium (Discount)</t>
  </si>
  <si>
    <t>Horizontal Analysis</t>
  </si>
  <si>
    <t>Common Size Statements (Vertical Analysis)</t>
  </si>
  <si>
    <t>Historical Financials</t>
  </si>
  <si>
    <t>Income Statement</t>
  </si>
  <si>
    <t>Income Statement (Common Figure = Revenues)</t>
  </si>
  <si>
    <t>Net Sales</t>
  </si>
  <si>
    <t>Product</t>
  </si>
  <si>
    <t>Services</t>
  </si>
  <si>
    <t>Total Net Sales</t>
  </si>
  <si>
    <t>Cost of Sales</t>
  </si>
  <si>
    <t>Total Cost of Sales</t>
  </si>
  <si>
    <t>Gross Margin</t>
  </si>
  <si>
    <t>Operating Expenses</t>
  </si>
  <si>
    <t>Research &amp; Development</t>
  </si>
  <si>
    <t>Selling, General &amp; Administrative</t>
  </si>
  <si>
    <t>Total Operating Expenses</t>
  </si>
  <si>
    <t>Operating Income (Loss)</t>
  </si>
  <si>
    <t>Other Income /Expenses, Net</t>
  </si>
  <si>
    <t>Income before Provision for Income Taxes</t>
  </si>
  <si>
    <t>Provision for Income Taxes</t>
  </si>
  <si>
    <t>Noncontrolling Interests</t>
  </si>
  <si>
    <t>Net Income (Loss) to Common Shareholders</t>
  </si>
  <si>
    <t>Earnings Per Share:</t>
  </si>
  <si>
    <t>Basic</t>
  </si>
  <si>
    <t>Diluted</t>
  </si>
  <si>
    <t>Shares Outstanding:</t>
  </si>
  <si>
    <t>Balance Sheet</t>
  </si>
  <si>
    <t>Assets</t>
  </si>
  <si>
    <t>Current Assets</t>
  </si>
  <si>
    <t>Cash &amp; Cash Equivalents</t>
  </si>
  <si>
    <t>Accounts Receivable, net</t>
  </si>
  <si>
    <t>Inventories</t>
  </si>
  <si>
    <t>Other Current Assets</t>
  </si>
  <si>
    <t>Total Current Assets</t>
  </si>
  <si>
    <t>Non-Current Assets</t>
  </si>
  <si>
    <t>Property, Plant &amp; Equipment, net</t>
  </si>
  <si>
    <t>Goodwill</t>
  </si>
  <si>
    <t>Acquired intangible asset</t>
  </si>
  <si>
    <t>Other Non-Current Assets</t>
  </si>
  <si>
    <t>Total Non-Current Assets</t>
  </si>
  <si>
    <t>Total Assets</t>
  </si>
  <si>
    <t>Liabilities</t>
  </si>
  <si>
    <t>Current Liabilities</t>
  </si>
  <si>
    <t>Accounts Payable</t>
  </si>
  <si>
    <t>Other current liabilities</t>
  </si>
  <si>
    <t>Term debt</t>
  </si>
  <si>
    <t>Total Current Liabilities</t>
  </si>
  <si>
    <t>Other non-current liabilities</t>
  </si>
  <si>
    <t>Total Liabilities</t>
  </si>
  <si>
    <t>Commitments &amp; Contingencies</t>
  </si>
  <si>
    <t>Redeemable Noncontrolling Interests</t>
  </si>
  <si>
    <t>Equity</t>
  </si>
  <si>
    <t>Stockholders' Equity</t>
  </si>
  <si>
    <t>Par Value of Common Stock</t>
  </si>
  <si>
    <t>Common Stock and Additional Paid-In Capital</t>
  </si>
  <si>
    <t>Retained Earnings</t>
  </si>
  <si>
    <t>Accumulated Other Comprehensive Income (Loss)</t>
  </si>
  <si>
    <t>Total Stockholders' Equity</t>
  </si>
  <si>
    <t>Total Liabilities &amp; Shareholders' Equity</t>
  </si>
  <si>
    <t>Check</t>
  </si>
  <si>
    <t>Cash Flow Statement</t>
  </si>
  <si>
    <t>Cash, cash equivalents and restricted cash, beginning balances</t>
  </si>
  <si>
    <t>Operating Activities</t>
  </si>
  <si>
    <t>Net Income (Loss)</t>
  </si>
  <si>
    <t>Adjustments to reconcile net income to cash generated by operating activities:</t>
  </si>
  <si>
    <t>Depreciation &amp; Amortization</t>
  </si>
  <si>
    <t>Share-based compensation expense</t>
  </si>
  <si>
    <t>Deferred income tax benefit</t>
  </si>
  <si>
    <t>Changes in Operating Assets &amp; Liabilities:</t>
  </si>
  <si>
    <t>Other current and Non-Current Assets</t>
  </si>
  <si>
    <t>Cash generated by operating activities</t>
  </si>
  <si>
    <t>Investing activities:</t>
  </si>
  <si>
    <t>Cash generated by/(used in) investing activities</t>
  </si>
  <si>
    <t>Financing activities:</t>
  </si>
  <si>
    <t>Proceeds from issuance of common stock</t>
  </si>
  <si>
    <t>Cash used in financing activities</t>
  </si>
  <si>
    <t>Increase/(Decrease) in cash, cash equivalents and restricted cash</t>
  </si>
  <si>
    <t>Cash cash equivalents and restricted cash, ending balances</t>
  </si>
  <si>
    <t>Supplemental cash flow disclosure</t>
  </si>
  <si>
    <t>Cash paid for income taxes, net</t>
  </si>
  <si>
    <t>Cash paid for interest</t>
  </si>
  <si>
    <t>Operating lease right-of-use assets</t>
  </si>
  <si>
    <t>Equity and other investments</t>
  </si>
  <si>
    <t>Current portion of long-term debt</t>
  </si>
  <si>
    <t>Accrued compensation</t>
  </si>
  <si>
    <t>Short-term income taxes</t>
  </si>
  <si>
    <t>Short-term unearned revenue</t>
  </si>
  <si>
    <t>Long Term Income Tax</t>
  </si>
  <si>
    <t>Long-term unearned revenue</t>
  </si>
  <si>
    <t>Operating lease liabilities</t>
  </si>
  <si>
    <t>Short Term Investment</t>
  </si>
  <si>
    <t>Long Term Debt</t>
  </si>
  <si>
    <t>Deferred Income Tax</t>
  </si>
  <si>
    <t>#</t>
  </si>
  <si>
    <t>Net recognized gains on investments and derivatives</t>
  </si>
  <si>
    <t>Other long-term assets</t>
  </si>
  <si>
    <t>Unearned revenue</t>
  </si>
  <si>
    <t>Other long-term liabilities</t>
  </si>
  <si>
    <t>Income Tax</t>
  </si>
  <si>
    <t>Proceeds from issuance of debt</t>
  </si>
  <si>
    <t>Repayments of debt</t>
  </si>
  <si>
    <t>Common stock issued</t>
  </si>
  <si>
    <t>Common stock repurchased</t>
  </si>
  <si>
    <t>Common stock cash dividends paid</t>
  </si>
  <si>
    <t>Other, net</t>
  </si>
  <si>
    <t>Additions to property and equipment</t>
  </si>
  <si>
    <t>Acquisition of companies, net of cash acquired, and purchases of intangible and other assets</t>
  </si>
  <si>
    <t>Purchases of investments</t>
  </si>
  <si>
    <t>Maturities of investments</t>
  </si>
  <si>
    <t>Sales of investments</t>
  </si>
  <si>
    <t>Effect of foreign exchange rates on cash and cash equivalents</t>
  </si>
  <si>
    <t>Cash and cash equivalents, beginning of period</t>
  </si>
  <si>
    <t>Forecasting Financials</t>
  </si>
  <si>
    <t>Interest and Dividend Income</t>
  </si>
  <si>
    <t>Interest exp</t>
  </si>
  <si>
    <t>Other Income /Expenses</t>
  </si>
  <si>
    <t>Total Other Income /Expenses, Net</t>
  </si>
  <si>
    <t>Total Non-Current Liabilities</t>
  </si>
  <si>
    <t>Midyear Discounting:</t>
  </si>
  <si>
    <t>No</t>
  </si>
  <si>
    <t>Valuation Date:</t>
  </si>
  <si>
    <t>Free Cash Flow Reconciliation</t>
  </si>
  <si>
    <t>Perpetual Growth Model</t>
  </si>
  <si>
    <t>Sensitivity Analysis - Implied Share Price</t>
  </si>
  <si>
    <t>EBIT</t>
  </si>
  <si>
    <t>Present Value of Cash Flows</t>
  </si>
  <si>
    <t>Perpetual Growth Rate</t>
  </si>
  <si>
    <t>Less: Taxes on EBIT</t>
  </si>
  <si>
    <t>Terminal Year Free Cash Flow</t>
  </si>
  <si>
    <t>Net Operating Profit After Taxes</t>
  </si>
  <si>
    <t>Discount Rate</t>
  </si>
  <si>
    <t xml:space="preserve"> Discount Rate</t>
  </si>
  <si>
    <t>Plus: Depreciation &amp; Amortization</t>
  </si>
  <si>
    <t>Discount Period</t>
  </si>
  <si>
    <t>Less: Increases in Net Operating Capital</t>
  </si>
  <si>
    <t>Discount Factor</t>
  </si>
  <si>
    <t>Less: Capital Expenditures</t>
  </si>
  <si>
    <t>Terminal Growth Rate</t>
  </si>
  <si>
    <t>Unlevered Free Cash Flow</t>
  </si>
  <si>
    <t>Terminal Value</t>
  </si>
  <si>
    <t>Present Value of Terminal Value</t>
  </si>
  <si>
    <t>Enterpise Value - Perpetual Growth</t>
  </si>
  <si>
    <t>EBITDA Multiple Model</t>
  </si>
  <si>
    <t>Equity Value Reconciliation</t>
  </si>
  <si>
    <t>EBITDA Multiple</t>
  </si>
  <si>
    <t>EV/EBITDA Multiple</t>
  </si>
  <si>
    <t>Total Enterprise Value</t>
  </si>
  <si>
    <t>Terminal Year EBITDA</t>
  </si>
  <si>
    <t>Plus: Cash</t>
  </si>
  <si>
    <t>Less: Debt</t>
  </si>
  <si>
    <t>Less: Minority Interests</t>
  </si>
  <si>
    <t>Implied Equity Value</t>
  </si>
  <si>
    <t>Forward Peer EV/EBITDA</t>
  </si>
  <si>
    <t>Divided: Diluted Shares Outstanding</t>
  </si>
  <si>
    <t>Implied Share Price</t>
  </si>
  <si>
    <t>Enterpise Value - EBITDA Multiple</t>
  </si>
  <si>
    <t>Weights</t>
  </si>
  <si>
    <t>Weighted Average</t>
  </si>
  <si>
    <t>Current Share Price</t>
  </si>
  <si>
    <t>Case</t>
  </si>
  <si>
    <t>Forecasted Financials</t>
  </si>
  <si>
    <t>Revenues by Segment</t>
  </si>
  <si>
    <t>Revenues Growth by Segment</t>
  </si>
  <si>
    <t>Total Revenues</t>
  </si>
  <si>
    <t>Forecasting Revenues</t>
  </si>
  <si>
    <t>Assumptions</t>
  </si>
  <si>
    <t>Selected Case</t>
  </si>
  <si>
    <t>Step</t>
  </si>
  <si>
    <t>Upside Adj</t>
  </si>
  <si>
    <t>Downside Adj</t>
  </si>
  <si>
    <t>Cost of Product</t>
  </si>
  <si>
    <t>Revenue from Product</t>
  </si>
  <si>
    <t>% of Product Sales</t>
  </si>
  <si>
    <t>3-Year Average</t>
  </si>
  <si>
    <t>Cost of Services</t>
  </si>
  <si>
    <t>Revenue from Services</t>
  </si>
  <si>
    <t>% of Services</t>
  </si>
  <si>
    <t>% of Total Revenues</t>
  </si>
  <si>
    <t>Income Before Taxes</t>
  </si>
  <si>
    <t>Effective Tax Rate</t>
  </si>
  <si>
    <t>Operating Capital Schedule</t>
  </si>
  <si>
    <t>Income Statement Accounts:</t>
  </si>
  <si>
    <t>Total Cost of Revenues</t>
  </si>
  <si>
    <t>Operating Capital Balances (aka Non-Cash Working Capital):</t>
  </si>
  <si>
    <t>Ratios &amp; Assumptions:</t>
  </si>
  <si>
    <t>Average of last three years</t>
  </si>
  <si>
    <t>Days Sales Outstanding</t>
  </si>
  <si>
    <t>Days Inventory Held</t>
  </si>
  <si>
    <t>Other Current Assets- % of Revenues</t>
  </si>
  <si>
    <t>Days Payables Outstanding</t>
  </si>
  <si>
    <t>Days</t>
  </si>
  <si>
    <t>Fixed Assets Schedule</t>
  </si>
  <si>
    <t>Beginning PP&amp;E, net</t>
  </si>
  <si>
    <t>Capital Expenditures</t>
  </si>
  <si>
    <t>Depreciation</t>
  </si>
  <si>
    <t>Depreciation Rate</t>
  </si>
  <si>
    <t>Ending PP&amp;E, Net</t>
  </si>
  <si>
    <t>Depreciation Waterfall</t>
  </si>
  <si>
    <t>Depreciation of Existing PP&amp;E</t>
  </si>
  <si>
    <t>Depreciation of Capital Expenditures</t>
  </si>
  <si>
    <t>Total Depreciation of Capital Expenditures</t>
  </si>
  <si>
    <t>Total Depreciation of PP&amp;E</t>
  </si>
  <si>
    <t>Debt &amp; Interest Schedule</t>
  </si>
  <si>
    <t>Beginning Long-Term Debt Balance</t>
  </si>
  <si>
    <t>Scheduled Repayments of Debt</t>
  </si>
  <si>
    <t>New Debt Issuance</t>
  </si>
  <si>
    <t>Cumulative New Debt</t>
  </si>
  <si>
    <t>Current Portion of Debt Balance</t>
  </si>
  <si>
    <t>Ending Long-Term Debt</t>
  </si>
  <si>
    <t>Beginning Long-Term Finance Leases</t>
  </si>
  <si>
    <t>Scheduled Repayments of Finance Leases</t>
  </si>
  <si>
    <t>New Finance Leases</t>
  </si>
  <si>
    <t>Cumulative New Finance Leases</t>
  </si>
  <si>
    <t>Current Portion of Finance Leases</t>
  </si>
  <si>
    <t>Ending Long-Term Finance Leases</t>
  </si>
  <si>
    <t>Interest Expense</t>
  </si>
  <si>
    <t>Effective Interest Rate on Debt</t>
  </si>
  <si>
    <t>Effective Interest Expense on Debt</t>
  </si>
  <si>
    <t>Effective Interest Rate on Financing Leases</t>
  </si>
  <si>
    <t>Effective Interest Expense on Financing Leases</t>
  </si>
  <si>
    <t>Total Interest Expense</t>
  </si>
  <si>
    <t>Interest Income</t>
  </si>
  <si>
    <t>Cash and Cash Equivalents</t>
  </si>
  <si>
    <t>Interest Income Rate</t>
  </si>
  <si>
    <t>Retained earnings</t>
  </si>
  <si>
    <t>Beginning Balance</t>
  </si>
  <si>
    <t>Dividend paid</t>
  </si>
  <si>
    <t>Common stock withheld related to net share settlement of equity</t>
  </si>
  <si>
    <t>Cumulative effects of changes in accounting principles</t>
  </si>
  <si>
    <t>-</t>
  </si>
  <si>
    <t>Ending Balance</t>
  </si>
  <si>
    <t>Supporting Schedules</t>
  </si>
  <si>
    <t xml:space="preserve"> &lt;-- Equals last year's ending PP&amp;E</t>
  </si>
  <si>
    <t>CapEx Growth</t>
  </si>
  <si>
    <t xml:space="preserve"> &lt;-- Growing at a given rate annually</t>
  </si>
  <si>
    <t xml:space="preserve"> &lt;-- Calculated number once you complete your depreciation waterfall</t>
  </si>
  <si>
    <t>Accumulated Depreciation of relinquised asset</t>
  </si>
  <si>
    <t xml:space="preserve"> &lt;-- Depreciation as a percentage of PP&amp;E and CapEx</t>
  </si>
  <si>
    <t>Useful Life</t>
  </si>
  <si>
    <t xml:space="preserve"> &lt;-- Estimated (or average) remaining useful life for existing PP&amp;E</t>
  </si>
  <si>
    <t xml:space="preserve"> &lt;-- Estimated useful life for new PP&amp;E (aka CapEx)</t>
  </si>
  <si>
    <t xml:space="preserve"> &lt;-- CapEx depreciation expense for this given year</t>
  </si>
  <si>
    <t>(USD in mm)</t>
  </si>
  <si>
    <t>Valuation Metrics</t>
  </si>
  <si>
    <t>Equity Value</t>
  </si>
  <si>
    <t>Enterprise</t>
  </si>
  <si>
    <t>LTM</t>
  </si>
  <si>
    <t>Forward (NTM)</t>
  </si>
  <si>
    <t>Company</t>
  </si>
  <si>
    <t>Stock Price</t>
  </si>
  <si>
    <t>(Market Cap)</t>
  </si>
  <si>
    <t>Value</t>
  </si>
  <si>
    <t>EV/EBITDA</t>
  </si>
  <si>
    <t>P/E</t>
  </si>
  <si>
    <t>Alphabet Inc</t>
  </si>
  <si>
    <t>Mean</t>
  </si>
  <si>
    <t>Median</t>
  </si>
  <si>
    <t>Sources:</t>
  </si>
  <si>
    <t>10)</t>
  </si>
  <si>
    <t>a) LTM EV/EBITDA</t>
  </si>
  <si>
    <t>b) LTM P/E</t>
  </si>
  <si>
    <t>c) NTM EV/EBITDA</t>
  </si>
  <si>
    <t>d) NTM P/E</t>
  </si>
  <si>
    <t>a) Current Ratio</t>
  </si>
  <si>
    <t>b) Cash Ratio</t>
  </si>
  <si>
    <t>c) Debt-to-Capital</t>
  </si>
  <si>
    <t>d) Debt-to-Equity</t>
  </si>
  <si>
    <t>e) ROE</t>
  </si>
  <si>
    <t>f) ROA</t>
  </si>
  <si>
    <t>Productivity and Business Processes</t>
  </si>
  <si>
    <t>Intelligent Cloud</t>
  </si>
  <si>
    <t>More Personal Computing</t>
  </si>
  <si>
    <t>GOOG</t>
  </si>
  <si>
    <t>AAPL</t>
  </si>
  <si>
    <t>ORCL</t>
  </si>
  <si>
    <t>Microsoft Corp</t>
  </si>
  <si>
    <t>3.494T</t>
  </si>
  <si>
    <t>183.216B</t>
  </si>
  <si>
    <t>381.222B</t>
  </si>
  <si>
    <t>2.000T</t>
  </si>
  <si>
    <t>3.071T</t>
  </si>
  <si>
    <t>1.936T</t>
  </si>
  <si>
    <t>3.483T</t>
  </si>
  <si>
    <t>225.73B</t>
  </si>
  <si>
    <t>456.72B</t>
  </si>
  <si>
    <t>Koyfin. Values as of 08/30/24</t>
  </si>
  <si>
    <t>Short Term Investments - % of Revenues</t>
  </si>
  <si>
    <t>Long-term Investments</t>
  </si>
  <si>
    <t>Deferred Tax assets Long-Term</t>
  </si>
  <si>
    <t>Other Long-Term Assets</t>
  </si>
  <si>
    <t>Current portion of Lease</t>
  </si>
  <si>
    <t>Long Term Leases</t>
  </si>
  <si>
    <t>Unearned revenue Non Current</t>
  </si>
  <si>
    <t>Date</t>
  </si>
  <si>
    <t>Upper 95.0%</t>
  </si>
  <si>
    <t>Lower 95.0%</t>
  </si>
  <si>
    <t>Upper 95%</t>
  </si>
  <si>
    <t>Lower 95%</t>
  </si>
  <si>
    <t>P-value</t>
  </si>
  <si>
    <t>t Stat</t>
  </si>
  <si>
    <t>Standard Error</t>
  </si>
  <si>
    <t>Coefficients</t>
  </si>
  <si>
    <t>Total</t>
  </si>
  <si>
    <t>Residual</t>
  </si>
  <si>
    <t>Regression</t>
  </si>
  <si>
    <t>Significance F</t>
  </si>
  <si>
    <t>F</t>
  </si>
  <si>
    <t>MS</t>
  </si>
  <si>
    <t>SS</t>
  </si>
  <si>
    <t>df</t>
  </si>
  <si>
    <t>ANOVA</t>
  </si>
  <si>
    <t>Observations</t>
  </si>
  <si>
    <t>Adjusted R Square</t>
  </si>
  <si>
    <t>R Square</t>
  </si>
  <si>
    <t>Multiple R</t>
  </si>
  <si>
    <t>Regression Statistics</t>
  </si>
  <si>
    <t>SUMMARY OUTPUT</t>
  </si>
  <si>
    <t>MSFT Daily Ret-RF</t>
  </si>
  <si>
    <t>S&amp;P 500 Daily Return</t>
  </si>
  <si>
    <t>Summary:</t>
  </si>
  <si>
    <t>The regression model explains 61% of the variance in the dependent variable.</t>
  </si>
  <si>
    <t>The overall model is statistically significant, as indicated by the F-statistic and its associated p-value.</t>
  </si>
  <si>
    <t>% Change</t>
  </si>
  <si>
    <t>S&amp;P 500 Price</t>
  </si>
  <si>
    <t>Beta</t>
  </si>
  <si>
    <t>5-year Monthly</t>
  </si>
  <si>
    <t>Cost of Equity</t>
  </si>
  <si>
    <t>3-Year Monthly</t>
  </si>
  <si>
    <t>Risk-Free Rate [1]</t>
  </si>
  <si>
    <t>Yahoo Finance</t>
  </si>
  <si>
    <t>Levered Beta [2]</t>
  </si>
  <si>
    <t>Selected</t>
  </si>
  <si>
    <t>Market Risk Premium [3]</t>
  </si>
  <si>
    <t>Cost of Debt</t>
  </si>
  <si>
    <t>Effective Interest Rate</t>
  </si>
  <si>
    <t>After Tax Cost of Debt</t>
  </si>
  <si>
    <t>Weighted Average Cost of Capital</t>
  </si>
  <si>
    <t>Weight of Equity</t>
  </si>
  <si>
    <t>Weight of Debt</t>
  </si>
  <si>
    <t>MSFT Price</t>
  </si>
  <si>
    <r>
      <t>The  S&amp;P 500</t>
    </r>
    <r>
      <rPr>
        <sz val="10"/>
        <color theme="1"/>
        <rFont val="Arial Unicode MS"/>
        <family val="2"/>
      </rPr>
      <t xml:space="preserve"> Variable </t>
    </r>
    <r>
      <rPr>
        <sz val="11"/>
        <color theme="1"/>
        <rFont val="Calibri"/>
        <family val="2"/>
      </rPr>
      <t>is a significant predictor of the  MSFT variable, with a strong positive effect.</t>
    </r>
  </si>
  <si>
    <t>alpha</t>
  </si>
  <si>
    <t>Risk-Free Rate+(Leverd beta*Market Risk Premium)</t>
  </si>
  <si>
    <t>(Weight of Equity*Cost of equity)+(Weight of Debt*After Tax Cost of Debt)</t>
  </si>
  <si>
    <t>weighted average cost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</si>
</sst>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5" formatCode="&quot;$&quot;#,##0_);\(&quot;$&quot;#,##0\)"/>
    <numFmt numFmtId="7" formatCode="&quot;$&quot;#,##0.00_);\(&quot;$&quot;#,##0.00\)"/>
    <numFmt numFmtId="8" formatCode="&quot;$&quot;#,##0.00_);[Red]\(&quot;$&quot;#,##0.00\)"/>
    <numFmt numFmtId="44" formatCode="_(&quot;$&quot;* #,##0.00_);_(&quot;$&quot;* \(#,##0.00\);_(&quot;$&quot;* &quot;-&quot;??_);_(@_)"/>
    <numFmt numFmtId="43" formatCode="_(* #,##0.00_);_(* \(#,##0.00\);_(* &quot;-&quot;??_);_(@_)"/>
    <numFmt numFmtId="164" formatCode="&quot;On&quot;;;&quot;Off&quot;"/>
    <numFmt numFmtId="165" formatCode="0.0\x"/>
    <numFmt numFmtId="166" formatCode="_-* #,##0_-;\(#,##0\)_-;_-* &quot;-&quot;_-;_-@_-"/>
    <numFmt numFmtId="167" formatCode="_(&quot;$&quot;* #,##0_);_(&quot;$&quot;* \(#,##0\);_(&quot;$&quot;* &quot;-&quot;??_);_(@_)"/>
    <numFmt numFmtId="168" formatCode="yyyy\A"/>
    <numFmt numFmtId="169" formatCode="#,##0.00000_);\(#,##0.00000\)"/>
    <numFmt numFmtId="170" formatCode="_(* #,##0_);_(* \(#,##0\);_(* &quot;-&quot;??_);_(@_)"/>
    <numFmt numFmtId="171" formatCode="#,##0.000_);\(#,##0.000\)"/>
    <numFmt numFmtId="172" formatCode="yyyy\P"/>
    <numFmt numFmtId="173" formatCode="yyyy"/>
    <numFmt numFmtId="174" formatCode="0\-&quot;Years&quot;"/>
    <numFmt numFmtId="175" formatCode="0.00_);\(0.00\)"/>
  </numFmts>
  <fonts count="49" x14ac:knownFonts="1">
    <font>
      <sz val="11"/>
      <color theme="1"/>
      <name val="Calibri"/>
      <family val="2"/>
    </font>
    <font>
      <sz val="11"/>
      <color theme="1"/>
      <name val="Calibri"/>
      <family val="2"/>
    </font>
    <font>
      <b/>
      <sz val="11"/>
      <color theme="1"/>
      <name val="Calibri"/>
      <family val="2"/>
    </font>
    <font>
      <sz val="11"/>
      <color theme="1"/>
      <name val="Aptos Narrow"/>
      <family val="2"/>
      <scheme val="minor"/>
    </font>
    <font>
      <b/>
      <sz val="14"/>
      <name val="Aptos Narrow"/>
      <family val="2"/>
      <scheme val="minor"/>
    </font>
    <font>
      <sz val="11"/>
      <name val="Aptos Narrow"/>
      <family val="2"/>
      <scheme val="minor"/>
    </font>
    <font>
      <i/>
      <sz val="11"/>
      <color theme="1"/>
      <name val="Aptos Narrow"/>
      <family val="2"/>
      <scheme val="minor"/>
    </font>
    <font>
      <b/>
      <sz val="11"/>
      <color theme="1"/>
      <name val="Aptos Narrow"/>
      <family val="2"/>
      <scheme val="minor"/>
    </font>
    <font>
      <b/>
      <sz val="11"/>
      <color rgb="FF0070C0"/>
      <name val="Aptos Narrow"/>
      <family val="2"/>
      <scheme val="minor"/>
    </font>
    <font>
      <sz val="11"/>
      <color rgb="FF0070C0"/>
      <name val="Aptos Narrow"/>
      <family val="2"/>
      <scheme val="minor"/>
    </font>
    <font>
      <sz val="11"/>
      <color rgb="FF00B050"/>
      <name val="Aptos Narrow"/>
      <family val="2"/>
      <scheme val="minor"/>
    </font>
    <font>
      <sz val="11"/>
      <color rgb="FF00B455"/>
      <name val="Aptos Narrow"/>
      <family val="2"/>
      <scheme val="minor"/>
    </font>
    <font>
      <b/>
      <sz val="11"/>
      <name val="Arial Narrow"/>
      <family val="2"/>
    </font>
    <font>
      <sz val="11"/>
      <color theme="1"/>
      <name val="Arial Narrow"/>
      <family val="2"/>
    </font>
    <font>
      <b/>
      <sz val="11"/>
      <name val="Aptos Narrow"/>
      <family val="2"/>
      <scheme val="minor"/>
    </font>
    <font>
      <sz val="11"/>
      <color rgb="FF00B0F0"/>
      <name val="Aptos Narrow"/>
      <family val="2"/>
      <scheme val="minor"/>
    </font>
    <font>
      <sz val="9"/>
      <color indexed="81"/>
      <name val="Tahoma"/>
      <family val="2"/>
    </font>
    <font>
      <sz val="10"/>
      <name val="Arial"/>
      <family val="2"/>
    </font>
    <font>
      <sz val="11"/>
      <color theme="9" tint="-0.249977111117893"/>
      <name val="Aptos Narrow"/>
      <family val="2"/>
      <scheme val="minor"/>
    </font>
    <font>
      <sz val="11"/>
      <color theme="0"/>
      <name val="Aptos Narrow"/>
      <family val="2"/>
      <scheme val="minor"/>
    </font>
    <font>
      <b/>
      <u val="singleAccounting"/>
      <sz val="11"/>
      <name val="Aptos Narrow"/>
      <family val="2"/>
      <scheme val="minor"/>
    </font>
    <font>
      <u val="singleAccounting"/>
      <sz val="11"/>
      <name val="Aptos Narrow"/>
      <family val="2"/>
      <scheme val="minor"/>
    </font>
    <font>
      <sz val="10"/>
      <name val="Aptos Narrow"/>
      <family val="2"/>
      <scheme val="minor"/>
    </font>
    <font>
      <sz val="11"/>
      <color theme="1"/>
      <name val="Arial"/>
      <family val="2"/>
    </font>
    <font>
      <b/>
      <sz val="14"/>
      <name val="Arial"/>
      <family val="2"/>
    </font>
    <font>
      <b/>
      <sz val="14"/>
      <color theme="0"/>
      <name val="Arial"/>
      <family val="2"/>
    </font>
    <font>
      <i/>
      <sz val="11"/>
      <color theme="1"/>
      <name val="Arial"/>
      <family val="2"/>
    </font>
    <font>
      <b/>
      <sz val="10"/>
      <color theme="1"/>
      <name val="Arial"/>
      <family val="2"/>
    </font>
    <font>
      <sz val="10"/>
      <color theme="1"/>
      <name val="Arial"/>
      <family val="2"/>
    </font>
    <font>
      <b/>
      <sz val="11"/>
      <color theme="1"/>
      <name val="Arial"/>
      <family val="2"/>
    </font>
    <font>
      <sz val="10"/>
      <color rgb="FF00B050"/>
      <name val="Arial"/>
      <family val="2"/>
    </font>
    <font>
      <sz val="11"/>
      <color rgb="FF4472C8"/>
      <name val="Aptos Narrow"/>
      <family val="2"/>
      <scheme val="minor"/>
    </font>
    <font>
      <b/>
      <sz val="11"/>
      <color rgb="FF4472C8"/>
      <name val="Aptos Narrow"/>
      <family val="2"/>
      <scheme val="minor"/>
    </font>
    <font>
      <b/>
      <sz val="11"/>
      <color rgb="FF00B050"/>
      <name val="Aptos Narrow"/>
      <family val="2"/>
      <scheme val="minor"/>
    </font>
    <font>
      <b/>
      <sz val="14"/>
      <color theme="1"/>
      <name val="Aptos Narrow"/>
      <family val="2"/>
      <scheme val="minor"/>
    </font>
    <font>
      <b/>
      <u val="singleAccounting"/>
      <sz val="11"/>
      <color theme="1"/>
      <name val="Aptos Narrow"/>
      <family val="2"/>
      <scheme val="minor"/>
    </font>
    <font>
      <u val="singleAccounting"/>
      <sz val="11"/>
      <color theme="1"/>
      <name val="Aptos Narrow"/>
      <family val="2"/>
      <scheme val="minor"/>
    </font>
    <font>
      <sz val="11"/>
      <color theme="8" tint="0.39997558519241921"/>
      <name val="Aptos Narrow"/>
      <family val="2"/>
      <scheme val="minor"/>
    </font>
    <font>
      <sz val="11"/>
      <color theme="4"/>
      <name val="Aptos Narrow"/>
      <family val="2"/>
      <scheme val="minor"/>
    </font>
    <font>
      <i/>
      <sz val="9"/>
      <color theme="1"/>
      <name val="Aptos Narrow"/>
      <family val="2"/>
      <scheme val="minor"/>
    </font>
    <font>
      <i/>
      <sz val="11"/>
      <color theme="1"/>
      <name val="Calibri"/>
      <family val="2"/>
    </font>
    <font>
      <b/>
      <sz val="11"/>
      <color rgb="FFFF0000"/>
      <name val="Aptos Narrow"/>
      <family val="2"/>
      <scheme val="minor"/>
    </font>
    <font>
      <b/>
      <sz val="13.5"/>
      <color theme="1"/>
      <name val="Calibri"/>
      <family val="2"/>
    </font>
    <font>
      <sz val="10"/>
      <color theme="1"/>
      <name val="Arial Unicode MS"/>
      <family val="2"/>
    </font>
    <font>
      <b/>
      <sz val="11"/>
      <color rgb="FF5F6368"/>
      <name val="Arial"/>
      <family val="2"/>
    </font>
    <font>
      <sz val="10"/>
      <color rgb="FF232A31"/>
      <name val="Arial"/>
      <family val="2"/>
    </font>
    <font>
      <b/>
      <sz val="11"/>
      <color rgb="FFFFFFFF"/>
      <name val="Aptos Narrow"/>
      <family val="2"/>
    </font>
    <font>
      <sz val="11"/>
      <color rgb="FFFFFFFF"/>
      <name val="Aptos Narrow"/>
      <family val="2"/>
    </font>
    <font>
      <sz val="15"/>
      <color rgb="FF1F1F1F"/>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bgColor indexed="64"/>
      </patternFill>
    </fill>
    <fill>
      <patternFill patternType="solid">
        <fgColor rgb="FFCCCCCC"/>
        <bgColor indexed="64"/>
      </patternFill>
    </fill>
    <fill>
      <patternFill patternType="solid">
        <fgColor rgb="FFFFFF00"/>
        <bgColor indexed="64"/>
      </patternFill>
    </fill>
    <fill>
      <patternFill patternType="solid">
        <fgColor rgb="FFFFFFFF"/>
        <bgColor indexed="64"/>
      </patternFill>
    </fill>
  </fills>
  <borders count="42">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bottom style="thin">
        <color rgb="FF000000"/>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right/>
      <top style="thin">
        <color indexed="64"/>
      </top>
      <bottom style="medium">
        <color indexed="64"/>
      </bottom>
      <diagonal/>
    </border>
    <border>
      <left/>
      <right/>
      <top style="medium">
        <color indexed="64"/>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cellStyleXfs>
  <cellXfs count="557">
    <xf numFmtId="0" fontId="0" fillId="0" borderId="0" xfId="0"/>
    <xf numFmtId="0" fontId="2" fillId="0" borderId="0" xfId="0" applyFont="1"/>
    <xf numFmtId="0" fontId="3" fillId="0" borderId="0" xfId="2"/>
    <xf numFmtId="0" fontId="4" fillId="0" borderId="0" xfId="2" applyFont="1"/>
    <xf numFmtId="0" fontId="5" fillId="0" borderId="0" xfId="2" applyFont="1"/>
    <xf numFmtId="0" fontId="6" fillId="0" borderId="0" xfId="2" applyFont="1"/>
    <xf numFmtId="0" fontId="7" fillId="0" borderId="0" xfId="2" applyFont="1"/>
    <xf numFmtId="0" fontId="7" fillId="0" borderId="1" xfId="2" applyFont="1" applyBorder="1"/>
    <xf numFmtId="0" fontId="8" fillId="0" borderId="2" xfId="2" applyFont="1" applyBorder="1" applyAlignment="1">
      <alignment horizontal="right"/>
    </xf>
    <xf numFmtId="0" fontId="7" fillId="0" borderId="3" xfId="2" applyFont="1" applyBorder="1"/>
    <xf numFmtId="0" fontId="8" fillId="0" borderId="4" xfId="2" applyFont="1" applyBorder="1" applyAlignment="1">
      <alignment horizontal="right"/>
    </xf>
    <xf numFmtId="0" fontId="9" fillId="0" borderId="0" xfId="2" applyFont="1"/>
    <xf numFmtId="7" fontId="9" fillId="0" borderId="4" xfId="2" applyNumberFormat="1" applyFont="1" applyBorder="1"/>
    <xf numFmtId="0" fontId="10" fillId="0" borderId="0" xfId="2" applyFont="1"/>
    <xf numFmtId="10" fontId="9" fillId="0" borderId="4" xfId="2" applyNumberFormat="1" applyFont="1" applyBorder="1"/>
    <xf numFmtId="0" fontId="7" fillId="0" borderId="5" xfId="2" applyFont="1" applyBorder="1"/>
    <xf numFmtId="0" fontId="7" fillId="0" borderId="5" xfId="2" applyFont="1" applyBorder="1" applyAlignment="1">
      <alignment horizontal="centerContinuous"/>
    </xf>
    <xf numFmtId="14" fontId="9" fillId="0" borderId="4" xfId="2" applyNumberFormat="1" applyFont="1" applyBorder="1"/>
    <xf numFmtId="10" fontId="3" fillId="0" borderId="0" xfId="2" applyNumberFormat="1" applyAlignment="1">
      <alignment horizontal="centerContinuous"/>
    </xf>
    <xf numFmtId="0" fontId="3" fillId="0" borderId="0" xfId="2" applyAlignment="1">
      <alignment horizontal="centerContinuous"/>
    </xf>
    <xf numFmtId="14" fontId="9" fillId="0" borderId="6" xfId="2" applyNumberFormat="1" applyFont="1" applyBorder="1"/>
    <xf numFmtId="0" fontId="7" fillId="0" borderId="7" xfId="2" applyFont="1" applyBorder="1" applyAlignment="1">
      <alignment horizontal="right"/>
    </xf>
    <xf numFmtId="0" fontId="3" fillId="0" borderId="0" xfId="2" applyAlignment="1">
      <alignment horizontal="center"/>
    </xf>
    <xf numFmtId="0" fontId="7" fillId="0" borderId="8" xfId="2" applyFont="1" applyBorder="1"/>
    <xf numFmtId="164" fontId="8" fillId="0" borderId="7" xfId="2" applyNumberFormat="1" applyFont="1" applyBorder="1"/>
    <xf numFmtId="10" fontId="3" fillId="0" borderId="0" xfId="2" applyNumberFormat="1" applyAlignment="1">
      <alignment horizontal="center"/>
    </xf>
    <xf numFmtId="0" fontId="3" fillId="0" borderId="0" xfId="2" applyAlignment="1">
      <alignment horizontal="left"/>
    </xf>
    <xf numFmtId="0" fontId="3" fillId="0" borderId="9" xfId="2" applyBorder="1"/>
    <xf numFmtId="0" fontId="7" fillId="0" borderId="9" xfId="2" applyFont="1" applyBorder="1" applyAlignment="1">
      <alignment horizontal="center"/>
    </xf>
    <xf numFmtId="7" fontId="3" fillId="0" borderId="0" xfId="2" applyNumberFormat="1"/>
    <xf numFmtId="165" fontId="10" fillId="0" borderId="0" xfId="2" applyNumberFormat="1" applyFont="1"/>
    <xf numFmtId="0" fontId="7" fillId="2" borderId="9" xfId="2" applyFont="1" applyFill="1" applyBorder="1" applyAlignment="1">
      <alignment horizontal="center"/>
    </xf>
    <xf numFmtId="0" fontId="7" fillId="0" borderId="7" xfId="2" applyFont="1" applyBorder="1"/>
    <xf numFmtId="0" fontId="7" fillId="2" borderId="7" xfId="2" applyFont="1" applyFill="1" applyBorder="1" applyAlignment="1">
      <alignment horizontal="center"/>
    </xf>
    <xf numFmtId="7" fontId="11" fillId="0" borderId="7" xfId="2" applyNumberFormat="1" applyFont="1" applyBorder="1"/>
    <xf numFmtId="0" fontId="3" fillId="0" borderId="5" xfId="2" applyBorder="1"/>
    <xf numFmtId="14" fontId="3" fillId="0" borderId="0" xfId="2" applyNumberFormat="1" applyAlignment="1">
      <alignment horizontal="left"/>
    </xf>
    <xf numFmtId="7" fontId="9" fillId="0" borderId="0" xfId="2" applyNumberFormat="1" applyFont="1"/>
    <xf numFmtId="10" fontId="5" fillId="0" borderId="0" xfId="2" applyNumberFormat="1" applyFont="1"/>
    <xf numFmtId="166" fontId="13" fillId="0" borderId="0" xfId="4" applyNumberFormat="1" applyFont="1"/>
    <xf numFmtId="0" fontId="5" fillId="0" borderId="0" xfId="2" applyFont="1" applyAlignment="1">
      <alignment horizontal="center"/>
    </xf>
    <xf numFmtId="0" fontId="14" fillId="0" borderId="1" xfId="2" applyFont="1" applyBorder="1"/>
    <xf numFmtId="0" fontId="14" fillId="0" borderId="10" xfId="2" applyFont="1" applyBorder="1"/>
    <xf numFmtId="0" fontId="5" fillId="0" borderId="10" xfId="2" applyFont="1" applyBorder="1"/>
    <xf numFmtId="0" fontId="5" fillId="0" borderId="11" xfId="2" applyFont="1" applyBorder="1"/>
    <xf numFmtId="0" fontId="5" fillId="0" borderId="3" xfId="2" applyFont="1" applyBorder="1"/>
    <xf numFmtId="0" fontId="5" fillId="0" borderId="12" xfId="2" applyFont="1" applyBorder="1"/>
    <xf numFmtId="10" fontId="5" fillId="0" borderId="3" xfId="2" applyNumberFormat="1" applyFont="1" applyBorder="1"/>
    <xf numFmtId="10" fontId="5" fillId="0" borderId="12" xfId="2" applyNumberFormat="1" applyFont="1" applyBorder="1"/>
    <xf numFmtId="0" fontId="5" fillId="0" borderId="3" xfId="2" applyFont="1" applyBorder="1" applyAlignment="1">
      <alignment horizontal="left" indent="2"/>
    </xf>
    <xf numFmtId="5" fontId="15" fillId="0" borderId="0" xfId="2" applyNumberFormat="1" applyFont="1"/>
    <xf numFmtId="5" fontId="15" fillId="0" borderId="12" xfId="2" applyNumberFormat="1" applyFont="1" applyBorder="1"/>
    <xf numFmtId="10" fontId="5" fillId="0" borderId="3" xfId="3" applyNumberFormat="1" applyFont="1" applyBorder="1"/>
    <xf numFmtId="10" fontId="5" fillId="0" borderId="0" xfId="3" applyNumberFormat="1" applyFont="1" applyBorder="1"/>
    <xf numFmtId="10" fontId="5" fillId="0" borderId="12" xfId="3" applyNumberFormat="1" applyFont="1" applyBorder="1"/>
    <xf numFmtId="37" fontId="15" fillId="0" borderId="0" xfId="2" applyNumberFormat="1" applyFont="1"/>
    <xf numFmtId="37" fontId="15" fillId="0" borderId="12" xfId="2" applyNumberFormat="1" applyFont="1" applyBorder="1"/>
    <xf numFmtId="10" fontId="5" fillId="0" borderId="8" xfId="2" applyNumberFormat="1" applyFont="1" applyBorder="1"/>
    <xf numFmtId="10" fontId="5" fillId="0" borderId="9" xfId="2" applyNumberFormat="1" applyFont="1" applyBorder="1"/>
    <xf numFmtId="10" fontId="5" fillId="0" borderId="13" xfId="2" applyNumberFormat="1" applyFont="1" applyBorder="1"/>
    <xf numFmtId="0" fontId="14" fillId="0" borderId="1" xfId="2" applyFont="1" applyBorder="1" applyAlignment="1">
      <alignment horizontal="left" indent="4"/>
    </xf>
    <xf numFmtId="37" fontId="14" fillId="0" borderId="10" xfId="2" applyNumberFormat="1" applyFont="1" applyBorder="1"/>
    <xf numFmtId="37" fontId="14" fillId="0" borderId="11" xfId="2" applyNumberFormat="1" applyFont="1" applyBorder="1"/>
    <xf numFmtId="0" fontId="14" fillId="0" borderId="0" xfId="2" applyFont="1"/>
    <xf numFmtId="10" fontId="14" fillId="0" borderId="3" xfId="2" applyNumberFormat="1" applyFont="1" applyBorder="1"/>
    <xf numFmtId="10" fontId="14" fillId="0" borderId="0" xfId="2" applyNumberFormat="1" applyFont="1"/>
    <xf numFmtId="10" fontId="14" fillId="0" borderId="12" xfId="2" applyNumberFormat="1" applyFont="1" applyBorder="1"/>
    <xf numFmtId="10" fontId="14" fillId="0" borderId="1" xfId="3" applyNumberFormat="1" applyFont="1" applyBorder="1"/>
    <xf numFmtId="10" fontId="14" fillId="0" borderId="10" xfId="3" applyNumberFormat="1" applyFont="1" applyBorder="1"/>
    <xf numFmtId="10" fontId="14" fillId="0" borderId="11" xfId="3" applyNumberFormat="1" applyFont="1" applyBorder="1"/>
    <xf numFmtId="0" fontId="14" fillId="0" borderId="3" xfId="2" applyFont="1" applyBorder="1"/>
    <xf numFmtId="37" fontId="5" fillId="0" borderId="0" xfId="2" applyNumberFormat="1" applyFont="1"/>
    <xf numFmtId="37" fontId="5" fillId="0" borderId="12" xfId="2" applyNumberFormat="1" applyFont="1" applyBorder="1"/>
    <xf numFmtId="10" fontId="14" fillId="0" borderId="14" xfId="2" applyNumberFormat="1" applyFont="1" applyBorder="1"/>
    <xf numFmtId="10" fontId="14" fillId="0" borderId="15" xfId="2" applyNumberFormat="1" applyFont="1" applyBorder="1"/>
    <xf numFmtId="10" fontId="14" fillId="0" borderId="16" xfId="2" applyNumberFormat="1" applyFont="1" applyBorder="1"/>
    <xf numFmtId="10" fontId="14" fillId="0" borderId="14" xfId="3" applyNumberFormat="1" applyFont="1" applyBorder="1"/>
    <xf numFmtId="10" fontId="14" fillId="0" borderId="15" xfId="3" applyNumberFormat="1" applyFont="1" applyBorder="1"/>
    <xf numFmtId="10" fontId="14" fillId="0" borderId="16" xfId="3" applyNumberFormat="1" applyFont="1" applyBorder="1"/>
    <xf numFmtId="10" fontId="5" fillId="0" borderId="8" xfId="3" applyNumberFormat="1" applyFont="1" applyBorder="1"/>
    <xf numFmtId="10" fontId="5" fillId="0" borderId="9" xfId="3" applyNumberFormat="1" applyFont="1" applyBorder="1"/>
    <xf numFmtId="10" fontId="5" fillId="0" borderId="13" xfId="3" applyNumberFormat="1" applyFont="1" applyBorder="1"/>
    <xf numFmtId="0" fontId="14" fillId="0" borderId="14" xfId="2" applyFont="1" applyBorder="1"/>
    <xf numFmtId="167" fontId="14" fillId="0" borderId="15" xfId="5" applyNumberFormat="1" applyFont="1" applyBorder="1"/>
    <xf numFmtId="167" fontId="14" fillId="0" borderId="16" xfId="5" applyNumberFormat="1" applyFont="1" applyBorder="1"/>
    <xf numFmtId="0" fontId="5" fillId="0" borderId="8" xfId="2" applyFont="1" applyBorder="1"/>
    <xf numFmtId="37" fontId="15" fillId="0" borderId="9" xfId="2" applyNumberFormat="1" applyFont="1" applyBorder="1"/>
    <xf numFmtId="37" fontId="15" fillId="0" borderId="13" xfId="2" applyNumberFormat="1" applyFont="1" applyBorder="1"/>
    <xf numFmtId="0" fontId="14" fillId="0" borderId="17" xfId="2" applyFont="1" applyBorder="1"/>
    <xf numFmtId="5" fontId="14" fillId="0" borderId="18" xfId="2" applyNumberFormat="1" applyFont="1" applyBorder="1"/>
    <xf numFmtId="5" fontId="14" fillId="0" borderId="19" xfId="2" applyNumberFormat="1" applyFont="1" applyBorder="1"/>
    <xf numFmtId="10" fontId="14" fillId="0" borderId="17" xfId="2" applyNumberFormat="1" applyFont="1" applyBorder="1"/>
    <xf numFmtId="10" fontId="14" fillId="0" borderId="18" xfId="2" applyNumberFormat="1" applyFont="1" applyBorder="1"/>
    <xf numFmtId="10" fontId="14" fillId="0" borderId="19" xfId="2" applyNumberFormat="1" applyFont="1" applyBorder="1"/>
    <xf numFmtId="10" fontId="14" fillId="0" borderId="17" xfId="3" applyNumberFormat="1" applyFont="1" applyBorder="1"/>
    <xf numFmtId="10" fontId="14" fillId="0" borderId="18" xfId="3" applyNumberFormat="1" applyFont="1" applyBorder="1"/>
    <xf numFmtId="10" fontId="14" fillId="0" borderId="19" xfId="3" applyNumberFormat="1" applyFont="1" applyBorder="1"/>
    <xf numFmtId="0" fontId="5" fillId="0" borderId="15" xfId="2" applyFont="1" applyBorder="1"/>
    <xf numFmtId="0" fontId="5" fillId="0" borderId="16" xfId="2" applyFont="1" applyBorder="1"/>
    <xf numFmtId="7" fontId="5" fillId="0" borderId="0" xfId="2" applyNumberFormat="1" applyFont="1"/>
    <xf numFmtId="7" fontId="5" fillId="0" borderId="12" xfId="2" applyNumberFormat="1" applyFont="1" applyBorder="1"/>
    <xf numFmtId="0" fontId="14" fillId="0" borderId="8" xfId="2" applyFont="1" applyBorder="1"/>
    <xf numFmtId="0" fontId="5" fillId="0" borderId="9" xfId="2" applyFont="1" applyBorder="1"/>
    <xf numFmtId="0" fontId="5" fillId="0" borderId="13" xfId="2" applyFont="1" applyBorder="1"/>
    <xf numFmtId="0" fontId="14" fillId="0" borderId="3" xfId="2" applyFont="1" applyBorder="1" applyAlignment="1">
      <alignment horizontal="left" indent="4"/>
    </xf>
    <xf numFmtId="37" fontId="14" fillId="0" borderId="0" xfId="2" applyNumberFormat="1" applyFont="1"/>
    <xf numFmtId="37" fontId="14" fillId="0" borderId="12" xfId="2" applyNumberFormat="1" applyFont="1" applyBorder="1"/>
    <xf numFmtId="10" fontId="5" fillId="0" borderId="16" xfId="3" applyNumberFormat="1" applyFont="1" applyBorder="1"/>
    <xf numFmtId="10" fontId="14" fillId="0" borderId="20" xfId="3" applyNumberFormat="1" applyFont="1" applyBorder="1"/>
    <xf numFmtId="10" fontId="14" fillId="0" borderId="5" xfId="3" applyNumberFormat="1" applyFont="1" applyBorder="1"/>
    <xf numFmtId="10" fontId="14" fillId="0" borderId="21" xfId="3" applyNumberFormat="1" applyFont="1" applyBorder="1"/>
    <xf numFmtId="10" fontId="14" fillId="0" borderId="8" xfId="3" applyNumberFormat="1" applyFont="1" applyBorder="1"/>
    <xf numFmtId="10" fontId="14" fillId="0" borderId="9" xfId="3" applyNumberFormat="1" applyFont="1" applyBorder="1"/>
    <xf numFmtId="10" fontId="5" fillId="0" borderId="11" xfId="3" applyNumberFormat="1" applyFont="1" applyBorder="1"/>
    <xf numFmtId="0" fontId="5" fillId="0" borderId="1" xfId="2" applyFont="1" applyBorder="1"/>
    <xf numFmtId="37" fontId="5" fillId="0" borderId="10" xfId="2" applyNumberFormat="1" applyFont="1" applyBorder="1"/>
    <xf numFmtId="37" fontId="5" fillId="0" borderId="11" xfId="2" applyNumberFormat="1" applyFont="1" applyBorder="1"/>
    <xf numFmtId="169" fontId="15" fillId="0" borderId="0" xfId="2" applyNumberFormat="1" applyFont="1"/>
    <xf numFmtId="169" fontId="15" fillId="0" borderId="12" xfId="2" applyNumberFormat="1" applyFont="1" applyBorder="1"/>
    <xf numFmtId="0" fontId="14" fillId="0" borderId="17" xfId="2" applyFont="1" applyBorder="1" applyAlignment="1">
      <alignment horizontal="left" indent="4"/>
    </xf>
    <xf numFmtId="5" fontId="5" fillId="0" borderId="0" xfId="2" applyNumberFormat="1" applyFont="1"/>
    <xf numFmtId="5" fontId="5" fillId="0" borderId="12" xfId="2" applyNumberFormat="1" applyFont="1" applyBorder="1"/>
    <xf numFmtId="0" fontId="14" fillId="0" borderId="14" xfId="2" applyFont="1" applyBorder="1" applyAlignment="1">
      <alignment horizontal="left"/>
    </xf>
    <xf numFmtId="37" fontId="14" fillId="0" borderId="15" xfId="2" applyNumberFormat="1" applyFont="1" applyBorder="1"/>
    <xf numFmtId="37" fontId="14" fillId="0" borderId="16" xfId="2" applyNumberFormat="1" applyFont="1" applyBorder="1"/>
    <xf numFmtId="0" fontId="14" fillId="0" borderId="3" xfId="2" applyFont="1" applyBorder="1" applyAlignment="1">
      <alignment horizontal="left"/>
    </xf>
    <xf numFmtId="5" fontId="14" fillId="0" borderId="0" xfId="2" applyNumberFormat="1" applyFont="1"/>
    <xf numFmtId="5" fontId="14" fillId="0" borderId="12" xfId="2" applyNumberFormat="1" applyFont="1" applyBorder="1"/>
    <xf numFmtId="10" fontId="14" fillId="0" borderId="3" xfId="3" applyNumberFormat="1" applyFont="1" applyBorder="1"/>
    <xf numFmtId="10" fontId="14" fillId="0" borderId="0" xfId="3" applyNumberFormat="1" applyFont="1" applyBorder="1"/>
    <xf numFmtId="10" fontId="14" fillId="0" borderId="12" xfId="3" applyNumberFormat="1" applyFont="1" applyBorder="1"/>
    <xf numFmtId="37" fontId="14" fillId="0" borderId="18" xfId="2" applyNumberFormat="1" applyFont="1" applyBorder="1"/>
    <xf numFmtId="37" fontId="14" fillId="0" borderId="19" xfId="2" applyNumberFormat="1" applyFont="1" applyBorder="1"/>
    <xf numFmtId="5" fontId="14" fillId="0" borderId="9" xfId="2" applyNumberFormat="1" applyFont="1" applyBorder="1"/>
    <xf numFmtId="5" fontId="14" fillId="0" borderId="13" xfId="2" applyNumberFormat="1" applyFont="1" applyBorder="1"/>
    <xf numFmtId="170" fontId="15" fillId="0" borderId="0" xfId="4" applyNumberFormat="1" applyFont="1" applyBorder="1"/>
    <xf numFmtId="170" fontId="15" fillId="0" borderId="12" xfId="4" applyNumberFormat="1" applyFont="1" applyBorder="1"/>
    <xf numFmtId="0" fontId="5" fillId="0" borderId="8" xfId="2" applyFont="1" applyBorder="1" applyAlignment="1">
      <alignment horizontal="left" indent="2"/>
    </xf>
    <xf numFmtId="170" fontId="15" fillId="0" borderId="9" xfId="4" applyNumberFormat="1" applyFont="1" applyBorder="1"/>
    <xf numFmtId="170" fontId="15" fillId="0" borderId="13" xfId="4" applyNumberFormat="1" applyFont="1" applyBorder="1"/>
    <xf numFmtId="0" fontId="5" fillId="3" borderId="1" xfId="2" applyFont="1" applyFill="1" applyBorder="1"/>
    <xf numFmtId="0" fontId="14" fillId="3" borderId="3" xfId="2" applyFont="1" applyFill="1" applyBorder="1"/>
    <xf numFmtId="0" fontId="14" fillId="3" borderId="0" xfId="2" applyFont="1" applyFill="1" applyAlignment="1">
      <alignment horizontal="center"/>
    </xf>
    <xf numFmtId="0" fontId="14" fillId="3" borderId="0" xfId="2" applyFont="1" applyFill="1"/>
    <xf numFmtId="168" fontId="14" fillId="3" borderId="0" xfId="2" applyNumberFormat="1" applyFont="1" applyFill="1"/>
    <xf numFmtId="37" fontId="12" fillId="3" borderId="3" xfId="2" applyNumberFormat="1" applyFont="1" applyFill="1" applyBorder="1" applyAlignment="1">
      <alignment vertical="center"/>
    </xf>
    <xf numFmtId="37" fontId="12" fillId="3" borderId="0" xfId="2" applyNumberFormat="1" applyFont="1" applyFill="1" applyAlignment="1">
      <alignment vertical="center"/>
    </xf>
    <xf numFmtId="37" fontId="12" fillId="3" borderId="12" xfId="2" applyNumberFormat="1" applyFont="1" applyFill="1" applyBorder="1" applyAlignment="1">
      <alignment vertical="center"/>
    </xf>
    <xf numFmtId="0" fontId="12" fillId="3" borderId="3" xfId="4" applyNumberFormat="1" applyFont="1" applyFill="1" applyBorder="1" applyAlignment="1">
      <alignment horizontal="center"/>
    </xf>
    <xf numFmtId="0" fontId="12" fillId="3" borderId="0" xfId="4" applyNumberFormat="1" applyFont="1" applyFill="1" applyBorder="1" applyAlignment="1">
      <alignment horizontal="center"/>
    </xf>
    <xf numFmtId="0" fontId="14" fillId="3" borderId="20" xfId="2" applyFont="1" applyFill="1" applyBorder="1"/>
    <xf numFmtId="168" fontId="14" fillId="3" borderId="5" xfId="2" applyNumberFormat="1" applyFont="1" applyFill="1" applyBorder="1"/>
    <xf numFmtId="10" fontId="12" fillId="3" borderId="3" xfId="2" applyNumberFormat="1" applyFont="1" applyFill="1" applyBorder="1" applyAlignment="1">
      <alignment vertical="center"/>
    </xf>
    <xf numFmtId="10" fontId="12" fillId="3" borderId="0" xfId="2" applyNumberFormat="1" applyFont="1" applyFill="1" applyAlignment="1">
      <alignment vertical="center"/>
    </xf>
    <xf numFmtId="10" fontId="12" fillId="3" borderId="12" xfId="2" applyNumberFormat="1" applyFont="1" applyFill="1" applyBorder="1" applyAlignment="1">
      <alignment vertical="center"/>
    </xf>
    <xf numFmtId="0" fontId="14" fillId="3" borderId="5" xfId="2" applyFont="1" applyFill="1" applyBorder="1"/>
    <xf numFmtId="0" fontId="5" fillId="0" borderId="0" xfId="2" applyFont="1" applyAlignment="1">
      <alignment horizontal="left" indent="2"/>
    </xf>
    <xf numFmtId="10" fontId="5" fillId="0" borderId="1" xfId="3" applyNumberFormat="1" applyFont="1" applyBorder="1"/>
    <xf numFmtId="10" fontId="5" fillId="0" borderId="10" xfId="3" applyNumberFormat="1" applyFont="1" applyBorder="1"/>
    <xf numFmtId="10" fontId="5" fillId="0" borderId="23" xfId="3" applyNumberFormat="1" applyFont="1" applyBorder="1"/>
    <xf numFmtId="10" fontId="5" fillId="0" borderId="24" xfId="3" applyNumberFormat="1" applyFont="1" applyBorder="1"/>
    <xf numFmtId="10" fontId="5" fillId="0" borderId="25" xfId="3" applyNumberFormat="1" applyFont="1" applyBorder="1"/>
    <xf numFmtId="0" fontId="18" fillId="0" borderId="0" xfId="2" applyFont="1"/>
    <xf numFmtId="5" fontId="19" fillId="0" borderId="0" xfId="2" applyNumberFormat="1" applyFont="1"/>
    <xf numFmtId="1" fontId="14" fillId="2" borderId="5" xfId="2" applyNumberFormat="1" applyFont="1" applyFill="1" applyBorder="1"/>
    <xf numFmtId="1" fontId="14" fillId="2" borderId="21" xfId="2" applyNumberFormat="1" applyFont="1" applyFill="1" applyBorder="1"/>
    <xf numFmtId="0" fontId="5" fillId="2" borderId="0" xfId="2" applyFont="1" applyFill="1"/>
    <xf numFmtId="0" fontId="3" fillId="2" borderId="0" xfId="2" applyFill="1"/>
    <xf numFmtId="0" fontId="3" fillId="2" borderId="12" xfId="2" applyFill="1" applyBorder="1"/>
    <xf numFmtId="170" fontId="18" fillId="2" borderId="0" xfId="4" applyNumberFormat="1" applyFont="1" applyFill="1" applyBorder="1"/>
    <xf numFmtId="170" fontId="18" fillId="2" borderId="12" xfId="4" applyNumberFormat="1" applyFont="1" applyFill="1" applyBorder="1"/>
    <xf numFmtId="170" fontId="14" fillId="2" borderId="10" xfId="4" applyNumberFormat="1" applyFont="1" applyFill="1" applyBorder="1"/>
    <xf numFmtId="170" fontId="14" fillId="2" borderId="11" xfId="4" applyNumberFormat="1" applyFont="1" applyFill="1" applyBorder="1"/>
    <xf numFmtId="170" fontId="5" fillId="2" borderId="0" xfId="4" applyNumberFormat="1" applyFont="1" applyFill="1" applyBorder="1"/>
    <xf numFmtId="170" fontId="0" fillId="2" borderId="0" xfId="4" applyNumberFormat="1" applyFont="1" applyFill="1" applyBorder="1"/>
    <xf numFmtId="170" fontId="0" fillId="2" borderId="12" xfId="4" applyNumberFormat="1" applyFont="1" applyFill="1" applyBorder="1"/>
    <xf numFmtId="43" fontId="3" fillId="0" borderId="0" xfId="2" applyNumberFormat="1"/>
    <xf numFmtId="170" fontId="5" fillId="2" borderId="12" xfId="4" applyNumberFormat="1" applyFont="1" applyFill="1" applyBorder="1"/>
    <xf numFmtId="170" fontId="14" fillId="2" borderId="15" xfId="4" applyNumberFormat="1" applyFont="1" applyFill="1" applyBorder="1"/>
    <xf numFmtId="170" fontId="14" fillId="2" borderId="16" xfId="4" applyNumberFormat="1" applyFont="1" applyFill="1" applyBorder="1"/>
    <xf numFmtId="167" fontId="14" fillId="2" borderId="15" xfId="5" applyNumberFormat="1" applyFont="1" applyFill="1" applyBorder="1"/>
    <xf numFmtId="167" fontId="14" fillId="2" borderId="16" xfId="5" applyNumberFormat="1" applyFont="1" applyFill="1" applyBorder="1"/>
    <xf numFmtId="37" fontId="5" fillId="0" borderId="9" xfId="2" applyNumberFormat="1" applyFont="1" applyBorder="1"/>
    <xf numFmtId="0" fontId="5" fillId="2" borderId="15" xfId="2" applyFont="1" applyFill="1" applyBorder="1"/>
    <xf numFmtId="0" fontId="3" fillId="2" borderId="15" xfId="2" applyFill="1" applyBorder="1"/>
    <xf numFmtId="0" fontId="3" fillId="2" borderId="16" xfId="2" applyFill="1" applyBorder="1"/>
    <xf numFmtId="44" fontId="5" fillId="2" borderId="0" xfId="5" applyFont="1" applyFill="1" applyBorder="1"/>
    <xf numFmtId="170" fontId="15" fillId="2" borderId="10" xfId="4" applyNumberFormat="1" applyFont="1" applyFill="1" applyBorder="1"/>
    <xf numFmtId="170" fontId="15" fillId="2" borderId="11" xfId="4" applyNumberFormat="1" applyFont="1" applyFill="1" applyBorder="1"/>
    <xf numFmtId="170" fontId="15" fillId="2" borderId="9" xfId="4" applyNumberFormat="1" applyFont="1" applyFill="1" applyBorder="1"/>
    <xf numFmtId="170" fontId="15" fillId="2" borderId="13" xfId="4" applyNumberFormat="1" applyFont="1" applyFill="1" applyBorder="1"/>
    <xf numFmtId="5" fontId="5" fillId="2" borderId="12" xfId="2" applyNumberFormat="1" applyFont="1" applyFill="1" applyBorder="1"/>
    <xf numFmtId="37" fontId="18" fillId="2" borderId="12" xfId="2" applyNumberFormat="1" applyFont="1" applyFill="1" applyBorder="1"/>
    <xf numFmtId="170" fontId="7" fillId="2" borderId="15" xfId="4" applyNumberFormat="1" applyFont="1" applyFill="1" applyBorder="1"/>
    <xf numFmtId="170" fontId="7" fillId="2" borderId="16" xfId="4" applyNumberFormat="1" applyFont="1" applyFill="1" applyBorder="1"/>
    <xf numFmtId="37" fontId="3" fillId="0" borderId="0" xfId="2" applyNumberFormat="1"/>
    <xf numFmtId="171" fontId="3" fillId="0" borderId="0" xfId="2" applyNumberFormat="1"/>
    <xf numFmtId="170" fontId="14" fillId="2" borderId="18" xfId="4" applyNumberFormat="1" applyFont="1" applyFill="1" applyBorder="1"/>
    <xf numFmtId="170" fontId="7" fillId="2" borderId="18" xfId="4" applyNumberFormat="1" applyFont="1" applyFill="1" applyBorder="1"/>
    <xf numFmtId="170" fontId="7" fillId="2" borderId="19" xfId="4" applyNumberFormat="1" applyFont="1" applyFill="1" applyBorder="1"/>
    <xf numFmtId="170" fontId="7" fillId="2" borderId="0" xfId="4" applyNumberFormat="1" applyFont="1" applyFill="1" applyBorder="1"/>
    <xf numFmtId="170" fontId="7" fillId="2" borderId="12" xfId="4" applyNumberFormat="1" applyFont="1" applyFill="1" applyBorder="1"/>
    <xf numFmtId="37" fontId="14" fillId="2" borderId="15" xfId="2" applyNumberFormat="1" applyFont="1" applyFill="1" applyBorder="1"/>
    <xf numFmtId="37" fontId="14" fillId="2" borderId="16" xfId="2" applyNumberFormat="1" applyFont="1" applyFill="1" applyBorder="1"/>
    <xf numFmtId="37" fontId="14" fillId="2" borderId="18" xfId="2" applyNumberFormat="1" applyFont="1" applyFill="1" applyBorder="1"/>
    <xf numFmtId="37" fontId="14" fillId="2" borderId="19" xfId="2" applyNumberFormat="1" applyFont="1" applyFill="1" applyBorder="1"/>
    <xf numFmtId="0" fontId="5" fillId="2" borderId="12" xfId="2" applyFont="1" applyFill="1" applyBorder="1"/>
    <xf numFmtId="169" fontId="5" fillId="0" borderId="0" xfId="2" applyNumberFormat="1" applyFont="1"/>
    <xf numFmtId="169" fontId="15" fillId="2" borderId="12" xfId="2" applyNumberFormat="1" applyFont="1" applyFill="1" applyBorder="1"/>
    <xf numFmtId="170" fontId="15" fillId="2" borderId="0" xfId="4" applyNumberFormat="1" applyFont="1" applyFill="1" applyBorder="1"/>
    <xf numFmtId="170" fontId="15" fillId="2" borderId="12" xfId="4" applyNumberFormat="1" applyFont="1" applyFill="1" applyBorder="1"/>
    <xf numFmtId="0" fontId="22" fillId="0" borderId="3" xfId="2" applyFont="1" applyBorder="1"/>
    <xf numFmtId="7" fontId="22" fillId="0" borderId="0" xfId="2" applyNumberFormat="1" applyFont="1"/>
    <xf numFmtId="8" fontId="5" fillId="2" borderId="0" xfId="2" applyNumberFormat="1" applyFont="1" applyFill="1"/>
    <xf numFmtId="170" fontId="14" fillId="0" borderId="0" xfId="4" applyNumberFormat="1" applyFont="1" applyFill="1" applyBorder="1"/>
    <xf numFmtId="37" fontId="5" fillId="2" borderId="12" xfId="2" applyNumberFormat="1" applyFont="1" applyFill="1" applyBorder="1"/>
    <xf numFmtId="43" fontId="0" fillId="2" borderId="0" xfId="4" applyFont="1" applyFill="1" applyBorder="1"/>
    <xf numFmtId="43" fontId="0" fillId="2" borderId="12" xfId="4" applyFont="1" applyFill="1" applyBorder="1"/>
    <xf numFmtId="9" fontId="3" fillId="0" borderId="0" xfId="2" applyNumberFormat="1"/>
    <xf numFmtId="1" fontId="14" fillId="3" borderId="5" xfId="2" applyNumberFormat="1" applyFont="1" applyFill="1" applyBorder="1"/>
    <xf numFmtId="0" fontId="5" fillId="3" borderId="10" xfId="2" applyFont="1" applyFill="1" applyBorder="1"/>
    <xf numFmtId="0" fontId="20" fillId="3" borderId="10" xfId="2" applyFont="1" applyFill="1" applyBorder="1" applyAlignment="1">
      <alignment horizontal="centerContinuous"/>
    </xf>
    <xf numFmtId="0" fontId="21" fillId="3" borderId="10" xfId="2" applyFont="1" applyFill="1" applyBorder="1" applyAlignment="1">
      <alignment horizontal="centerContinuous"/>
    </xf>
    <xf numFmtId="0" fontId="23" fillId="0" borderId="0" xfId="2" applyFont="1"/>
    <xf numFmtId="0" fontId="24" fillId="0" borderId="0" xfId="2" applyFont="1"/>
    <xf numFmtId="0" fontId="25" fillId="0" borderId="0" xfId="2" applyFont="1"/>
    <xf numFmtId="0" fontId="26" fillId="0" borderId="0" xfId="2" applyFont="1"/>
    <xf numFmtId="0" fontId="27" fillId="0" borderId="14" xfId="2" applyFont="1" applyBorder="1" applyAlignment="1">
      <alignment horizontal="center"/>
    </xf>
    <xf numFmtId="0" fontId="28" fillId="0" borderId="16" xfId="2" applyFont="1" applyBorder="1" applyAlignment="1">
      <alignment horizontal="center"/>
    </xf>
    <xf numFmtId="0" fontId="27" fillId="0" borderId="8" xfId="2" applyFont="1" applyBorder="1" applyAlignment="1">
      <alignment horizontal="center"/>
    </xf>
    <xf numFmtId="14" fontId="28" fillId="0" borderId="13" xfId="2" applyNumberFormat="1" applyFont="1" applyBorder="1" applyAlignment="1">
      <alignment horizontal="center"/>
    </xf>
    <xf numFmtId="14" fontId="29" fillId="0" borderId="0" xfId="2" applyNumberFormat="1" applyFont="1"/>
    <xf numFmtId="9" fontId="23" fillId="0" borderId="0" xfId="2" applyNumberFormat="1" applyFont="1"/>
    <xf numFmtId="0" fontId="27" fillId="0" borderId="0" xfId="2" applyFont="1"/>
    <xf numFmtId="14" fontId="27" fillId="0" borderId="9" xfId="2" applyNumberFormat="1" applyFont="1" applyBorder="1" applyAlignment="1">
      <alignment horizontal="center"/>
    </xf>
    <xf numFmtId="0" fontId="28" fillId="0" borderId="9" xfId="2" applyFont="1" applyBorder="1" applyAlignment="1">
      <alignment horizontal="centerContinuous"/>
    </xf>
    <xf numFmtId="0" fontId="27" fillId="0" borderId="26" xfId="2" applyFont="1" applyBorder="1"/>
    <xf numFmtId="172" fontId="27" fillId="0" borderId="5" xfId="2" applyNumberFormat="1" applyFont="1" applyBorder="1"/>
    <xf numFmtId="0" fontId="7" fillId="0" borderId="5" xfId="2" applyFont="1" applyBorder="1" applyAlignment="1">
      <alignment horizontal="left"/>
    </xf>
    <xf numFmtId="0" fontId="28" fillId="0" borderId="0" xfId="2" applyFont="1"/>
    <xf numFmtId="5" fontId="30" fillId="0" borderId="0" xfId="2" applyNumberFormat="1" applyFont="1"/>
    <xf numFmtId="5" fontId="3" fillId="0" borderId="0" xfId="2" applyNumberFormat="1"/>
    <xf numFmtId="0" fontId="3" fillId="5" borderId="0" xfId="2" applyFill="1"/>
    <xf numFmtId="0" fontId="7" fillId="5" borderId="27" xfId="2" applyFont="1" applyFill="1" applyBorder="1" applyAlignment="1">
      <alignment horizontal="left"/>
    </xf>
    <xf numFmtId="0" fontId="7" fillId="5" borderId="27" xfId="2" applyFont="1" applyFill="1" applyBorder="1" applyAlignment="1">
      <alignment horizontal="center"/>
    </xf>
    <xf numFmtId="37" fontId="30" fillId="0" borderId="0" xfId="2" applyNumberFormat="1" applyFont="1"/>
    <xf numFmtId="7" fontId="5" fillId="5" borderId="1" xfId="2" applyNumberFormat="1" applyFont="1" applyFill="1" applyBorder="1"/>
    <xf numFmtId="10" fontId="31" fillId="5" borderId="0" xfId="3" applyNumberFormat="1" applyFont="1" applyFill="1" applyAlignment="1">
      <alignment horizontal="center"/>
    </xf>
    <xf numFmtId="10" fontId="3" fillId="0" borderId="0" xfId="2" applyNumberFormat="1"/>
    <xf numFmtId="10" fontId="31" fillId="5" borderId="3" xfId="2" applyNumberFormat="1" applyFont="1" applyFill="1" applyBorder="1"/>
    <xf numFmtId="7" fontId="3" fillId="0" borderId="28" xfId="2" applyNumberFormat="1" applyBorder="1" applyAlignment="1">
      <alignment horizontal="center"/>
    </xf>
    <xf numFmtId="7" fontId="3" fillId="0" borderId="29" xfId="2" applyNumberFormat="1" applyBorder="1" applyAlignment="1">
      <alignment horizontal="center"/>
    </xf>
    <xf numFmtId="7" fontId="3" fillId="0" borderId="30" xfId="2" applyNumberFormat="1" applyBorder="1" applyAlignment="1">
      <alignment horizontal="center"/>
    </xf>
    <xf numFmtId="39" fontId="3" fillId="0" borderId="0" xfId="2" applyNumberFormat="1"/>
    <xf numFmtId="7" fontId="3" fillId="0" borderId="31" xfId="2" applyNumberFormat="1" applyBorder="1" applyAlignment="1">
      <alignment horizontal="center"/>
    </xf>
    <xf numFmtId="7" fontId="3" fillId="0" borderId="32" xfId="2" applyNumberFormat="1" applyBorder="1" applyAlignment="1">
      <alignment horizontal="center"/>
    </xf>
    <xf numFmtId="10" fontId="32" fillId="5" borderId="3" xfId="2" applyNumberFormat="1" applyFont="1" applyFill="1" applyBorder="1"/>
    <xf numFmtId="7" fontId="7" fillId="5" borderId="33" xfId="2" applyNumberFormat="1" applyFont="1" applyFill="1" applyBorder="1" applyAlignment="1">
      <alignment horizontal="center"/>
    </xf>
    <xf numFmtId="10" fontId="9" fillId="0" borderId="0" xfId="3" applyNumberFormat="1" applyFont="1" applyFill="1"/>
    <xf numFmtId="7" fontId="3" fillId="0" borderId="34" xfId="2" applyNumberFormat="1" applyBorder="1" applyAlignment="1">
      <alignment horizontal="center"/>
    </xf>
    <xf numFmtId="7" fontId="3" fillId="0" borderId="22" xfId="2" applyNumberFormat="1" applyBorder="1" applyAlignment="1">
      <alignment horizontal="center"/>
    </xf>
    <xf numFmtId="7" fontId="3" fillId="0" borderId="35" xfId="2" applyNumberFormat="1" applyBorder="1" applyAlignment="1">
      <alignment horizontal="center"/>
    </xf>
    <xf numFmtId="10" fontId="30" fillId="0" borderId="0" xfId="2" applyNumberFormat="1" applyFont="1"/>
    <xf numFmtId="37" fontId="7" fillId="0" borderId="0" xfId="2" applyNumberFormat="1" applyFont="1"/>
    <xf numFmtId="39" fontId="28" fillId="0" borderId="0" xfId="2" applyNumberFormat="1" applyFont="1"/>
    <xf numFmtId="0" fontId="7" fillId="0" borderId="15" xfId="2" applyFont="1" applyBorder="1"/>
    <xf numFmtId="5" fontId="7" fillId="0" borderId="15" xfId="2" applyNumberFormat="1" applyFont="1" applyBorder="1"/>
    <xf numFmtId="43" fontId="28" fillId="0" borderId="0" xfId="4" applyFont="1" applyFill="1"/>
    <xf numFmtId="0" fontId="7" fillId="0" borderId="5" xfId="2" applyFont="1" applyBorder="1" applyAlignment="1">
      <alignment horizontal="center"/>
    </xf>
    <xf numFmtId="0" fontId="27" fillId="0" borderId="5" xfId="2" applyFont="1" applyBorder="1"/>
    <xf numFmtId="5" fontId="28" fillId="0" borderId="0" xfId="2" applyNumberFormat="1" applyFont="1"/>
    <xf numFmtId="165" fontId="31" fillId="5" borderId="0" xfId="3" applyNumberFormat="1" applyFont="1" applyFill="1" applyAlignment="1">
      <alignment horizontal="center"/>
    </xf>
    <xf numFmtId="165" fontId="32" fillId="5" borderId="0" xfId="3" applyNumberFormat="1" applyFont="1" applyFill="1" applyAlignment="1">
      <alignment horizontal="center"/>
    </xf>
    <xf numFmtId="37" fontId="17" fillId="0" borderId="0" xfId="2" applyNumberFormat="1" applyFont="1"/>
    <xf numFmtId="0" fontId="27" fillId="0" borderId="10" xfId="2" applyFont="1" applyBorder="1"/>
    <xf numFmtId="5" fontId="27" fillId="0" borderId="10" xfId="2" applyNumberFormat="1" applyFont="1" applyBorder="1"/>
    <xf numFmtId="165" fontId="11" fillId="0" borderId="0" xfId="2" applyNumberFormat="1" applyFont="1"/>
    <xf numFmtId="10" fontId="23" fillId="0" borderId="0" xfId="2" applyNumberFormat="1" applyFont="1"/>
    <xf numFmtId="7" fontId="9" fillId="4" borderId="0" xfId="2" applyNumberFormat="1" applyFont="1" applyFill="1"/>
    <xf numFmtId="9" fontId="9" fillId="4" borderId="0" xfId="2" applyNumberFormat="1" applyFont="1" applyFill="1"/>
    <xf numFmtId="7" fontId="7" fillId="0" borderId="15" xfId="2" applyNumberFormat="1" applyFont="1" applyBorder="1"/>
    <xf numFmtId="7" fontId="11" fillId="0" borderId="0" xfId="2" applyNumberFormat="1" applyFont="1"/>
    <xf numFmtId="0" fontId="7" fillId="0" borderId="26" xfId="2" applyFont="1" applyBorder="1"/>
    <xf numFmtId="0" fontId="33" fillId="0" borderId="26" xfId="2" applyFont="1" applyBorder="1"/>
    <xf numFmtId="0" fontId="8" fillId="2" borderId="0" xfId="2" applyFont="1" applyFill="1"/>
    <xf numFmtId="0" fontId="34" fillId="0" borderId="0" xfId="2" applyFont="1"/>
    <xf numFmtId="0" fontId="35" fillId="2" borderId="10" xfId="2" applyFont="1" applyFill="1" applyBorder="1" applyAlignment="1">
      <alignment horizontal="centerContinuous"/>
    </xf>
    <xf numFmtId="0" fontId="36" fillId="2" borderId="10" xfId="2" applyFont="1" applyFill="1" applyBorder="1" applyAlignment="1">
      <alignment horizontal="centerContinuous"/>
    </xf>
    <xf numFmtId="0" fontId="36" fillId="2" borderId="11" xfId="2" applyFont="1" applyFill="1" applyBorder="1" applyAlignment="1">
      <alignment horizontal="centerContinuous"/>
    </xf>
    <xf numFmtId="0" fontId="8" fillId="2" borderId="26" xfId="2" applyFont="1" applyFill="1" applyBorder="1"/>
    <xf numFmtId="172" fontId="7" fillId="2" borderId="5" xfId="2" applyNumberFormat="1" applyFont="1" applyFill="1" applyBorder="1"/>
    <xf numFmtId="172" fontId="7" fillId="2" borderId="21" xfId="2" applyNumberFormat="1" applyFont="1" applyFill="1" applyBorder="1"/>
    <xf numFmtId="0" fontId="3" fillId="0" borderId="3" xfId="2" applyBorder="1" applyAlignment="1">
      <alignment horizontal="left" indent="2"/>
    </xf>
    <xf numFmtId="0" fontId="7" fillId="0" borderId="14" xfId="2" applyFont="1" applyBorder="1" applyAlignment="1">
      <alignment horizontal="left" indent="4"/>
    </xf>
    <xf numFmtId="170" fontId="7" fillId="0" borderId="15" xfId="4" applyNumberFormat="1" applyFont="1" applyBorder="1" applyAlignment="1">
      <alignment horizontal="center"/>
    </xf>
    <xf numFmtId="37" fontId="7" fillId="0" borderId="15" xfId="2" applyNumberFormat="1" applyFont="1" applyBorder="1" applyAlignment="1">
      <alignment horizontal="center"/>
    </xf>
    <xf numFmtId="0" fontId="3" fillId="0" borderId="0" xfId="2" applyAlignment="1">
      <alignment horizontal="left" indent="2"/>
    </xf>
    <xf numFmtId="9" fontId="10" fillId="0" borderId="0" xfId="3" applyFont="1" applyAlignment="1">
      <alignment horizontal="center"/>
    </xf>
    <xf numFmtId="9" fontId="0" fillId="2" borderId="0" xfId="3" applyFont="1" applyFill="1"/>
    <xf numFmtId="9" fontId="0" fillId="2" borderId="12" xfId="3" applyFont="1" applyFill="1" applyBorder="1"/>
    <xf numFmtId="0" fontId="7" fillId="0" borderId="15" xfId="2" applyFont="1" applyBorder="1" applyAlignment="1">
      <alignment horizontal="left" indent="4"/>
    </xf>
    <xf numFmtId="9" fontId="10" fillId="0" borderId="15" xfId="3" applyFont="1" applyBorder="1" applyAlignment="1">
      <alignment horizontal="center"/>
    </xf>
    <xf numFmtId="9" fontId="0" fillId="2" borderId="15" xfId="3" applyFont="1" applyFill="1" applyBorder="1"/>
    <xf numFmtId="9" fontId="0" fillId="2" borderId="16" xfId="3" applyFont="1" applyFill="1" applyBorder="1"/>
    <xf numFmtId="2" fontId="3" fillId="0" borderId="0" xfId="2" applyNumberFormat="1"/>
    <xf numFmtId="2" fontId="3" fillId="2" borderId="0" xfId="2" applyNumberFormat="1" applyFill="1"/>
    <xf numFmtId="0" fontId="35" fillId="2" borderId="15" xfId="2" applyFont="1" applyFill="1" applyBorder="1" applyAlignment="1">
      <alignment horizontal="centerContinuous"/>
    </xf>
    <xf numFmtId="0" fontId="36" fillId="2" borderId="15" xfId="2" applyFont="1" applyFill="1" applyBorder="1" applyAlignment="1">
      <alignment horizontal="centerContinuous"/>
    </xf>
    <xf numFmtId="0" fontId="36" fillId="2" borderId="16" xfId="2" applyFont="1" applyFill="1" applyBorder="1" applyAlignment="1">
      <alignment horizontal="centerContinuous"/>
    </xf>
    <xf numFmtId="172" fontId="7" fillId="2" borderId="36" xfId="2" applyNumberFormat="1" applyFont="1" applyFill="1" applyBorder="1"/>
    <xf numFmtId="0" fontId="3" fillId="0" borderId="3" xfId="2" applyBorder="1"/>
    <xf numFmtId="2" fontId="35" fillId="0" borderId="0" xfId="2" applyNumberFormat="1" applyFont="1" applyAlignment="1">
      <alignment horizontal="centerContinuous"/>
    </xf>
    <xf numFmtId="2" fontId="36" fillId="0" borderId="0" xfId="2" applyNumberFormat="1" applyFont="1" applyAlignment="1">
      <alignment horizontal="centerContinuous"/>
    </xf>
    <xf numFmtId="2" fontId="35" fillId="2" borderId="0" xfId="2" applyNumberFormat="1" applyFont="1" applyFill="1" applyAlignment="1">
      <alignment horizontal="centerContinuous"/>
    </xf>
    <xf numFmtId="2" fontId="36" fillId="2" borderId="0" xfId="2" applyNumberFormat="1" applyFont="1" applyFill="1" applyAlignment="1">
      <alignment horizontal="centerContinuous"/>
    </xf>
    <xf numFmtId="0" fontId="7" fillId="0" borderId="20" xfId="2" applyFont="1" applyBorder="1"/>
    <xf numFmtId="2" fontId="7" fillId="0" borderId="5" xfId="2" applyNumberFormat="1" applyFont="1" applyBorder="1"/>
    <xf numFmtId="2" fontId="14" fillId="0" borderId="5" xfId="2" applyNumberFormat="1" applyFont="1" applyBorder="1"/>
    <xf numFmtId="2" fontId="7" fillId="2" borderId="5" xfId="2" applyNumberFormat="1" applyFont="1" applyFill="1" applyBorder="1"/>
    <xf numFmtId="0" fontId="7" fillId="0" borderId="37" xfId="2" applyFont="1" applyBorder="1"/>
    <xf numFmtId="0" fontId="7" fillId="0" borderId="27" xfId="2" applyFont="1" applyBorder="1"/>
    <xf numFmtId="2" fontId="3" fillId="0" borderId="27" xfId="2" applyNumberFormat="1" applyBorder="1"/>
    <xf numFmtId="2" fontId="3" fillId="2" borderId="27" xfId="2" applyNumberFormat="1" applyFill="1" applyBorder="1"/>
    <xf numFmtId="2" fontId="3" fillId="2" borderId="38" xfId="2" applyNumberFormat="1" applyFill="1" applyBorder="1"/>
    <xf numFmtId="9" fontId="0" fillId="0" borderId="0" xfId="3" applyFont="1"/>
    <xf numFmtId="9" fontId="38" fillId="2" borderId="0" xfId="3" applyFont="1" applyFill="1"/>
    <xf numFmtId="9" fontId="5" fillId="2" borderId="0" xfId="3" applyFont="1" applyFill="1"/>
    <xf numFmtId="0" fontId="7" fillId="0" borderId="14" xfId="2" applyFont="1" applyBorder="1"/>
    <xf numFmtId="10" fontId="8" fillId="0" borderId="16" xfId="2" applyNumberFormat="1" applyFont="1" applyBorder="1"/>
    <xf numFmtId="9" fontId="9" fillId="2" borderId="0" xfId="3" applyFont="1" applyFill="1"/>
    <xf numFmtId="0" fontId="3" fillId="0" borderId="8" xfId="2" applyBorder="1"/>
    <xf numFmtId="2" fontId="3" fillId="0" borderId="9" xfId="2" applyNumberFormat="1" applyBorder="1"/>
    <xf numFmtId="0" fontId="33" fillId="2" borderId="26" xfId="2" applyFont="1" applyFill="1" applyBorder="1"/>
    <xf numFmtId="0" fontId="3" fillId="0" borderId="27" xfId="2" applyBorder="1"/>
    <xf numFmtId="0" fontId="3" fillId="2" borderId="27" xfId="2" applyFill="1" applyBorder="1"/>
    <xf numFmtId="0" fontId="3" fillId="2" borderId="38" xfId="2" applyFill="1" applyBorder="1"/>
    <xf numFmtId="170" fontId="0" fillId="2" borderId="0" xfId="4" applyNumberFormat="1" applyFont="1" applyFill="1"/>
    <xf numFmtId="170" fontId="0" fillId="2" borderId="11" xfId="4" applyNumberFormat="1" applyFont="1" applyFill="1" applyBorder="1"/>
    <xf numFmtId="37" fontId="10" fillId="0" borderId="0" xfId="2" applyNumberFormat="1" applyFont="1"/>
    <xf numFmtId="10" fontId="3" fillId="2" borderId="0" xfId="2" applyNumberFormat="1" applyFill="1"/>
    <xf numFmtId="10" fontId="3" fillId="2" borderId="12" xfId="2" applyNumberFormat="1" applyFill="1" applyBorder="1"/>
    <xf numFmtId="10" fontId="5" fillId="2" borderId="0" xfId="2" applyNumberFormat="1" applyFont="1" applyFill="1"/>
    <xf numFmtId="37" fontId="11" fillId="0" borderId="0" xfId="2" applyNumberFormat="1" applyFont="1"/>
    <xf numFmtId="10" fontId="9" fillId="2" borderId="0" xfId="2" applyNumberFormat="1" applyFont="1" applyFill="1"/>
    <xf numFmtId="10" fontId="3" fillId="2" borderId="9" xfId="2" applyNumberFormat="1" applyFill="1" applyBorder="1"/>
    <xf numFmtId="10" fontId="3" fillId="2" borderId="13" xfId="2" applyNumberFormat="1" applyFill="1" applyBorder="1"/>
    <xf numFmtId="37" fontId="10" fillId="2" borderId="12" xfId="2" applyNumberFormat="1" applyFont="1" applyFill="1" applyBorder="1"/>
    <xf numFmtId="0" fontId="3" fillId="2" borderId="9" xfId="2" applyFill="1" applyBorder="1"/>
    <xf numFmtId="0" fontId="3" fillId="2" borderId="13" xfId="2" applyFill="1" applyBorder="1"/>
    <xf numFmtId="0" fontId="3" fillId="0" borderId="3" xfId="2" applyBorder="1" applyAlignment="1">
      <alignment horizontal="left"/>
    </xf>
    <xf numFmtId="37" fontId="3" fillId="2" borderId="0" xfId="2" applyNumberFormat="1" applyFill="1"/>
    <xf numFmtId="37" fontId="3" fillId="2" borderId="12" xfId="2" applyNumberFormat="1" applyFill="1" applyBorder="1"/>
    <xf numFmtId="39" fontId="3" fillId="2" borderId="12" xfId="2" applyNumberFormat="1" applyFill="1" applyBorder="1"/>
    <xf numFmtId="0" fontId="9" fillId="2" borderId="12" xfId="2" applyFont="1" applyFill="1" applyBorder="1"/>
    <xf numFmtId="0" fontId="35" fillId="0" borderId="0" xfId="2" applyFont="1" applyAlignment="1">
      <alignment horizontal="centerContinuous"/>
    </xf>
    <xf numFmtId="0" fontId="36" fillId="0" borderId="0" xfId="2" applyFont="1" applyAlignment="1">
      <alignment horizontal="centerContinuous"/>
    </xf>
    <xf numFmtId="0" fontId="35" fillId="2" borderId="0" xfId="2" applyFont="1" applyFill="1" applyAlignment="1">
      <alignment horizontal="centerContinuous"/>
    </xf>
    <xf numFmtId="0" fontId="36" fillId="2" borderId="0" xfId="2" applyFont="1" applyFill="1" applyAlignment="1">
      <alignment horizontal="centerContinuous"/>
    </xf>
    <xf numFmtId="0" fontId="36" fillId="2" borderId="12" xfId="2" applyFont="1" applyFill="1" applyBorder="1" applyAlignment="1">
      <alignment horizontal="centerContinuous"/>
    </xf>
    <xf numFmtId="0" fontId="7" fillId="0" borderId="20" xfId="2" applyFont="1" applyBorder="1" applyAlignment="1">
      <alignment horizontal="left"/>
    </xf>
    <xf numFmtId="168" fontId="7" fillId="0" borderId="5" xfId="2" applyNumberFormat="1" applyFont="1" applyBorder="1"/>
    <xf numFmtId="168" fontId="14" fillId="0" borderId="5" xfId="2" applyNumberFormat="1" applyFont="1" applyBorder="1"/>
    <xf numFmtId="5" fontId="7" fillId="0" borderId="10" xfId="2" applyNumberFormat="1" applyFont="1" applyBorder="1"/>
    <xf numFmtId="5" fontId="7" fillId="2" borderId="10" xfId="2" applyNumberFormat="1" applyFont="1" applyFill="1" applyBorder="1"/>
    <xf numFmtId="5" fontId="7" fillId="2" borderId="11" xfId="2" applyNumberFormat="1" applyFont="1" applyFill="1" applyBorder="1"/>
    <xf numFmtId="173" fontId="3" fillId="0" borderId="3" xfId="2" applyNumberFormat="1" applyBorder="1" applyAlignment="1">
      <alignment horizontal="left"/>
    </xf>
    <xf numFmtId="0" fontId="3" fillId="0" borderId="14" xfId="2" applyBorder="1"/>
    <xf numFmtId="0" fontId="3" fillId="0" borderId="15" xfId="2" applyBorder="1"/>
    <xf numFmtId="37" fontId="9" fillId="2" borderId="12" xfId="2" applyNumberFormat="1" applyFont="1" applyFill="1" applyBorder="1"/>
    <xf numFmtId="37" fontId="9" fillId="0" borderId="0" xfId="2" applyNumberFormat="1" applyFont="1"/>
    <xf numFmtId="5" fontId="8" fillId="0" borderId="15" xfId="2" applyNumberFormat="1" applyFont="1" applyBorder="1"/>
    <xf numFmtId="5" fontId="7" fillId="2" borderId="15" xfId="2" applyNumberFormat="1" applyFont="1" applyFill="1" applyBorder="1"/>
    <xf numFmtId="5" fontId="7" fillId="2" borderId="16" xfId="2" applyNumberFormat="1" applyFont="1" applyFill="1" applyBorder="1"/>
    <xf numFmtId="10" fontId="10" fillId="0" borderId="0" xfId="3" applyNumberFormat="1" applyFont="1"/>
    <xf numFmtId="2" fontId="3" fillId="2" borderId="12" xfId="2" applyNumberFormat="1" applyFill="1" applyBorder="1"/>
    <xf numFmtId="5" fontId="33" fillId="0" borderId="15" xfId="2" applyNumberFormat="1" applyFont="1" applyBorder="1"/>
    <xf numFmtId="0" fontId="3" fillId="0" borderId="10" xfId="2" applyBorder="1"/>
    <xf numFmtId="0" fontId="3" fillId="2" borderId="10" xfId="2" applyFill="1" applyBorder="1"/>
    <xf numFmtId="0" fontId="3" fillId="2" borderId="11" xfId="2" applyFill="1" applyBorder="1"/>
    <xf numFmtId="170" fontId="0" fillId="0" borderId="0" xfId="4" applyNumberFormat="1" applyFont="1" applyBorder="1"/>
    <xf numFmtId="0" fontId="7" fillId="0" borderId="17" xfId="2" applyFont="1" applyBorder="1"/>
    <xf numFmtId="0" fontId="7" fillId="0" borderId="18" xfId="2" applyFont="1" applyBorder="1"/>
    <xf numFmtId="170" fontId="7" fillId="0" borderId="18" xfId="4" applyNumberFormat="1" applyFont="1" applyBorder="1"/>
    <xf numFmtId="0" fontId="3" fillId="0" borderId="1" xfId="2" applyBorder="1"/>
    <xf numFmtId="0" fontId="35" fillId="0" borderId="10" xfId="2" applyFont="1" applyBorder="1" applyAlignment="1">
      <alignment horizontal="centerContinuous"/>
    </xf>
    <xf numFmtId="0" fontId="36" fillId="0" borderId="10" xfId="2" applyFont="1" applyBorder="1" applyAlignment="1">
      <alignment horizontal="centerContinuous"/>
    </xf>
    <xf numFmtId="37" fontId="3" fillId="2" borderId="39" xfId="2" applyNumberFormat="1" applyFill="1" applyBorder="1"/>
    <xf numFmtId="43" fontId="0" fillId="2" borderId="0" xfId="4" applyFont="1" applyFill="1"/>
    <xf numFmtId="174" fontId="8" fillId="0" borderId="16" xfId="2" applyNumberFormat="1" applyFont="1" applyBorder="1"/>
    <xf numFmtId="170" fontId="0" fillId="2" borderId="15" xfId="4" applyNumberFormat="1" applyFont="1" applyFill="1" applyBorder="1"/>
    <xf numFmtId="170" fontId="0" fillId="2" borderId="16" xfId="4" applyNumberFormat="1" applyFont="1" applyFill="1" applyBorder="1"/>
    <xf numFmtId="0" fontId="39" fillId="0" borderId="7" xfId="2" applyFont="1" applyBorder="1"/>
    <xf numFmtId="0" fontId="3" fillId="0" borderId="7" xfId="2" applyBorder="1"/>
    <xf numFmtId="0" fontId="7" fillId="0" borderId="7" xfId="2" applyFont="1" applyBorder="1" applyAlignment="1">
      <alignment horizontal="center"/>
    </xf>
    <xf numFmtId="0" fontId="3" fillId="0" borderId="7" xfId="2" applyBorder="1" applyAlignment="1">
      <alignment horizontal="center"/>
    </xf>
    <xf numFmtId="4" fontId="9" fillId="0" borderId="7" xfId="2" applyNumberFormat="1" applyFont="1" applyBorder="1" applyAlignment="1">
      <alignment horizontal="center"/>
    </xf>
    <xf numFmtId="4" fontId="8" fillId="0" borderId="7" xfId="2" applyNumberFormat="1" applyFont="1" applyBorder="1" applyAlignment="1">
      <alignment horizontal="center"/>
    </xf>
    <xf numFmtId="0" fontId="3" fillId="0" borderId="0" xfId="2" applyAlignment="1">
      <alignment vertical="center"/>
    </xf>
    <xf numFmtId="0" fontId="3" fillId="0" borderId="0" xfId="2" applyAlignment="1">
      <alignment vertical="top"/>
    </xf>
    <xf numFmtId="0" fontId="3" fillId="0" borderId="7" xfId="2" applyBorder="1" applyAlignment="1">
      <alignment vertical="top"/>
    </xf>
    <xf numFmtId="0" fontId="3" fillId="0" borderId="0" xfId="2" applyAlignment="1">
      <alignment wrapText="1"/>
    </xf>
    <xf numFmtId="0" fontId="3" fillId="0" borderId="0" xfId="2" applyAlignment="1">
      <alignment vertical="top" wrapText="1"/>
    </xf>
    <xf numFmtId="0" fontId="27" fillId="3" borderId="15" xfId="2" applyFont="1" applyFill="1" applyBorder="1"/>
    <xf numFmtId="37" fontId="27" fillId="3" borderId="15" xfId="2" applyNumberFormat="1" applyFont="1" applyFill="1" applyBorder="1"/>
    <xf numFmtId="5" fontId="27" fillId="3" borderId="15" xfId="2" applyNumberFormat="1" applyFont="1" applyFill="1" applyBorder="1"/>
    <xf numFmtId="0" fontId="27" fillId="3" borderId="18" xfId="2" applyFont="1" applyFill="1" applyBorder="1"/>
    <xf numFmtId="7" fontId="27" fillId="3" borderId="18" xfId="2" applyNumberFormat="1" applyFont="1" applyFill="1" applyBorder="1"/>
    <xf numFmtId="0" fontId="3" fillId="3" borderId="1" xfId="2" applyFill="1" applyBorder="1"/>
    <xf numFmtId="0" fontId="3" fillId="3" borderId="10" xfId="2" applyFill="1" applyBorder="1"/>
    <xf numFmtId="0" fontId="35" fillId="3" borderId="10" xfId="2" applyFont="1" applyFill="1" applyBorder="1" applyAlignment="1">
      <alignment horizontal="centerContinuous"/>
    </xf>
    <xf numFmtId="0" fontId="36" fillId="3" borderId="10" xfId="2" applyFont="1" applyFill="1" applyBorder="1" applyAlignment="1">
      <alignment horizontal="centerContinuous"/>
    </xf>
    <xf numFmtId="0" fontId="7" fillId="3" borderId="20" xfId="2" applyFont="1" applyFill="1" applyBorder="1"/>
    <xf numFmtId="0" fontId="7" fillId="3" borderId="5" xfId="2" applyFont="1" applyFill="1" applyBorder="1" applyAlignment="1">
      <alignment horizontal="center"/>
    </xf>
    <xf numFmtId="168" fontId="7" fillId="3" borderId="5" xfId="2" applyNumberFormat="1" applyFont="1" applyFill="1" applyBorder="1" applyAlignment="1">
      <alignment horizontal="center"/>
    </xf>
    <xf numFmtId="168" fontId="14" fillId="3" borderId="5" xfId="2" applyNumberFormat="1" applyFont="1" applyFill="1" applyBorder="1" applyAlignment="1">
      <alignment horizontal="center"/>
    </xf>
    <xf numFmtId="168" fontId="7" fillId="3" borderId="5" xfId="2" applyNumberFormat="1" applyFont="1" applyFill="1" applyBorder="1"/>
    <xf numFmtId="0" fontId="3" fillId="3" borderId="14" xfId="2" applyFill="1" applyBorder="1"/>
    <xf numFmtId="170" fontId="37" fillId="0" borderId="0" xfId="4" applyNumberFormat="1" applyFont="1" applyBorder="1" applyAlignment="1">
      <alignment vertical="center"/>
    </xf>
    <xf numFmtId="9" fontId="0" fillId="2" borderId="9" xfId="3" applyFont="1" applyFill="1" applyBorder="1"/>
    <xf numFmtId="0" fontId="2" fillId="0" borderId="0" xfId="0" applyFont="1" applyAlignment="1">
      <alignment horizontal="center" vertical="center"/>
    </xf>
    <xf numFmtId="2" fontId="3" fillId="0" borderId="7" xfId="2" applyNumberFormat="1" applyBorder="1" applyAlignment="1">
      <alignment horizontal="center"/>
    </xf>
    <xf numFmtId="2" fontId="9" fillId="0" borderId="7" xfId="2" applyNumberFormat="1" applyFont="1" applyBorder="1" applyAlignment="1">
      <alignment horizontal="center"/>
    </xf>
    <xf numFmtId="2" fontId="3" fillId="0" borderId="7" xfId="2" applyNumberFormat="1" applyBorder="1"/>
    <xf numFmtId="2" fontId="7" fillId="0" borderId="7" xfId="2" applyNumberFormat="1" applyFont="1" applyBorder="1" applyAlignment="1">
      <alignment horizontal="center"/>
    </xf>
    <xf numFmtId="2" fontId="8" fillId="0" borderId="7" xfId="2" applyNumberFormat="1" applyFont="1" applyBorder="1" applyAlignment="1">
      <alignment horizontal="center"/>
    </xf>
    <xf numFmtId="10" fontId="11" fillId="0" borderId="7" xfId="1" applyNumberFormat="1" applyFont="1" applyBorder="1" applyAlignment="1">
      <alignment horizontal="right"/>
    </xf>
    <xf numFmtId="170" fontId="5" fillId="2" borderId="0" xfId="4" applyNumberFormat="1" applyFont="1" applyFill="1" applyBorder="1" applyAlignment="1">
      <alignment horizontal="right"/>
    </xf>
    <xf numFmtId="170" fontId="5" fillId="2" borderId="12" xfId="4" applyNumberFormat="1" applyFont="1" applyFill="1" applyBorder="1" applyAlignment="1">
      <alignment horizontal="right"/>
    </xf>
    <xf numFmtId="37" fontId="7" fillId="2" borderId="18" xfId="2" applyNumberFormat="1" applyFont="1" applyFill="1" applyBorder="1" applyAlignment="1">
      <alignment horizontal="right"/>
    </xf>
    <xf numFmtId="37" fontId="7" fillId="2" borderId="19" xfId="2" applyNumberFormat="1" applyFont="1" applyFill="1" applyBorder="1" applyAlignment="1">
      <alignment horizontal="right"/>
    </xf>
    <xf numFmtId="170" fontId="5" fillId="2" borderId="39" xfId="4" applyNumberFormat="1" applyFont="1" applyFill="1" applyBorder="1" applyAlignment="1">
      <alignment horizontal="right"/>
    </xf>
    <xf numFmtId="2" fontId="3" fillId="0" borderId="0" xfId="1" applyNumberFormat="1" applyFont="1"/>
    <xf numFmtId="0" fontId="3" fillId="2" borderId="39" xfId="2" applyFill="1" applyBorder="1"/>
    <xf numFmtId="170" fontId="18" fillId="2" borderId="13" xfId="4" applyNumberFormat="1" applyFont="1" applyFill="1" applyBorder="1"/>
    <xf numFmtId="170" fontId="5" fillId="2" borderId="0" xfId="2" applyNumberFormat="1" applyFont="1" applyFill="1"/>
    <xf numFmtId="4" fontId="0" fillId="0" borderId="0" xfId="0" applyNumberFormat="1"/>
    <xf numFmtId="2" fontId="0" fillId="0" borderId="0" xfId="0" applyNumberFormat="1"/>
    <xf numFmtId="14" fontId="0" fillId="0" borderId="0" xfId="0" applyNumberFormat="1"/>
    <xf numFmtId="2" fontId="0" fillId="0" borderId="5" xfId="0" applyNumberFormat="1" applyBorder="1"/>
    <xf numFmtId="0" fontId="0" fillId="0" borderId="5" xfId="0" applyBorder="1"/>
    <xf numFmtId="0" fontId="40" fillId="0" borderId="27" xfId="0" applyFont="1" applyBorder="1" applyAlignment="1">
      <alignment horizontal="center"/>
    </xf>
    <xf numFmtId="0" fontId="40" fillId="0" borderId="27" xfId="0" applyFont="1" applyBorder="1" applyAlignment="1">
      <alignment horizontal="centerContinuous"/>
    </xf>
    <xf numFmtId="37" fontId="10" fillId="2" borderId="0" xfId="2" applyNumberFormat="1" applyFont="1" applyFill="1"/>
    <xf numFmtId="39" fontId="3" fillId="2" borderId="0" xfId="2" applyNumberFormat="1" applyFill="1"/>
    <xf numFmtId="0" fontId="9" fillId="2" borderId="0" xfId="2" applyFont="1" applyFill="1"/>
    <xf numFmtId="37" fontId="5" fillId="2" borderId="0" xfId="2" applyNumberFormat="1" applyFont="1" applyFill="1"/>
    <xf numFmtId="37" fontId="9" fillId="2" borderId="0" xfId="2" applyNumberFormat="1" applyFont="1" applyFill="1"/>
    <xf numFmtId="10" fontId="3" fillId="2" borderId="10" xfId="2" applyNumberFormat="1" applyFill="1" applyBorder="1"/>
    <xf numFmtId="10" fontId="3" fillId="2" borderId="11" xfId="2" applyNumberFormat="1" applyFill="1" applyBorder="1"/>
    <xf numFmtId="5" fontId="14" fillId="2" borderId="18" xfId="0" applyNumberFormat="1" applyFont="1" applyFill="1" applyBorder="1"/>
    <xf numFmtId="0" fontId="3" fillId="2" borderId="24" xfId="2" applyFill="1" applyBorder="1"/>
    <xf numFmtId="37" fontId="18" fillId="2" borderId="0" xfId="2" applyNumberFormat="1" applyFont="1" applyFill="1"/>
    <xf numFmtId="170" fontId="7" fillId="2" borderId="10" xfId="4" applyNumberFormat="1" applyFont="1" applyFill="1" applyBorder="1"/>
    <xf numFmtId="170" fontId="5" fillId="2" borderId="12" xfId="2" applyNumberFormat="1" applyFont="1" applyFill="1" applyBorder="1"/>
    <xf numFmtId="10" fontId="3" fillId="0" borderId="0" xfId="1" applyNumberFormat="1" applyFont="1"/>
    <xf numFmtId="0" fontId="5" fillId="2" borderId="1" xfId="2" applyFont="1" applyFill="1" applyBorder="1"/>
    <xf numFmtId="43" fontId="5" fillId="2" borderId="3" xfId="4" applyFont="1" applyFill="1" applyBorder="1"/>
    <xf numFmtId="170" fontId="5" fillId="2" borderId="3" xfId="4" applyNumberFormat="1" applyFont="1" applyFill="1" applyBorder="1"/>
    <xf numFmtId="170" fontId="18" fillId="2" borderId="3" xfId="4" applyNumberFormat="1" applyFont="1" applyFill="1" applyBorder="1"/>
    <xf numFmtId="37" fontId="5" fillId="2" borderId="3" xfId="2" applyNumberFormat="1" applyFont="1" applyFill="1" applyBorder="1"/>
    <xf numFmtId="0" fontId="5" fillId="2" borderId="3" xfId="2" applyFont="1" applyFill="1" applyBorder="1"/>
    <xf numFmtId="170" fontId="14" fillId="2" borderId="14" xfId="4" applyNumberFormat="1" applyFont="1" applyFill="1" applyBorder="1"/>
    <xf numFmtId="170" fontId="14" fillId="2" borderId="3" xfId="4" applyNumberFormat="1" applyFont="1" applyFill="1" applyBorder="1"/>
    <xf numFmtId="170" fontId="5" fillId="2" borderId="8" xfId="4" applyNumberFormat="1" applyFont="1" applyFill="1" applyBorder="1"/>
    <xf numFmtId="170" fontId="5" fillId="2" borderId="9" xfId="4" applyNumberFormat="1" applyFont="1" applyFill="1" applyBorder="1"/>
    <xf numFmtId="170" fontId="5" fillId="2" borderId="13" xfId="4" applyNumberFormat="1" applyFont="1" applyFill="1" applyBorder="1"/>
    <xf numFmtId="5" fontId="5" fillId="2" borderId="40" xfId="2" applyNumberFormat="1" applyFont="1" applyFill="1" applyBorder="1"/>
    <xf numFmtId="5" fontId="5" fillId="2" borderId="41" xfId="2" applyNumberFormat="1" applyFont="1" applyFill="1" applyBorder="1"/>
    <xf numFmtId="5" fontId="5" fillId="2" borderId="39" xfId="2" applyNumberFormat="1" applyFont="1" applyFill="1" applyBorder="1"/>
    <xf numFmtId="5" fontId="5" fillId="2" borderId="3" xfId="2" applyNumberFormat="1" applyFont="1" applyFill="1" applyBorder="1"/>
    <xf numFmtId="5" fontId="5" fillId="2" borderId="0" xfId="2" applyNumberFormat="1" applyFont="1" applyFill="1"/>
    <xf numFmtId="37" fontId="5" fillId="2" borderId="8" xfId="2" applyNumberFormat="1" applyFont="1" applyFill="1" applyBorder="1"/>
    <xf numFmtId="37" fontId="5" fillId="2" borderId="9" xfId="2" applyNumberFormat="1" applyFont="1" applyFill="1" applyBorder="1"/>
    <xf numFmtId="37" fontId="5" fillId="2" borderId="13" xfId="2" applyNumberFormat="1" applyFont="1" applyFill="1" applyBorder="1"/>
    <xf numFmtId="37" fontId="14" fillId="2" borderId="14" xfId="2" applyNumberFormat="1" applyFont="1" applyFill="1" applyBorder="1"/>
    <xf numFmtId="37" fontId="18" fillId="2" borderId="3" xfId="2" applyNumberFormat="1" applyFont="1" applyFill="1" applyBorder="1"/>
    <xf numFmtId="37" fontId="14" fillId="2" borderId="17" xfId="2" applyNumberFormat="1" applyFont="1" applyFill="1" applyBorder="1"/>
    <xf numFmtId="169" fontId="15" fillId="2" borderId="3" xfId="2" applyNumberFormat="1" applyFont="1" applyFill="1" applyBorder="1"/>
    <xf numFmtId="169" fontId="15" fillId="2" borderId="0" xfId="2" applyNumberFormat="1" applyFont="1" applyFill="1"/>
    <xf numFmtId="170" fontId="15" fillId="2" borderId="3" xfId="4" applyNumberFormat="1" applyFont="1" applyFill="1" applyBorder="1"/>
    <xf numFmtId="170" fontId="0" fillId="2" borderId="9" xfId="4" applyNumberFormat="1" applyFont="1" applyFill="1" applyBorder="1"/>
    <xf numFmtId="170" fontId="0" fillId="2" borderId="13" xfId="4" applyNumberFormat="1" applyFont="1" applyFill="1" applyBorder="1"/>
    <xf numFmtId="0" fontId="5" fillId="2" borderId="40" xfId="2" applyFont="1" applyFill="1" applyBorder="1"/>
    <xf numFmtId="0" fontId="3" fillId="2" borderId="41" xfId="2" applyFill="1" applyBorder="1"/>
    <xf numFmtId="170" fontId="5" fillId="2" borderId="3" xfId="2" applyNumberFormat="1" applyFont="1" applyFill="1" applyBorder="1"/>
    <xf numFmtId="37" fontId="18" fillId="2" borderId="8" xfId="2" applyNumberFormat="1" applyFont="1" applyFill="1" applyBorder="1"/>
    <xf numFmtId="37" fontId="18" fillId="2" borderId="9" xfId="2" applyNumberFormat="1" applyFont="1" applyFill="1" applyBorder="1"/>
    <xf numFmtId="37" fontId="18" fillId="2" borderId="13" xfId="2" applyNumberFormat="1" applyFont="1" applyFill="1" applyBorder="1"/>
    <xf numFmtId="5" fontId="18" fillId="2" borderId="3" xfId="2" applyNumberFormat="1" applyFont="1" applyFill="1" applyBorder="1"/>
    <xf numFmtId="5" fontId="18" fillId="2" borderId="0" xfId="2" applyNumberFormat="1" applyFont="1" applyFill="1"/>
    <xf numFmtId="5" fontId="18" fillId="2" borderId="12" xfId="2" applyNumberFormat="1" applyFont="1" applyFill="1" applyBorder="1"/>
    <xf numFmtId="0" fontId="5" fillId="2" borderId="23" xfId="2" applyFont="1" applyFill="1" applyBorder="1"/>
    <xf numFmtId="0" fontId="3" fillId="2" borderId="25" xfId="2" applyFill="1" applyBorder="1"/>
    <xf numFmtId="170" fontId="14" fillId="2" borderId="1" xfId="4" applyNumberFormat="1" applyFont="1" applyFill="1" applyBorder="1"/>
    <xf numFmtId="170" fontId="7" fillId="2" borderId="11" xfId="4" applyNumberFormat="1" applyFont="1" applyFill="1" applyBorder="1"/>
    <xf numFmtId="0" fontId="7" fillId="0" borderId="0" xfId="0" applyFont="1"/>
    <xf numFmtId="0" fontId="41" fillId="0" borderId="0" xfId="0" applyFont="1"/>
    <xf numFmtId="2" fontId="0" fillId="6" borderId="5" xfId="0" applyNumberFormat="1" applyFill="1" applyBorder="1"/>
    <xf numFmtId="0" fontId="42" fillId="0" borderId="0" xfId="0" applyFont="1" applyAlignment="1">
      <alignment vertical="center"/>
    </xf>
    <xf numFmtId="0" fontId="0" fillId="0" borderId="0" xfId="0" applyAlignment="1">
      <alignment horizontal="left" vertical="center" indent="1"/>
    </xf>
    <xf numFmtId="0" fontId="2" fillId="0" borderId="0" xfId="0" applyFont="1" applyAlignment="1">
      <alignment horizontal="center"/>
    </xf>
    <xf numFmtId="0" fontId="3" fillId="5" borderId="5" xfId="2" applyFill="1" applyBorder="1"/>
    <xf numFmtId="175" fontId="3" fillId="5" borderId="0" xfId="2" applyNumberFormat="1" applyFill="1"/>
    <xf numFmtId="10" fontId="31" fillId="4" borderId="0" xfId="3" applyNumberFormat="1" applyFont="1" applyFill="1"/>
    <xf numFmtId="39" fontId="31" fillId="0" borderId="0" xfId="2" applyNumberFormat="1" applyFont="1"/>
    <xf numFmtId="2" fontId="0" fillId="4" borderId="0" xfId="3" applyNumberFormat="1" applyFont="1" applyFill="1"/>
    <xf numFmtId="39" fontId="7" fillId="5" borderId="15" xfId="2" applyNumberFormat="1" applyFont="1" applyFill="1" applyBorder="1"/>
    <xf numFmtId="10" fontId="31" fillId="4" borderId="0" xfId="2" applyNumberFormat="1" applyFont="1" applyFill="1"/>
    <xf numFmtId="10" fontId="10" fillId="0" borderId="0" xfId="2" applyNumberFormat="1" applyFont="1"/>
    <xf numFmtId="14" fontId="3" fillId="0" borderId="0" xfId="2" applyNumberFormat="1"/>
    <xf numFmtId="0" fontId="7" fillId="3" borderId="15" xfId="2" applyFont="1" applyFill="1" applyBorder="1"/>
    <xf numFmtId="10" fontId="7" fillId="3" borderId="15" xfId="2" applyNumberFormat="1" applyFont="1" applyFill="1" applyBorder="1"/>
    <xf numFmtId="0" fontId="7" fillId="3" borderId="18" xfId="2" applyFont="1" applyFill="1" applyBorder="1"/>
    <xf numFmtId="10" fontId="7" fillId="3" borderId="18" xfId="2" applyNumberFormat="1" applyFont="1" applyFill="1" applyBorder="1"/>
    <xf numFmtId="15" fontId="45" fillId="7" borderId="7" xfId="0" applyNumberFormat="1" applyFont="1" applyFill="1" applyBorder="1" applyAlignment="1">
      <alignment horizontal="left" vertical="center" indent="1"/>
    </xf>
    <xf numFmtId="0" fontId="45" fillId="7" borderId="7" xfId="0" applyFont="1" applyFill="1" applyBorder="1" applyAlignment="1">
      <alignment horizontal="right" vertical="center" indent="1"/>
    </xf>
    <xf numFmtId="9" fontId="0" fillId="0" borderId="7" xfId="3" applyFont="1" applyBorder="1"/>
    <xf numFmtId="4" fontId="45" fillId="7" borderId="7" xfId="0" applyNumberFormat="1" applyFont="1" applyFill="1" applyBorder="1" applyAlignment="1">
      <alignment horizontal="right" vertical="center" indent="1"/>
    </xf>
    <xf numFmtId="0" fontId="44" fillId="0" borderId="0" xfId="0" applyFont="1" applyAlignment="1">
      <alignment horizontal="center"/>
    </xf>
    <xf numFmtId="7" fontId="5" fillId="0" borderId="9" xfId="2" applyNumberFormat="1" applyFont="1" applyBorder="1"/>
    <xf numFmtId="4" fontId="5" fillId="2" borderId="0" xfId="5" applyNumberFormat="1" applyFont="1" applyFill="1" applyBorder="1"/>
    <xf numFmtId="4" fontId="5" fillId="2" borderId="10" xfId="5" applyNumberFormat="1" applyFont="1" applyFill="1" applyBorder="1"/>
    <xf numFmtId="4" fontId="5" fillId="2" borderId="11" xfId="5" applyNumberFormat="1" applyFont="1" applyFill="1" applyBorder="1"/>
    <xf numFmtId="4" fontId="5" fillId="2" borderId="12" xfId="5" applyNumberFormat="1" applyFont="1" applyFill="1" applyBorder="1"/>
    <xf numFmtId="7" fontId="23" fillId="0" borderId="0" xfId="2" applyNumberFormat="1" applyFont="1"/>
    <xf numFmtId="0" fontId="3" fillId="4" borderId="0" xfId="2" applyFill="1"/>
    <xf numFmtId="9" fontId="11" fillId="4" borderId="0" xfId="3" applyFont="1" applyFill="1"/>
    <xf numFmtId="14" fontId="3" fillId="4" borderId="0" xfId="2" applyNumberFormat="1" applyFill="1" applyAlignment="1">
      <alignment horizontal="left"/>
    </xf>
    <xf numFmtId="0" fontId="3" fillId="4" borderId="0" xfId="2" applyFill="1" applyAlignment="1">
      <alignment horizontal="left"/>
    </xf>
    <xf numFmtId="0" fontId="46" fillId="0" borderId="0" xfId="0" applyFont="1"/>
    <xf numFmtId="0" fontId="47" fillId="0" borderId="0" xfId="0" applyFont="1"/>
    <xf numFmtId="0" fontId="48" fillId="0" borderId="0" xfId="0" applyFont="1"/>
    <xf numFmtId="167" fontId="5" fillId="0" borderId="0" xfId="2" applyNumberFormat="1" applyFont="1"/>
    <xf numFmtId="0" fontId="14" fillId="3" borderId="10" xfId="2" applyFont="1" applyFill="1" applyBorder="1" applyAlignment="1">
      <alignment horizontal="center"/>
    </xf>
    <xf numFmtId="0" fontId="14" fillId="3" borderId="0" xfId="2" applyFont="1" applyFill="1"/>
    <xf numFmtId="0" fontId="14" fillId="3" borderId="12" xfId="2" applyFont="1" applyFill="1" applyBorder="1"/>
    <xf numFmtId="10" fontId="12" fillId="3" borderId="3" xfId="2" applyNumberFormat="1" applyFont="1" applyFill="1" applyBorder="1" applyAlignment="1">
      <alignment horizontal="left" vertical="center"/>
    </xf>
    <xf numFmtId="10" fontId="12" fillId="3" borderId="0" xfId="2" applyNumberFormat="1" applyFont="1" applyFill="1" applyAlignment="1">
      <alignment horizontal="left" vertical="center"/>
    </xf>
    <xf numFmtId="10" fontId="12" fillId="3" borderId="12" xfId="2" applyNumberFormat="1" applyFont="1" applyFill="1" applyBorder="1" applyAlignment="1">
      <alignment horizontal="left" vertical="center"/>
    </xf>
    <xf numFmtId="166" fontId="12" fillId="3" borderId="1" xfId="4" applyNumberFormat="1" applyFont="1" applyFill="1" applyBorder="1" applyAlignment="1">
      <alignment horizontal="center"/>
    </xf>
    <xf numFmtId="166" fontId="12" fillId="3" borderId="10" xfId="4" applyNumberFormat="1" applyFont="1" applyFill="1" applyBorder="1" applyAlignment="1">
      <alignment horizontal="center"/>
    </xf>
    <xf numFmtId="166" fontId="12" fillId="3" borderId="11" xfId="4" applyNumberFormat="1" applyFont="1" applyFill="1" applyBorder="1" applyAlignment="1">
      <alignment horizontal="center"/>
    </xf>
    <xf numFmtId="10" fontId="12" fillId="3" borderId="1" xfId="4" applyNumberFormat="1" applyFont="1" applyFill="1" applyBorder="1" applyAlignment="1">
      <alignment horizontal="center"/>
    </xf>
    <xf numFmtId="10" fontId="12" fillId="3" borderId="10" xfId="4" applyNumberFormat="1" applyFont="1" applyFill="1" applyBorder="1" applyAlignment="1">
      <alignment horizontal="center"/>
    </xf>
    <xf numFmtId="10" fontId="12" fillId="3" borderId="11" xfId="4" applyNumberFormat="1" applyFont="1" applyFill="1" applyBorder="1" applyAlignment="1">
      <alignment horizontal="center"/>
    </xf>
    <xf numFmtId="0" fontId="14" fillId="3" borderId="3" xfId="2" applyFont="1" applyFill="1" applyBorder="1"/>
    <xf numFmtId="0" fontId="20" fillId="3" borderId="10" xfId="2" applyFont="1" applyFill="1" applyBorder="1" applyAlignment="1">
      <alignment horizontal="center"/>
    </xf>
    <xf numFmtId="0" fontId="20" fillId="2" borderId="10" xfId="2" applyFont="1" applyFill="1" applyBorder="1" applyAlignment="1">
      <alignment horizontal="center"/>
    </xf>
    <xf numFmtId="0" fontId="20" fillId="2" borderId="11" xfId="2" applyFont="1" applyFill="1" applyBorder="1" applyAlignment="1">
      <alignment horizontal="center"/>
    </xf>
    <xf numFmtId="0" fontId="2" fillId="0" borderId="0" xfId="0" applyFont="1" applyAlignment="1">
      <alignment horizontal="center" vertical="center"/>
    </xf>
    <xf numFmtId="0" fontId="35" fillId="3" borderId="10" xfId="2" applyFont="1" applyFill="1" applyBorder="1" applyAlignment="1">
      <alignment horizontal="center"/>
    </xf>
    <xf numFmtId="0" fontId="35" fillId="3" borderId="15" xfId="2" applyFont="1" applyFill="1" applyBorder="1" applyAlignment="1">
      <alignment horizontal="center"/>
    </xf>
    <xf numFmtId="0" fontId="35" fillId="2" borderId="10" xfId="2" applyFont="1" applyFill="1" applyBorder="1" applyAlignment="1">
      <alignment horizontal="center"/>
    </xf>
    <xf numFmtId="0" fontId="35" fillId="2" borderId="11" xfId="2" applyFont="1" applyFill="1" applyBorder="1" applyAlignment="1">
      <alignment horizontal="center"/>
    </xf>
    <xf numFmtId="0" fontId="7" fillId="5" borderId="12" xfId="2" applyFont="1" applyFill="1" applyBorder="1" applyAlignment="1">
      <alignment horizontal="right" textRotation="90"/>
    </xf>
    <xf numFmtId="0" fontId="3" fillId="0" borderId="0" xfId="2"/>
    <xf numFmtId="0" fontId="7" fillId="0" borderId="7" xfId="2" applyFont="1" applyBorder="1" applyAlignment="1">
      <alignment horizontal="center"/>
    </xf>
  </cellXfs>
  <cellStyles count="6">
    <cellStyle name="Comma 2" xfId="4" xr:uid="{0F8C275E-18B2-455F-B81D-5E53DB897BDB}"/>
    <cellStyle name="Currency 2" xfId="5" xr:uid="{54452166-878E-4593-A0C0-8D32F2A2FF25}"/>
    <cellStyle name="Normal" xfId="0" builtinId="0"/>
    <cellStyle name="Normal 2" xfId="2" xr:uid="{31CDA51E-EE06-4AA6-BE88-4E9FE3920270}"/>
    <cellStyle name="Percent" xfId="1" builtinId="5"/>
    <cellStyle name="Percent 2" xfId="3" xr:uid="{8C1BD703-359A-4463-897C-335A659C31B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line</a:t>
            </a:r>
            <a:r>
              <a:rPr lang="en-US" baseline="0"/>
              <a:t> chart for MSFT and S&amp;P500</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'Predictive Model'!$C$1</c:f>
              <c:strCache>
                <c:ptCount val="1"/>
                <c:pt idx="0">
                  <c:v>MSFT Daily Ret-RF</c:v>
                </c:pt>
              </c:strCache>
            </c:strRef>
          </c:tx>
          <c:spPr>
            <a:ln w="28575" cap="rnd">
              <a:solidFill>
                <a:schemeClr val="accent2"/>
              </a:solidFill>
              <a:round/>
            </a:ln>
            <a:effectLst/>
          </c:spPr>
          <c:marker>
            <c:symbol val="none"/>
          </c:marker>
          <c:cat>
            <c:numRef>
              <c:f>'Predictive Model'!$A$2:$A$1048</c:f>
              <c:numCache>
                <c:formatCode>m/d/yyyy</c:formatCode>
                <c:ptCount val="1047"/>
                <c:pt idx="0">
                  <c:v>44014</c:v>
                </c:pt>
                <c:pt idx="1">
                  <c:v>44018</c:v>
                </c:pt>
                <c:pt idx="2">
                  <c:v>44019</c:v>
                </c:pt>
                <c:pt idx="3">
                  <c:v>44020</c:v>
                </c:pt>
                <c:pt idx="4">
                  <c:v>44021</c:v>
                </c:pt>
                <c:pt idx="5">
                  <c:v>44022</c:v>
                </c:pt>
                <c:pt idx="6">
                  <c:v>44025</c:v>
                </c:pt>
                <c:pt idx="7">
                  <c:v>44026</c:v>
                </c:pt>
                <c:pt idx="8">
                  <c:v>44027</c:v>
                </c:pt>
                <c:pt idx="9">
                  <c:v>44028</c:v>
                </c:pt>
                <c:pt idx="10">
                  <c:v>44029</c:v>
                </c:pt>
                <c:pt idx="11">
                  <c:v>44032</c:v>
                </c:pt>
                <c:pt idx="12">
                  <c:v>44033</c:v>
                </c:pt>
                <c:pt idx="13">
                  <c:v>44034</c:v>
                </c:pt>
                <c:pt idx="14">
                  <c:v>44035</c:v>
                </c:pt>
                <c:pt idx="15">
                  <c:v>44036</c:v>
                </c:pt>
                <c:pt idx="16">
                  <c:v>44039</c:v>
                </c:pt>
                <c:pt idx="17">
                  <c:v>44040</c:v>
                </c:pt>
                <c:pt idx="18">
                  <c:v>44041</c:v>
                </c:pt>
                <c:pt idx="19">
                  <c:v>44042</c:v>
                </c:pt>
                <c:pt idx="20">
                  <c:v>44043</c:v>
                </c:pt>
                <c:pt idx="21">
                  <c:v>44046</c:v>
                </c:pt>
                <c:pt idx="22">
                  <c:v>44047</c:v>
                </c:pt>
                <c:pt idx="23">
                  <c:v>44048</c:v>
                </c:pt>
                <c:pt idx="24">
                  <c:v>44049</c:v>
                </c:pt>
                <c:pt idx="25">
                  <c:v>44050</c:v>
                </c:pt>
                <c:pt idx="26">
                  <c:v>44053</c:v>
                </c:pt>
                <c:pt idx="27">
                  <c:v>44054</c:v>
                </c:pt>
                <c:pt idx="28">
                  <c:v>44055</c:v>
                </c:pt>
                <c:pt idx="29">
                  <c:v>44056</c:v>
                </c:pt>
                <c:pt idx="30">
                  <c:v>44057</c:v>
                </c:pt>
                <c:pt idx="31">
                  <c:v>44060</c:v>
                </c:pt>
                <c:pt idx="32">
                  <c:v>44061</c:v>
                </c:pt>
                <c:pt idx="33">
                  <c:v>44062</c:v>
                </c:pt>
                <c:pt idx="34">
                  <c:v>44063</c:v>
                </c:pt>
                <c:pt idx="35">
                  <c:v>44064</c:v>
                </c:pt>
                <c:pt idx="36">
                  <c:v>44067</c:v>
                </c:pt>
                <c:pt idx="37">
                  <c:v>44068</c:v>
                </c:pt>
                <c:pt idx="38">
                  <c:v>44069</c:v>
                </c:pt>
                <c:pt idx="39">
                  <c:v>44070</c:v>
                </c:pt>
                <c:pt idx="40">
                  <c:v>44071</c:v>
                </c:pt>
                <c:pt idx="41">
                  <c:v>44074</c:v>
                </c:pt>
                <c:pt idx="42">
                  <c:v>44075</c:v>
                </c:pt>
                <c:pt idx="43">
                  <c:v>44076</c:v>
                </c:pt>
                <c:pt idx="44">
                  <c:v>44077</c:v>
                </c:pt>
                <c:pt idx="45">
                  <c:v>44078</c:v>
                </c:pt>
                <c:pt idx="46">
                  <c:v>44082</c:v>
                </c:pt>
                <c:pt idx="47">
                  <c:v>44083</c:v>
                </c:pt>
                <c:pt idx="48">
                  <c:v>44084</c:v>
                </c:pt>
                <c:pt idx="49">
                  <c:v>44085</c:v>
                </c:pt>
                <c:pt idx="50">
                  <c:v>44088</c:v>
                </c:pt>
                <c:pt idx="51">
                  <c:v>44089</c:v>
                </c:pt>
                <c:pt idx="52">
                  <c:v>44090</c:v>
                </c:pt>
                <c:pt idx="53">
                  <c:v>44091</c:v>
                </c:pt>
                <c:pt idx="54">
                  <c:v>44092</c:v>
                </c:pt>
                <c:pt idx="55">
                  <c:v>44095</c:v>
                </c:pt>
                <c:pt idx="56">
                  <c:v>44096</c:v>
                </c:pt>
                <c:pt idx="57">
                  <c:v>44097</c:v>
                </c:pt>
                <c:pt idx="58">
                  <c:v>44098</c:v>
                </c:pt>
                <c:pt idx="59">
                  <c:v>44099</c:v>
                </c:pt>
                <c:pt idx="60">
                  <c:v>44102</c:v>
                </c:pt>
                <c:pt idx="61">
                  <c:v>44103</c:v>
                </c:pt>
                <c:pt idx="62">
                  <c:v>44104</c:v>
                </c:pt>
                <c:pt idx="63">
                  <c:v>44105</c:v>
                </c:pt>
                <c:pt idx="64">
                  <c:v>44106</c:v>
                </c:pt>
                <c:pt idx="65">
                  <c:v>44109</c:v>
                </c:pt>
                <c:pt idx="66">
                  <c:v>44110</c:v>
                </c:pt>
                <c:pt idx="67">
                  <c:v>44111</c:v>
                </c:pt>
                <c:pt idx="68">
                  <c:v>44112</c:v>
                </c:pt>
                <c:pt idx="69">
                  <c:v>44113</c:v>
                </c:pt>
                <c:pt idx="70">
                  <c:v>44116</c:v>
                </c:pt>
                <c:pt idx="71">
                  <c:v>44117</c:v>
                </c:pt>
                <c:pt idx="72">
                  <c:v>44118</c:v>
                </c:pt>
                <c:pt idx="73">
                  <c:v>44119</c:v>
                </c:pt>
                <c:pt idx="74">
                  <c:v>44120</c:v>
                </c:pt>
                <c:pt idx="75">
                  <c:v>44123</c:v>
                </c:pt>
                <c:pt idx="76">
                  <c:v>44124</c:v>
                </c:pt>
                <c:pt idx="77">
                  <c:v>44125</c:v>
                </c:pt>
                <c:pt idx="78">
                  <c:v>44126</c:v>
                </c:pt>
                <c:pt idx="79">
                  <c:v>44127</c:v>
                </c:pt>
                <c:pt idx="80">
                  <c:v>44130</c:v>
                </c:pt>
                <c:pt idx="81">
                  <c:v>44131</c:v>
                </c:pt>
                <c:pt idx="82">
                  <c:v>44132</c:v>
                </c:pt>
                <c:pt idx="83">
                  <c:v>44133</c:v>
                </c:pt>
                <c:pt idx="84">
                  <c:v>44134</c:v>
                </c:pt>
                <c:pt idx="85">
                  <c:v>44137</c:v>
                </c:pt>
                <c:pt idx="86">
                  <c:v>44138</c:v>
                </c:pt>
                <c:pt idx="87">
                  <c:v>44139</c:v>
                </c:pt>
                <c:pt idx="88">
                  <c:v>44140</c:v>
                </c:pt>
                <c:pt idx="89">
                  <c:v>44141</c:v>
                </c:pt>
                <c:pt idx="90">
                  <c:v>44144</c:v>
                </c:pt>
                <c:pt idx="91">
                  <c:v>44145</c:v>
                </c:pt>
                <c:pt idx="92">
                  <c:v>44146</c:v>
                </c:pt>
                <c:pt idx="93">
                  <c:v>44147</c:v>
                </c:pt>
                <c:pt idx="94">
                  <c:v>44148</c:v>
                </c:pt>
                <c:pt idx="95">
                  <c:v>44151</c:v>
                </c:pt>
                <c:pt idx="96">
                  <c:v>44152</c:v>
                </c:pt>
                <c:pt idx="97">
                  <c:v>44153</c:v>
                </c:pt>
                <c:pt idx="98">
                  <c:v>44154</c:v>
                </c:pt>
                <c:pt idx="99">
                  <c:v>44155</c:v>
                </c:pt>
                <c:pt idx="100">
                  <c:v>44158</c:v>
                </c:pt>
                <c:pt idx="101">
                  <c:v>44159</c:v>
                </c:pt>
                <c:pt idx="102">
                  <c:v>44160</c:v>
                </c:pt>
                <c:pt idx="103">
                  <c:v>44162</c:v>
                </c:pt>
                <c:pt idx="104">
                  <c:v>44165</c:v>
                </c:pt>
                <c:pt idx="105">
                  <c:v>44166</c:v>
                </c:pt>
                <c:pt idx="106">
                  <c:v>44167</c:v>
                </c:pt>
                <c:pt idx="107">
                  <c:v>44168</c:v>
                </c:pt>
                <c:pt idx="108">
                  <c:v>44169</c:v>
                </c:pt>
                <c:pt idx="109">
                  <c:v>44172</c:v>
                </c:pt>
                <c:pt idx="110">
                  <c:v>44173</c:v>
                </c:pt>
                <c:pt idx="111">
                  <c:v>44174</c:v>
                </c:pt>
                <c:pt idx="112">
                  <c:v>44175</c:v>
                </c:pt>
                <c:pt idx="113">
                  <c:v>44176</c:v>
                </c:pt>
                <c:pt idx="114">
                  <c:v>44179</c:v>
                </c:pt>
                <c:pt idx="115">
                  <c:v>44180</c:v>
                </c:pt>
                <c:pt idx="116">
                  <c:v>44181</c:v>
                </c:pt>
                <c:pt idx="117">
                  <c:v>44182</c:v>
                </c:pt>
                <c:pt idx="118">
                  <c:v>44183</c:v>
                </c:pt>
                <c:pt idx="119">
                  <c:v>44186</c:v>
                </c:pt>
                <c:pt idx="120">
                  <c:v>44187</c:v>
                </c:pt>
                <c:pt idx="121">
                  <c:v>44188</c:v>
                </c:pt>
                <c:pt idx="122">
                  <c:v>44189</c:v>
                </c:pt>
                <c:pt idx="123">
                  <c:v>44193</c:v>
                </c:pt>
                <c:pt idx="124">
                  <c:v>44194</c:v>
                </c:pt>
                <c:pt idx="125">
                  <c:v>44195</c:v>
                </c:pt>
                <c:pt idx="126">
                  <c:v>44196</c:v>
                </c:pt>
                <c:pt idx="127">
                  <c:v>44200</c:v>
                </c:pt>
                <c:pt idx="128">
                  <c:v>44201</c:v>
                </c:pt>
                <c:pt idx="129">
                  <c:v>44202</c:v>
                </c:pt>
                <c:pt idx="130">
                  <c:v>44203</c:v>
                </c:pt>
                <c:pt idx="131">
                  <c:v>44204</c:v>
                </c:pt>
                <c:pt idx="132">
                  <c:v>44207</c:v>
                </c:pt>
                <c:pt idx="133">
                  <c:v>44208</c:v>
                </c:pt>
                <c:pt idx="134">
                  <c:v>44209</c:v>
                </c:pt>
                <c:pt idx="135">
                  <c:v>44210</c:v>
                </c:pt>
                <c:pt idx="136">
                  <c:v>44211</c:v>
                </c:pt>
                <c:pt idx="137">
                  <c:v>44215</c:v>
                </c:pt>
                <c:pt idx="138">
                  <c:v>44216</c:v>
                </c:pt>
                <c:pt idx="139">
                  <c:v>44217</c:v>
                </c:pt>
                <c:pt idx="140">
                  <c:v>44218</c:v>
                </c:pt>
                <c:pt idx="141">
                  <c:v>44221</c:v>
                </c:pt>
                <c:pt idx="142">
                  <c:v>44222</c:v>
                </c:pt>
                <c:pt idx="143">
                  <c:v>44223</c:v>
                </c:pt>
                <c:pt idx="144">
                  <c:v>44224</c:v>
                </c:pt>
                <c:pt idx="145">
                  <c:v>44225</c:v>
                </c:pt>
                <c:pt idx="146">
                  <c:v>44228</c:v>
                </c:pt>
                <c:pt idx="147">
                  <c:v>44229</c:v>
                </c:pt>
                <c:pt idx="148">
                  <c:v>44230</c:v>
                </c:pt>
                <c:pt idx="149">
                  <c:v>44231</c:v>
                </c:pt>
                <c:pt idx="150">
                  <c:v>44232</c:v>
                </c:pt>
                <c:pt idx="151">
                  <c:v>44235</c:v>
                </c:pt>
                <c:pt idx="152">
                  <c:v>44236</c:v>
                </c:pt>
                <c:pt idx="153">
                  <c:v>44237</c:v>
                </c:pt>
                <c:pt idx="154">
                  <c:v>44238</c:v>
                </c:pt>
                <c:pt idx="155">
                  <c:v>44239</c:v>
                </c:pt>
                <c:pt idx="156">
                  <c:v>44243</c:v>
                </c:pt>
                <c:pt idx="157">
                  <c:v>44244</c:v>
                </c:pt>
                <c:pt idx="158">
                  <c:v>44245</c:v>
                </c:pt>
                <c:pt idx="159">
                  <c:v>44246</c:v>
                </c:pt>
                <c:pt idx="160">
                  <c:v>44249</c:v>
                </c:pt>
                <c:pt idx="161">
                  <c:v>44250</c:v>
                </c:pt>
                <c:pt idx="162">
                  <c:v>44251</c:v>
                </c:pt>
                <c:pt idx="163">
                  <c:v>44252</c:v>
                </c:pt>
                <c:pt idx="164">
                  <c:v>44253</c:v>
                </c:pt>
                <c:pt idx="165">
                  <c:v>44256</c:v>
                </c:pt>
                <c:pt idx="166">
                  <c:v>44257</c:v>
                </c:pt>
                <c:pt idx="167">
                  <c:v>44258</c:v>
                </c:pt>
                <c:pt idx="168">
                  <c:v>44259</c:v>
                </c:pt>
                <c:pt idx="169">
                  <c:v>44260</c:v>
                </c:pt>
                <c:pt idx="170">
                  <c:v>44263</c:v>
                </c:pt>
                <c:pt idx="171">
                  <c:v>44264</c:v>
                </c:pt>
                <c:pt idx="172">
                  <c:v>44265</c:v>
                </c:pt>
                <c:pt idx="173">
                  <c:v>44266</c:v>
                </c:pt>
                <c:pt idx="174">
                  <c:v>44267</c:v>
                </c:pt>
                <c:pt idx="175">
                  <c:v>44270</c:v>
                </c:pt>
                <c:pt idx="176">
                  <c:v>44271</c:v>
                </c:pt>
                <c:pt idx="177">
                  <c:v>44272</c:v>
                </c:pt>
                <c:pt idx="178">
                  <c:v>44273</c:v>
                </c:pt>
                <c:pt idx="179">
                  <c:v>44274</c:v>
                </c:pt>
                <c:pt idx="180">
                  <c:v>44277</c:v>
                </c:pt>
                <c:pt idx="181">
                  <c:v>44278</c:v>
                </c:pt>
                <c:pt idx="182">
                  <c:v>44279</c:v>
                </c:pt>
                <c:pt idx="183">
                  <c:v>44280</c:v>
                </c:pt>
                <c:pt idx="184">
                  <c:v>44281</c:v>
                </c:pt>
                <c:pt idx="185">
                  <c:v>44284</c:v>
                </c:pt>
                <c:pt idx="186">
                  <c:v>44285</c:v>
                </c:pt>
                <c:pt idx="187">
                  <c:v>44286</c:v>
                </c:pt>
                <c:pt idx="188">
                  <c:v>44287</c:v>
                </c:pt>
                <c:pt idx="189">
                  <c:v>44291</c:v>
                </c:pt>
                <c:pt idx="190">
                  <c:v>44292</c:v>
                </c:pt>
                <c:pt idx="191">
                  <c:v>44293</c:v>
                </c:pt>
                <c:pt idx="192">
                  <c:v>44294</c:v>
                </c:pt>
                <c:pt idx="193">
                  <c:v>44295</c:v>
                </c:pt>
                <c:pt idx="194">
                  <c:v>44298</c:v>
                </c:pt>
                <c:pt idx="195">
                  <c:v>44299</c:v>
                </c:pt>
                <c:pt idx="196">
                  <c:v>44300</c:v>
                </c:pt>
                <c:pt idx="197">
                  <c:v>44301</c:v>
                </c:pt>
                <c:pt idx="198">
                  <c:v>44302</c:v>
                </c:pt>
                <c:pt idx="199">
                  <c:v>44305</c:v>
                </c:pt>
                <c:pt idx="200">
                  <c:v>44306</c:v>
                </c:pt>
                <c:pt idx="201">
                  <c:v>44307</c:v>
                </c:pt>
                <c:pt idx="202">
                  <c:v>44308</c:v>
                </c:pt>
                <c:pt idx="203">
                  <c:v>44309</c:v>
                </c:pt>
                <c:pt idx="204">
                  <c:v>44312</c:v>
                </c:pt>
                <c:pt idx="205">
                  <c:v>44313</c:v>
                </c:pt>
                <c:pt idx="206">
                  <c:v>44314</c:v>
                </c:pt>
                <c:pt idx="207">
                  <c:v>44315</c:v>
                </c:pt>
                <c:pt idx="208">
                  <c:v>44316</c:v>
                </c:pt>
                <c:pt idx="209">
                  <c:v>44319</c:v>
                </c:pt>
                <c:pt idx="210">
                  <c:v>44320</c:v>
                </c:pt>
                <c:pt idx="211">
                  <c:v>44321</c:v>
                </c:pt>
                <c:pt idx="212">
                  <c:v>44322</c:v>
                </c:pt>
                <c:pt idx="213">
                  <c:v>44323</c:v>
                </c:pt>
                <c:pt idx="214">
                  <c:v>44326</c:v>
                </c:pt>
                <c:pt idx="215">
                  <c:v>44327</c:v>
                </c:pt>
                <c:pt idx="216">
                  <c:v>44328</c:v>
                </c:pt>
                <c:pt idx="217">
                  <c:v>44329</c:v>
                </c:pt>
                <c:pt idx="218">
                  <c:v>44330</c:v>
                </c:pt>
                <c:pt idx="219">
                  <c:v>44333</c:v>
                </c:pt>
                <c:pt idx="220">
                  <c:v>44334</c:v>
                </c:pt>
                <c:pt idx="221">
                  <c:v>44335</c:v>
                </c:pt>
                <c:pt idx="222">
                  <c:v>44336</c:v>
                </c:pt>
                <c:pt idx="223">
                  <c:v>44337</c:v>
                </c:pt>
                <c:pt idx="224">
                  <c:v>44340</c:v>
                </c:pt>
                <c:pt idx="225">
                  <c:v>44341</c:v>
                </c:pt>
                <c:pt idx="226">
                  <c:v>44342</c:v>
                </c:pt>
                <c:pt idx="227">
                  <c:v>44343</c:v>
                </c:pt>
                <c:pt idx="228">
                  <c:v>44344</c:v>
                </c:pt>
                <c:pt idx="229">
                  <c:v>44348</c:v>
                </c:pt>
                <c:pt idx="230">
                  <c:v>44349</c:v>
                </c:pt>
                <c:pt idx="231">
                  <c:v>44350</c:v>
                </c:pt>
                <c:pt idx="232">
                  <c:v>44351</c:v>
                </c:pt>
                <c:pt idx="233">
                  <c:v>44354</c:v>
                </c:pt>
                <c:pt idx="234">
                  <c:v>44355</c:v>
                </c:pt>
                <c:pt idx="235">
                  <c:v>44356</c:v>
                </c:pt>
                <c:pt idx="236">
                  <c:v>44357</c:v>
                </c:pt>
                <c:pt idx="237">
                  <c:v>44358</c:v>
                </c:pt>
                <c:pt idx="238">
                  <c:v>44361</c:v>
                </c:pt>
                <c:pt idx="239">
                  <c:v>44362</c:v>
                </c:pt>
                <c:pt idx="240">
                  <c:v>44363</c:v>
                </c:pt>
                <c:pt idx="241">
                  <c:v>44364</c:v>
                </c:pt>
                <c:pt idx="242">
                  <c:v>44365</c:v>
                </c:pt>
                <c:pt idx="243">
                  <c:v>44368</c:v>
                </c:pt>
                <c:pt idx="244">
                  <c:v>44369</c:v>
                </c:pt>
                <c:pt idx="245">
                  <c:v>44370</c:v>
                </c:pt>
                <c:pt idx="246">
                  <c:v>44371</c:v>
                </c:pt>
                <c:pt idx="247">
                  <c:v>44372</c:v>
                </c:pt>
                <c:pt idx="248">
                  <c:v>44375</c:v>
                </c:pt>
                <c:pt idx="249">
                  <c:v>44376</c:v>
                </c:pt>
                <c:pt idx="250">
                  <c:v>44377</c:v>
                </c:pt>
                <c:pt idx="251">
                  <c:v>44378</c:v>
                </c:pt>
                <c:pt idx="252">
                  <c:v>44379</c:v>
                </c:pt>
                <c:pt idx="253">
                  <c:v>44383</c:v>
                </c:pt>
                <c:pt idx="254">
                  <c:v>44384</c:v>
                </c:pt>
                <c:pt idx="255">
                  <c:v>44385</c:v>
                </c:pt>
                <c:pt idx="256">
                  <c:v>44386</c:v>
                </c:pt>
                <c:pt idx="257">
                  <c:v>44389</c:v>
                </c:pt>
                <c:pt idx="258">
                  <c:v>44390</c:v>
                </c:pt>
                <c:pt idx="259">
                  <c:v>44391</c:v>
                </c:pt>
                <c:pt idx="260">
                  <c:v>44392</c:v>
                </c:pt>
                <c:pt idx="261">
                  <c:v>44393</c:v>
                </c:pt>
                <c:pt idx="262">
                  <c:v>44396</c:v>
                </c:pt>
                <c:pt idx="263">
                  <c:v>44397</c:v>
                </c:pt>
                <c:pt idx="264">
                  <c:v>44398</c:v>
                </c:pt>
                <c:pt idx="265">
                  <c:v>44399</c:v>
                </c:pt>
                <c:pt idx="266">
                  <c:v>44400</c:v>
                </c:pt>
                <c:pt idx="267">
                  <c:v>44403</c:v>
                </c:pt>
                <c:pt idx="268">
                  <c:v>44404</c:v>
                </c:pt>
                <c:pt idx="269">
                  <c:v>44405</c:v>
                </c:pt>
                <c:pt idx="270">
                  <c:v>44406</c:v>
                </c:pt>
                <c:pt idx="271">
                  <c:v>44407</c:v>
                </c:pt>
                <c:pt idx="272">
                  <c:v>44410</c:v>
                </c:pt>
                <c:pt idx="273">
                  <c:v>44411</c:v>
                </c:pt>
                <c:pt idx="274">
                  <c:v>44412</c:v>
                </c:pt>
                <c:pt idx="275">
                  <c:v>44413</c:v>
                </c:pt>
                <c:pt idx="276">
                  <c:v>44414</c:v>
                </c:pt>
                <c:pt idx="277">
                  <c:v>44417</c:v>
                </c:pt>
                <c:pt idx="278">
                  <c:v>44418</c:v>
                </c:pt>
                <c:pt idx="279">
                  <c:v>44419</c:v>
                </c:pt>
                <c:pt idx="280">
                  <c:v>44420</c:v>
                </c:pt>
                <c:pt idx="281">
                  <c:v>44421</c:v>
                </c:pt>
                <c:pt idx="282">
                  <c:v>44424</c:v>
                </c:pt>
                <c:pt idx="283">
                  <c:v>44425</c:v>
                </c:pt>
                <c:pt idx="284">
                  <c:v>44426</c:v>
                </c:pt>
                <c:pt idx="285">
                  <c:v>44427</c:v>
                </c:pt>
                <c:pt idx="286">
                  <c:v>44428</c:v>
                </c:pt>
                <c:pt idx="287">
                  <c:v>44431</c:v>
                </c:pt>
                <c:pt idx="288">
                  <c:v>44432</c:v>
                </c:pt>
                <c:pt idx="289">
                  <c:v>44433</c:v>
                </c:pt>
                <c:pt idx="290">
                  <c:v>44434</c:v>
                </c:pt>
                <c:pt idx="291">
                  <c:v>44435</c:v>
                </c:pt>
                <c:pt idx="292">
                  <c:v>44438</c:v>
                </c:pt>
                <c:pt idx="293">
                  <c:v>44439</c:v>
                </c:pt>
                <c:pt idx="294">
                  <c:v>44440</c:v>
                </c:pt>
                <c:pt idx="295">
                  <c:v>44441</c:v>
                </c:pt>
                <c:pt idx="296">
                  <c:v>44442</c:v>
                </c:pt>
                <c:pt idx="297">
                  <c:v>44446</c:v>
                </c:pt>
                <c:pt idx="298">
                  <c:v>44447</c:v>
                </c:pt>
                <c:pt idx="299">
                  <c:v>44448</c:v>
                </c:pt>
                <c:pt idx="300">
                  <c:v>44449</c:v>
                </c:pt>
                <c:pt idx="301">
                  <c:v>44452</c:v>
                </c:pt>
                <c:pt idx="302">
                  <c:v>44453</c:v>
                </c:pt>
                <c:pt idx="303">
                  <c:v>44454</c:v>
                </c:pt>
                <c:pt idx="304">
                  <c:v>44455</c:v>
                </c:pt>
                <c:pt idx="305">
                  <c:v>44456</c:v>
                </c:pt>
                <c:pt idx="306">
                  <c:v>44459</c:v>
                </c:pt>
                <c:pt idx="307">
                  <c:v>44460</c:v>
                </c:pt>
                <c:pt idx="308">
                  <c:v>44461</c:v>
                </c:pt>
                <c:pt idx="309">
                  <c:v>44462</c:v>
                </c:pt>
                <c:pt idx="310">
                  <c:v>44463</c:v>
                </c:pt>
                <c:pt idx="311">
                  <c:v>44466</c:v>
                </c:pt>
                <c:pt idx="312">
                  <c:v>44467</c:v>
                </c:pt>
                <c:pt idx="313">
                  <c:v>44468</c:v>
                </c:pt>
                <c:pt idx="314">
                  <c:v>44469</c:v>
                </c:pt>
                <c:pt idx="315">
                  <c:v>44470</c:v>
                </c:pt>
                <c:pt idx="316">
                  <c:v>44473</c:v>
                </c:pt>
                <c:pt idx="317">
                  <c:v>44474</c:v>
                </c:pt>
                <c:pt idx="318">
                  <c:v>44475</c:v>
                </c:pt>
                <c:pt idx="319">
                  <c:v>44476</c:v>
                </c:pt>
                <c:pt idx="320">
                  <c:v>44477</c:v>
                </c:pt>
                <c:pt idx="321">
                  <c:v>44480</c:v>
                </c:pt>
                <c:pt idx="322">
                  <c:v>44481</c:v>
                </c:pt>
                <c:pt idx="323">
                  <c:v>44482</c:v>
                </c:pt>
                <c:pt idx="324">
                  <c:v>44483</c:v>
                </c:pt>
                <c:pt idx="325">
                  <c:v>44484</c:v>
                </c:pt>
                <c:pt idx="326">
                  <c:v>44487</c:v>
                </c:pt>
                <c:pt idx="327">
                  <c:v>44488</c:v>
                </c:pt>
                <c:pt idx="328">
                  <c:v>44489</c:v>
                </c:pt>
                <c:pt idx="329">
                  <c:v>44490</c:v>
                </c:pt>
                <c:pt idx="330">
                  <c:v>44491</c:v>
                </c:pt>
                <c:pt idx="331">
                  <c:v>44494</c:v>
                </c:pt>
                <c:pt idx="332">
                  <c:v>44495</c:v>
                </c:pt>
                <c:pt idx="333">
                  <c:v>44496</c:v>
                </c:pt>
                <c:pt idx="334">
                  <c:v>44497</c:v>
                </c:pt>
                <c:pt idx="335">
                  <c:v>44498</c:v>
                </c:pt>
                <c:pt idx="336">
                  <c:v>44501</c:v>
                </c:pt>
                <c:pt idx="337">
                  <c:v>44502</c:v>
                </c:pt>
                <c:pt idx="338">
                  <c:v>44503</c:v>
                </c:pt>
                <c:pt idx="339">
                  <c:v>44504</c:v>
                </c:pt>
                <c:pt idx="340">
                  <c:v>44505</c:v>
                </c:pt>
                <c:pt idx="341">
                  <c:v>44508</c:v>
                </c:pt>
                <c:pt idx="342">
                  <c:v>44509</c:v>
                </c:pt>
                <c:pt idx="343">
                  <c:v>44510</c:v>
                </c:pt>
                <c:pt idx="344">
                  <c:v>44511</c:v>
                </c:pt>
                <c:pt idx="345">
                  <c:v>44512</c:v>
                </c:pt>
                <c:pt idx="346">
                  <c:v>44515</c:v>
                </c:pt>
                <c:pt idx="347">
                  <c:v>44516</c:v>
                </c:pt>
                <c:pt idx="348">
                  <c:v>44517</c:v>
                </c:pt>
                <c:pt idx="349">
                  <c:v>44518</c:v>
                </c:pt>
                <c:pt idx="350">
                  <c:v>44519</c:v>
                </c:pt>
                <c:pt idx="351">
                  <c:v>44522</c:v>
                </c:pt>
                <c:pt idx="352">
                  <c:v>44523</c:v>
                </c:pt>
                <c:pt idx="353">
                  <c:v>44524</c:v>
                </c:pt>
                <c:pt idx="354">
                  <c:v>44526</c:v>
                </c:pt>
                <c:pt idx="355">
                  <c:v>44529</c:v>
                </c:pt>
                <c:pt idx="356">
                  <c:v>44530</c:v>
                </c:pt>
                <c:pt idx="357">
                  <c:v>44531</c:v>
                </c:pt>
                <c:pt idx="358">
                  <c:v>44532</c:v>
                </c:pt>
                <c:pt idx="359">
                  <c:v>44533</c:v>
                </c:pt>
                <c:pt idx="360">
                  <c:v>44536</c:v>
                </c:pt>
                <c:pt idx="361">
                  <c:v>44537</c:v>
                </c:pt>
                <c:pt idx="362">
                  <c:v>44538</c:v>
                </c:pt>
                <c:pt idx="363">
                  <c:v>44539</c:v>
                </c:pt>
                <c:pt idx="364">
                  <c:v>44540</c:v>
                </c:pt>
                <c:pt idx="365">
                  <c:v>44543</c:v>
                </c:pt>
                <c:pt idx="366">
                  <c:v>44544</c:v>
                </c:pt>
                <c:pt idx="367">
                  <c:v>44545</c:v>
                </c:pt>
                <c:pt idx="368">
                  <c:v>44546</c:v>
                </c:pt>
                <c:pt idx="369">
                  <c:v>44547</c:v>
                </c:pt>
                <c:pt idx="370">
                  <c:v>44550</c:v>
                </c:pt>
                <c:pt idx="371">
                  <c:v>44551</c:v>
                </c:pt>
                <c:pt idx="372">
                  <c:v>44552</c:v>
                </c:pt>
                <c:pt idx="373">
                  <c:v>44553</c:v>
                </c:pt>
                <c:pt idx="374">
                  <c:v>44557</c:v>
                </c:pt>
                <c:pt idx="375">
                  <c:v>44558</c:v>
                </c:pt>
                <c:pt idx="376">
                  <c:v>44559</c:v>
                </c:pt>
                <c:pt idx="377">
                  <c:v>44560</c:v>
                </c:pt>
                <c:pt idx="378">
                  <c:v>44561</c:v>
                </c:pt>
                <c:pt idx="379">
                  <c:v>44564</c:v>
                </c:pt>
                <c:pt idx="380">
                  <c:v>44565</c:v>
                </c:pt>
                <c:pt idx="381">
                  <c:v>44566</c:v>
                </c:pt>
                <c:pt idx="382">
                  <c:v>44567</c:v>
                </c:pt>
                <c:pt idx="383">
                  <c:v>44568</c:v>
                </c:pt>
                <c:pt idx="384">
                  <c:v>44571</c:v>
                </c:pt>
                <c:pt idx="385">
                  <c:v>44572</c:v>
                </c:pt>
                <c:pt idx="386">
                  <c:v>44573</c:v>
                </c:pt>
                <c:pt idx="387">
                  <c:v>44574</c:v>
                </c:pt>
                <c:pt idx="388">
                  <c:v>44575</c:v>
                </c:pt>
                <c:pt idx="389">
                  <c:v>44579</c:v>
                </c:pt>
                <c:pt idx="390">
                  <c:v>44580</c:v>
                </c:pt>
                <c:pt idx="391">
                  <c:v>44581</c:v>
                </c:pt>
                <c:pt idx="392">
                  <c:v>44582</c:v>
                </c:pt>
                <c:pt idx="393">
                  <c:v>44585</c:v>
                </c:pt>
                <c:pt idx="394">
                  <c:v>44586</c:v>
                </c:pt>
                <c:pt idx="395">
                  <c:v>44587</c:v>
                </c:pt>
                <c:pt idx="396">
                  <c:v>44588</c:v>
                </c:pt>
                <c:pt idx="397">
                  <c:v>44589</c:v>
                </c:pt>
                <c:pt idx="398">
                  <c:v>44592</c:v>
                </c:pt>
                <c:pt idx="399">
                  <c:v>44593</c:v>
                </c:pt>
                <c:pt idx="400">
                  <c:v>44594</c:v>
                </c:pt>
                <c:pt idx="401">
                  <c:v>44595</c:v>
                </c:pt>
                <c:pt idx="402">
                  <c:v>44596</c:v>
                </c:pt>
                <c:pt idx="403">
                  <c:v>44599</c:v>
                </c:pt>
                <c:pt idx="404">
                  <c:v>44600</c:v>
                </c:pt>
                <c:pt idx="405">
                  <c:v>44601</c:v>
                </c:pt>
                <c:pt idx="406">
                  <c:v>44602</c:v>
                </c:pt>
                <c:pt idx="407">
                  <c:v>44603</c:v>
                </c:pt>
                <c:pt idx="408">
                  <c:v>44606</c:v>
                </c:pt>
                <c:pt idx="409">
                  <c:v>44607</c:v>
                </c:pt>
                <c:pt idx="410">
                  <c:v>44608</c:v>
                </c:pt>
                <c:pt idx="411">
                  <c:v>44609</c:v>
                </c:pt>
                <c:pt idx="412">
                  <c:v>44610</c:v>
                </c:pt>
                <c:pt idx="413">
                  <c:v>44614</c:v>
                </c:pt>
                <c:pt idx="414">
                  <c:v>44615</c:v>
                </c:pt>
                <c:pt idx="415">
                  <c:v>44616</c:v>
                </c:pt>
                <c:pt idx="416">
                  <c:v>44617</c:v>
                </c:pt>
                <c:pt idx="417">
                  <c:v>44620</c:v>
                </c:pt>
                <c:pt idx="418">
                  <c:v>44621</c:v>
                </c:pt>
                <c:pt idx="419">
                  <c:v>44622</c:v>
                </c:pt>
                <c:pt idx="420">
                  <c:v>44623</c:v>
                </c:pt>
                <c:pt idx="421">
                  <c:v>44624</c:v>
                </c:pt>
                <c:pt idx="422">
                  <c:v>44627</c:v>
                </c:pt>
                <c:pt idx="423">
                  <c:v>44628</c:v>
                </c:pt>
                <c:pt idx="424">
                  <c:v>44629</c:v>
                </c:pt>
                <c:pt idx="425">
                  <c:v>44630</c:v>
                </c:pt>
                <c:pt idx="426">
                  <c:v>44631</c:v>
                </c:pt>
                <c:pt idx="427">
                  <c:v>44634</c:v>
                </c:pt>
                <c:pt idx="428">
                  <c:v>44635</c:v>
                </c:pt>
                <c:pt idx="429">
                  <c:v>44636</c:v>
                </c:pt>
                <c:pt idx="430">
                  <c:v>44637</c:v>
                </c:pt>
                <c:pt idx="431">
                  <c:v>44638</c:v>
                </c:pt>
                <c:pt idx="432">
                  <c:v>44641</c:v>
                </c:pt>
                <c:pt idx="433">
                  <c:v>44642</c:v>
                </c:pt>
                <c:pt idx="434">
                  <c:v>44643</c:v>
                </c:pt>
                <c:pt idx="435">
                  <c:v>44644</c:v>
                </c:pt>
                <c:pt idx="436">
                  <c:v>44645</c:v>
                </c:pt>
                <c:pt idx="437">
                  <c:v>44648</c:v>
                </c:pt>
                <c:pt idx="438">
                  <c:v>44649</c:v>
                </c:pt>
                <c:pt idx="439">
                  <c:v>44650</c:v>
                </c:pt>
                <c:pt idx="440">
                  <c:v>44651</c:v>
                </c:pt>
                <c:pt idx="441">
                  <c:v>44652</c:v>
                </c:pt>
                <c:pt idx="442">
                  <c:v>44655</c:v>
                </c:pt>
                <c:pt idx="443">
                  <c:v>44656</c:v>
                </c:pt>
                <c:pt idx="444">
                  <c:v>44657</c:v>
                </c:pt>
                <c:pt idx="445">
                  <c:v>44658</c:v>
                </c:pt>
                <c:pt idx="446">
                  <c:v>44659</c:v>
                </c:pt>
                <c:pt idx="447">
                  <c:v>44662</c:v>
                </c:pt>
                <c:pt idx="448">
                  <c:v>44663</c:v>
                </c:pt>
                <c:pt idx="449">
                  <c:v>44664</c:v>
                </c:pt>
                <c:pt idx="450">
                  <c:v>44665</c:v>
                </c:pt>
                <c:pt idx="451">
                  <c:v>44669</c:v>
                </c:pt>
                <c:pt idx="452">
                  <c:v>44670</c:v>
                </c:pt>
                <c:pt idx="453">
                  <c:v>44671</c:v>
                </c:pt>
                <c:pt idx="454">
                  <c:v>44672</c:v>
                </c:pt>
                <c:pt idx="455">
                  <c:v>44673</c:v>
                </c:pt>
                <c:pt idx="456">
                  <c:v>44676</c:v>
                </c:pt>
                <c:pt idx="457">
                  <c:v>44677</c:v>
                </c:pt>
                <c:pt idx="458">
                  <c:v>44678</c:v>
                </c:pt>
                <c:pt idx="459">
                  <c:v>44679</c:v>
                </c:pt>
                <c:pt idx="460">
                  <c:v>44680</c:v>
                </c:pt>
                <c:pt idx="461">
                  <c:v>44683</c:v>
                </c:pt>
                <c:pt idx="462">
                  <c:v>44684</c:v>
                </c:pt>
                <c:pt idx="463">
                  <c:v>44685</c:v>
                </c:pt>
                <c:pt idx="464">
                  <c:v>44686</c:v>
                </c:pt>
                <c:pt idx="465">
                  <c:v>44687</c:v>
                </c:pt>
                <c:pt idx="466">
                  <c:v>44690</c:v>
                </c:pt>
                <c:pt idx="467">
                  <c:v>44691</c:v>
                </c:pt>
                <c:pt idx="468">
                  <c:v>44692</c:v>
                </c:pt>
                <c:pt idx="469">
                  <c:v>44693</c:v>
                </c:pt>
                <c:pt idx="470">
                  <c:v>44694</c:v>
                </c:pt>
                <c:pt idx="471">
                  <c:v>44697</c:v>
                </c:pt>
                <c:pt idx="472">
                  <c:v>44698</c:v>
                </c:pt>
                <c:pt idx="473">
                  <c:v>44699</c:v>
                </c:pt>
                <c:pt idx="474">
                  <c:v>44700</c:v>
                </c:pt>
                <c:pt idx="475">
                  <c:v>44701</c:v>
                </c:pt>
                <c:pt idx="476">
                  <c:v>44704</c:v>
                </c:pt>
                <c:pt idx="477">
                  <c:v>44705</c:v>
                </c:pt>
                <c:pt idx="478">
                  <c:v>44706</c:v>
                </c:pt>
                <c:pt idx="479">
                  <c:v>44707</c:v>
                </c:pt>
                <c:pt idx="480">
                  <c:v>44708</c:v>
                </c:pt>
                <c:pt idx="481">
                  <c:v>44712</c:v>
                </c:pt>
                <c:pt idx="482">
                  <c:v>44713</c:v>
                </c:pt>
                <c:pt idx="483">
                  <c:v>44714</c:v>
                </c:pt>
                <c:pt idx="484">
                  <c:v>44715</c:v>
                </c:pt>
                <c:pt idx="485">
                  <c:v>44718</c:v>
                </c:pt>
                <c:pt idx="486">
                  <c:v>44719</c:v>
                </c:pt>
                <c:pt idx="487">
                  <c:v>44720</c:v>
                </c:pt>
                <c:pt idx="488">
                  <c:v>44721</c:v>
                </c:pt>
                <c:pt idx="489">
                  <c:v>44722</c:v>
                </c:pt>
                <c:pt idx="490">
                  <c:v>44725</c:v>
                </c:pt>
                <c:pt idx="491">
                  <c:v>44726</c:v>
                </c:pt>
                <c:pt idx="492">
                  <c:v>44727</c:v>
                </c:pt>
                <c:pt idx="493">
                  <c:v>44728</c:v>
                </c:pt>
                <c:pt idx="494">
                  <c:v>44729</c:v>
                </c:pt>
                <c:pt idx="495">
                  <c:v>44733</c:v>
                </c:pt>
                <c:pt idx="496">
                  <c:v>44734</c:v>
                </c:pt>
                <c:pt idx="497">
                  <c:v>44735</c:v>
                </c:pt>
                <c:pt idx="498">
                  <c:v>44736</c:v>
                </c:pt>
                <c:pt idx="499">
                  <c:v>44739</c:v>
                </c:pt>
                <c:pt idx="500">
                  <c:v>44740</c:v>
                </c:pt>
                <c:pt idx="501">
                  <c:v>44741</c:v>
                </c:pt>
                <c:pt idx="502">
                  <c:v>44742</c:v>
                </c:pt>
                <c:pt idx="503">
                  <c:v>44743</c:v>
                </c:pt>
                <c:pt idx="504">
                  <c:v>44747</c:v>
                </c:pt>
                <c:pt idx="505">
                  <c:v>44748</c:v>
                </c:pt>
                <c:pt idx="506">
                  <c:v>44749</c:v>
                </c:pt>
                <c:pt idx="507">
                  <c:v>44750</c:v>
                </c:pt>
                <c:pt idx="508">
                  <c:v>44753</c:v>
                </c:pt>
                <c:pt idx="509">
                  <c:v>44754</c:v>
                </c:pt>
                <c:pt idx="510">
                  <c:v>44755</c:v>
                </c:pt>
                <c:pt idx="511">
                  <c:v>44756</c:v>
                </c:pt>
                <c:pt idx="512">
                  <c:v>44757</c:v>
                </c:pt>
                <c:pt idx="513">
                  <c:v>44760</c:v>
                </c:pt>
                <c:pt idx="514">
                  <c:v>44761</c:v>
                </c:pt>
                <c:pt idx="515">
                  <c:v>44762</c:v>
                </c:pt>
                <c:pt idx="516">
                  <c:v>44763</c:v>
                </c:pt>
                <c:pt idx="517">
                  <c:v>44764</c:v>
                </c:pt>
                <c:pt idx="518">
                  <c:v>44767</c:v>
                </c:pt>
                <c:pt idx="519">
                  <c:v>44768</c:v>
                </c:pt>
                <c:pt idx="520">
                  <c:v>44769</c:v>
                </c:pt>
                <c:pt idx="521">
                  <c:v>44770</c:v>
                </c:pt>
                <c:pt idx="522">
                  <c:v>44771</c:v>
                </c:pt>
                <c:pt idx="523">
                  <c:v>44774</c:v>
                </c:pt>
                <c:pt idx="524">
                  <c:v>44775</c:v>
                </c:pt>
                <c:pt idx="525">
                  <c:v>44776</c:v>
                </c:pt>
                <c:pt idx="526">
                  <c:v>44777</c:v>
                </c:pt>
                <c:pt idx="527">
                  <c:v>44778</c:v>
                </c:pt>
                <c:pt idx="528">
                  <c:v>44781</c:v>
                </c:pt>
                <c:pt idx="529">
                  <c:v>44782</c:v>
                </c:pt>
                <c:pt idx="530">
                  <c:v>44783</c:v>
                </c:pt>
                <c:pt idx="531">
                  <c:v>44784</c:v>
                </c:pt>
                <c:pt idx="532">
                  <c:v>44785</c:v>
                </c:pt>
                <c:pt idx="533">
                  <c:v>44788</c:v>
                </c:pt>
                <c:pt idx="534">
                  <c:v>44789</c:v>
                </c:pt>
                <c:pt idx="535">
                  <c:v>44790</c:v>
                </c:pt>
                <c:pt idx="536">
                  <c:v>44791</c:v>
                </c:pt>
                <c:pt idx="537">
                  <c:v>44792</c:v>
                </c:pt>
                <c:pt idx="538">
                  <c:v>44795</c:v>
                </c:pt>
                <c:pt idx="539">
                  <c:v>44796</c:v>
                </c:pt>
                <c:pt idx="540">
                  <c:v>44797</c:v>
                </c:pt>
                <c:pt idx="541">
                  <c:v>44798</c:v>
                </c:pt>
                <c:pt idx="542">
                  <c:v>44799</c:v>
                </c:pt>
                <c:pt idx="543">
                  <c:v>44802</c:v>
                </c:pt>
                <c:pt idx="544">
                  <c:v>44803</c:v>
                </c:pt>
                <c:pt idx="545">
                  <c:v>44804</c:v>
                </c:pt>
                <c:pt idx="546">
                  <c:v>44805</c:v>
                </c:pt>
                <c:pt idx="547">
                  <c:v>44806</c:v>
                </c:pt>
                <c:pt idx="548">
                  <c:v>44810</c:v>
                </c:pt>
                <c:pt idx="549">
                  <c:v>44811</c:v>
                </c:pt>
                <c:pt idx="550">
                  <c:v>44812</c:v>
                </c:pt>
                <c:pt idx="551">
                  <c:v>44813</c:v>
                </c:pt>
                <c:pt idx="552">
                  <c:v>44816</c:v>
                </c:pt>
                <c:pt idx="553">
                  <c:v>44817</c:v>
                </c:pt>
                <c:pt idx="554">
                  <c:v>44818</c:v>
                </c:pt>
                <c:pt idx="555">
                  <c:v>44819</c:v>
                </c:pt>
                <c:pt idx="556">
                  <c:v>44820</c:v>
                </c:pt>
                <c:pt idx="557">
                  <c:v>44823</c:v>
                </c:pt>
                <c:pt idx="558">
                  <c:v>44824</c:v>
                </c:pt>
                <c:pt idx="559">
                  <c:v>44825</c:v>
                </c:pt>
                <c:pt idx="560">
                  <c:v>44826</c:v>
                </c:pt>
                <c:pt idx="561">
                  <c:v>44827</c:v>
                </c:pt>
                <c:pt idx="562">
                  <c:v>44830</c:v>
                </c:pt>
                <c:pt idx="563">
                  <c:v>44831</c:v>
                </c:pt>
                <c:pt idx="564">
                  <c:v>44832</c:v>
                </c:pt>
                <c:pt idx="565">
                  <c:v>44833</c:v>
                </c:pt>
                <c:pt idx="566">
                  <c:v>44834</c:v>
                </c:pt>
                <c:pt idx="567">
                  <c:v>44837</c:v>
                </c:pt>
                <c:pt idx="568">
                  <c:v>44838</c:v>
                </c:pt>
                <c:pt idx="569">
                  <c:v>44839</c:v>
                </c:pt>
                <c:pt idx="570">
                  <c:v>44840</c:v>
                </c:pt>
                <c:pt idx="571">
                  <c:v>44841</c:v>
                </c:pt>
                <c:pt idx="572">
                  <c:v>44844</c:v>
                </c:pt>
                <c:pt idx="573">
                  <c:v>44845</c:v>
                </c:pt>
                <c:pt idx="574">
                  <c:v>44846</c:v>
                </c:pt>
                <c:pt idx="575">
                  <c:v>44847</c:v>
                </c:pt>
                <c:pt idx="576">
                  <c:v>44848</c:v>
                </c:pt>
                <c:pt idx="577">
                  <c:v>44851</c:v>
                </c:pt>
                <c:pt idx="578">
                  <c:v>44852</c:v>
                </c:pt>
                <c:pt idx="579">
                  <c:v>44853</c:v>
                </c:pt>
                <c:pt idx="580">
                  <c:v>44854</c:v>
                </c:pt>
                <c:pt idx="581">
                  <c:v>44855</c:v>
                </c:pt>
                <c:pt idx="582">
                  <c:v>44858</c:v>
                </c:pt>
                <c:pt idx="583">
                  <c:v>44859</c:v>
                </c:pt>
                <c:pt idx="584">
                  <c:v>44860</c:v>
                </c:pt>
                <c:pt idx="585">
                  <c:v>44861</c:v>
                </c:pt>
                <c:pt idx="586">
                  <c:v>44862</c:v>
                </c:pt>
                <c:pt idx="587">
                  <c:v>44865</c:v>
                </c:pt>
                <c:pt idx="588">
                  <c:v>44866</c:v>
                </c:pt>
                <c:pt idx="589">
                  <c:v>44867</c:v>
                </c:pt>
                <c:pt idx="590">
                  <c:v>44868</c:v>
                </c:pt>
                <c:pt idx="591">
                  <c:v>44869</c:v>
                </c:pt>
                <c:pt idx="592">
                  <c:v>44872</c:v>
                </c:pt>
                <c:pt idx="593">
                  <c:v>44873</c:v>
                </c:pt>
                <c:pt idx="594">
                  <c:v>44874</c:v>
                </c:pt>
                <c:pt idx="595">
                  <c:v>44875</c:v>
                </c:pt>
                <c:pt idx="596">
                  <c:v>44876</c:v>
                </c:pt>
                <c:pt idx="597">
                  <c:v>44879</c:v>
                </c:pt>
                <c:pt idx="598">
                  <c:v>44880</c:v>
                </c:pt>
                <c:pt idx="599">
                  <c:v>44881</c:v>
                </c:pt>
                <c:pt idx="600">
                  <c:v>44882</c:v>
                </c:pt>
                <c:pt idx="601">
                  <c:v>44883</c:v>
                </c:pt>
                <c:pt idx="602">
                  <c:v>44886</c:v>
                </c:pt>
                <c:pt idx="603">
                  <c:v>44887</c:v>
                </c:pt>
                <c:pt idx="604">
                  <c:v>44888</c:v>
                </c:pt>
                <c:pt idx="605">
                  <c:v>44890</c:v>
                </c:pt>
                <c:pt idx="606">
                  <c:v>44893</c:v>
                </c:pt>
                <c:pt idx="607">
                  <c:v>44894</c:v>
                </c:pt>
                <c:pt idx="608">
                  <c:v>44895</c:v>
                </c:pt>
                <c:pt idx="609">
                  <c:v>44896</c:v>
                </c:pt>
                <c:pt idx="610">
                  <c:v>44897</c:v>
                </c:pt>
                <c:pt idx="611">
                  <c:v>44900</c:v>
                </c:pt>
                <c:pt idx="612">
                  <c:v>44901</c:v>
                </c:pt>
                <c:pt idx="613">
                  <c:v>44902</c:v>
                </c:pt>
                <c:pt idx="614">
                  <c:v>44903</c:v>
                </c:pt>
                <c:pt idx="615">
                  <c:v>44904</c:v>
                </c:pt>
                <c:pt idx="616">
                  <c:v>44907</c:v>
                </c:pt>
                <c:pt idx="617">
                  <c:v>44908</c:v>
                </c:pt>
                <c:pt idx="618">
                  <c:v>44909</c:v>
                </c:pt>
                <c:pt idx="619">
                  <c:v>44910</c:v>
                </c:pt>
                <c:pt idx="620">
                  <c:v>44911</c:v>
                </c:pt>
                <c:pt idx="621">
                  <c:v>44914</c:v>
                </c:pt>
                <c:pt idx="622">
                  <c:v>44915</c:v>
                </c:pt>
                <c:pt idx="623">
                  <c:v>44916</c:v>
                </c:pt>
                <c:pt idx="624">
                  <c:v>44917</c:v>
                </c:pt>
                <c:pt idx="625">
                  <c:v>44918</c:v>
                </c:pt>
                <c:pt idx="626">
                  <c:v>44922</c:v>
                </c:pt>
                <c:pt idx="627">
                  <c:v>44923</c:v>
                </c:pt>
                <c:pt idx="628">
                  <c:v>44924</c:v>
                </c:pt>
                <c:pt idx="629">
                  <c:v>44925</c:v>
                </c:pt>
                <c:pt idx="630">
                  <c:v>44929</c:v>
                </c:pt>
                <c:pt idx="631">
                  <c:v>44930</c:v>
                </c:pt>
                <c:pt idx="632">
                  <c:v>44931</c:v>
                </c:pt>
                <c:pt idx="633">
                  <c:v>44932</c:v>
                </c:pt>
                <c:pt idx="634">
                  <c:v>44935</c:v>
                </c:pt>
                <c:pt idx="635">
                  <c:v>44936</c:v>
                </c:pt>
                <c:pt idx="636">
                  <c:v>44937</c:v>
                </c:pt>
                <c:pt idx="637">
                  <c:v>44938</c:v>
                </c:pt>
                <c:pt idx="638">
                  <c:v>44939</c:v>
                </c:pt>
                <c:pt idx="639">
                  <c:v>44943</c:v>
                </c:pt>
                <c:pt idx="640">
                  <c:v>44944</c:v>
                </c:pt>
                <c:pt idx="641">
                  <c:v>44945</c:v>
                </c:pt>
                <c:pt idx="642">
                  <c:v>44946</c:v>
                </c:pt>
                <c:pt idx="643">
                  <c:v>44949</c:v>
                </c:pt>
                <c:pt idx="644">
                  <c:v>44950</c:v>
                </c:pt>
                <c:pt idx="645">
                  <c:v>44951</c:v>
                </c:pt>
                <c:pt idx="646">
                  <c:v>44952</c:v>
                </c:pt>
                <c:pt idx="647">
                  <c:v>44953</c:v>
                </c:pt>
                <c:pt idx="648">
                  <c:v>44956</c:v>
                </c:pt>
                <c:pt idx="649">
                  <c:v>44957</c:v>
                </c:pt>
                <c:pt idx="650">
                  <c:v>44958</c:v>
                </c:pt>
                <c:pt idx="651">
                  <c:v>44959</c:v>
                </c:pt>
                <c:pt idx="652">
                  <c:v>44960</c:v>
                </c:pt>
                <c:pt idx="653">
                  <c:v>44963</c:v>
                </c:pt>
                <c:pt idx="654">
                  <c:v>44964</c:v>
                </c:pt>
                <c:pt idx="655">
                  <c:v>44965</c:v>
                </c:pt>
                <c:pt idx="656">
                  <c:v>44966</c:v>
                </c:pt>
                <c:pt idx="657">
                  <c:v>44967</c:v>
                </c:pt>
                <c:pt idx="658">
                  <c:v>44970</c:v>
                </c:pt>
                <c:pt idx="659">
                  <c:v>44971</c:v>
                </c:pt>
                <c:pt idx="660">
                  <c:v>44972</c:v>
                </c:pt>
                <c:pt idx="661">
                  <c:v>44973</c:v>
                </c:pt>
                <c:pt idx="662">
                  <c:v>44974</c:v>
                </c:pt>
                <c:pt idx="663">
                  <c:v>44978</c:v>
                </c:pt>
                <c:pt idx="664">
                  <c:v>44979</c:v>
                </c:pt>
                <c:pt idx="665">
                  <c:v>44980</c:v>
                </c:pt>
                <c:pt idx="666">
                  <c:v>44981</c:v>
                </c:pt>
                <c:pt idx="667">
                  <c:v>44984</c:v>
                </c:pt>
                <c:pt idx="668">
                  <c:v>44985</c:v>
                </c:pt>
                <c:pt idx="669">
                  <c:v>44986</c:v>
                </c:pt>
                <c:pt idx="670">
                  <c:v>44987</c:v>
                </c:pt>
                <c:pt idx="671">
                  <c:v>44988</c:v>
                </c:pt>
                <c:pt idx="672">
                  <c:v>44991</c:v>
                </c:pt>
                <c:pt idx="673">
                  <c:v>44992</c:v>
                </c:pt>
                <c:pt idx="674">
                  <c:v>44993</c:v>
                </c:pt>
                <c:pt idx="675">
                  <c:v>44994</c:v>
                </c:pt>
                <c:pt idx="676">
                  <c:v>44995</c:v>
                </c:pt>
                <c:pt idx="677">
                  <c:v>44998</c:v>
                </c:pt>
                <c:pt idx="678">
                  <c:v>44999</c:v>
                </c:pt>
                <c:pt idx="679">
                  <c:v>45000</c:v>
                </c:pt>
                <c:pt idx="680">
                  <c:v>45001</c:v>
                </c:pt>
                <c:pt idx="681">
                  <c:v>45002</c:v>
                </c:pt>
                <c:pt idx="682">
                  <c:v>45005</c:v>
                </c:pt>
                <c:pt idx="683">
                  <c:v>45006</c:v>
                </c:pt>
                <c:pt idx="684">
                  <c:v>45007</c:v>
                </c:pt>
                <c:pt idx="685">
                  <c:v>45008</c:v>
                </c:pt>
                <c:pt idx="686">
                  <c:v>45009</c:v>
                </c:pt>
                <c:pt idx="687">
                  <c:v>45012</c:v>
                </c:pt>
                <c:pt idx="688">
                  <c:v>45013</c:v>
                </c:pt>
                <c:pt idx="689">
                  <c:v>45014</c:v>
                </c:pt>
                <c:pt idx="690">
                  <c:v>45015</c:v>
                </c:pt>
                <c:pt idx="691">
                  <c:v>45016</c:v>
                </c:pt>
                <c:pt idx="692">
                  <c:v>45019</c:v>
                </c:pt>
                <c:pt idx="693">
                  <c:v>45020</c:v>
                </c:pt>
                <c:pt idx="694">
                  <c:v>45021</c:v>
                </c:pt>
                <c:pt idx="695">
                  <c:v>45022</c:v>
                </c:pt>
                <c:pt idx="696">
                  <c:v>45026</c:v>
                </c:pt>
                <c:pt idx="697">
                  <c:v>45027</c:v>
                </c:pt>
                <c:pt idx="698">
                  <c:v>45028</c:v>
                </c:pt>
                <c:pt idx="699">
                  <c:v>45029</c:v>
                </c:pt>
                <c:pt idx="700">
                  <c:v>45030</c:v>
                </c:pt>
                <c:pt idx="701">
                  <c:v>45033</c:v>
                </c:pt>
                <c:pt idx="702">
                  <c:v>45034</c:v>
                </c:pt>
                <c:pt idx="703">
                  <c:v>45035</c:v>
                </c:pt>
                <c:pt idx="704">
                  <c:v>45036</c:v>
                </c:pt>
                <c:pt idx="705">
                  <c:v>45037</c:v>
                </c:pt>
                <c:pt idx="706">
                  <c:v>45040</c:v>
                </c:pt>
                <c:pt idx="707">
                  <c:v>45041</c:v>
                </c:pt>
                <c:pt idx="708">
                  <c:v>45042</c:v>
                </c:pt>
                <c:pt idx="709">
                  <c:v>45043</c:v>
                </c:pt>
                <c:pt idx="710">
                  <c:v>45044</c:v>
                </c:pt>
                <c:pt idx="711">
                  <c:v>45047</c:v>
                </c:pt>
                <c:pt idx="712">
                  <c:v>45048</c:v>
                </c:pt>
                <c:pt idx="713">
                  <c:v>45049</c:v>
                </c:pt>
                <c:pt idx="714">
                  <c:v>45050</c:v>
                </c:pt>
                <c:pt idx="715">
                  <c:v>45051</c:v>
                </c:pt>
                <c:pt idx="716">
                  <c:v>45054</c:v>
                </c:pt>
                <c:pt idx="717">
                  <c:v>45055</c:v>
                </c:pt>
                <c:pt idx="718">
                  <c:v>45056</c:v>
                </c:pt>
                <c:pt idx="719">
                  <c:v>45057</c:v>
                </c:pt>
                <c:pt idx="720">
                  <c:v>45058</c:v>
                </c:pt>
                <c:pt idx="721">
                  <c:v>45061</c:v>
                </c:pt>
                <c:pt idx="722">
                  <c:v>45062</c:v>
                </c:pt>
                <c:pt idx="723">
                  <c:v>45063</c:v>
                </c:pt>
                <c:pt idx="724">
                  <c:v>45064</c:v>
                </c:pt>
                <c:pt idx="725">
                  <c:v>45065</c:v>
                </c:pt>
                <c:pt idx="726">
                  <c:v>45068</c:v>
                </c:pt>
                <c:pt idx="727">
                  <c:v>45069</c:v>
                </c:pt>
                <c:pt idx="728">
                  <c:v>45070</c:v>
                </c:pt>
                <c:pt idx="729">
                  <c:v>45071</c:v>
                </c:pt>
                <c:pt idx="730">
                  <c:v>45072</c:v>
                </c:pt>
                <c:pt idx="731">
                  <c:v>45076</c:v>
                </c:pt>
                <c:pt idx="732">
                  <c:v>45077</c:v>
                </c:pt>
                <c:pt idx="733">
                  <c:v>45078</c:v>
                </c:pt>
                <c:pt idx="734">
                  <c:v>45079</c:v>
                </c:pt>
                <c:pt idx="735">
                  <c:v>45082</c:v>
                </c:pt>
                <c:pt idx="736">
                  <c:v>45083</c:v>
                </c:pt>
                <c:pt idx="737">
                  <c:v>45084</c:v>
                </c:pt>
                <c:pt idx="738">
                  <c:v>45085</c:v>
                </c:pt>
                <c:pt idx="739">
                  <c:v>45086</c:v>
                </c:pt>
                <c:pt idx="740">
                  <c:v>45089</c:v>
                </c:pt>
                <c:pt idx="741">
                  <c:v>45090</c:v>
                </c:pt>
                <c:pt idx="742">
                  <c:v>45091</c:v>
                </c:pt>
                <c:pt idx="743">
                  <c:v>45092</c:v>
                </c:pt>
                <c:pt idx="744">
                  <c:v>45093</c:v>
                </c:pt>
                <c:pt idx="745">
                  <c:v>45097</c:v>
                </c:pt>
                <c:pt idx="746">
                  <c:v>45098</c:v>
                </c:pt>
                <c:pt idx="747">
                  <c:v>45099</c:v>
                </c:pt>
                <c:pt idx="748">
                  <c:v>45100</c:v>
                </c:pt>
                <c:pt idx="749">
                  <c:v>45103</c:v>
                </c:pt>
                <c:pt idx="750">
                  <c:v>45104</c:v>
                </c:pt>
                <c:pt idx="751">
                  <c:v>45105</c:v>
                </c:pt>
                <c:pt idx="752">
                  <c:v>45106</c:v>
                </c:pt>
                <c:pt idx="753">
                  <c:v>45107</c:v>
                </c:pt>
                <c:pt idx="754">
                  <c:v>45110</c:v>
                </c:pt>
                <c:pt idx="755">
                  <c:v>45112</c:v>
                </c:pt>
                <c:pt idx="756">
                  <c:v>45113</c:v>
                </c:pt>
                <c:pt idx="757">
                  <c:v>45114</c:v>
                </c:pt>
                <c:pt idx="758">
                  <c:v>45117</c:v>
                </c:pt>
                <c:pt idx="759">
                  <c:v>45118</c:v>
                </c:pt>
                <c:pt idx="760">
                  <c:v>45119</c:v>
                </c:pt>
                <c:pt idx="761">
                  <c:v>45120</c:v>
                </c:pt>
                <c:pt idx="762">
                  <c:v>45121</c:v>
                </c:pt>
                <c:pt idx="763">
                  <c:v>45124</c:v>
                </c:pt>
                <c:pt idx="764">
                  <c:v>45125</c:v>
                </c:pt>
                <c:pt idx="765">
                  <c:v>45126</c:v>
                </c:pt>
                <c:pt idx="766">
                  <c:v>45127</c:v>
                </c:pt>
                <c:pt idx="767">
                  <c:v>45128</c:v>
                </c:pt>
                <c:pt idx="768">
                  <c:v>45131</c:v>
                </c:pt>
                <c:pt idx="769">
                  <c:v>45132</c:v>
                </c:pt>
                <c:pt idx="770">
                  <c:v>45133</c:v>
                </c:pt>
                <c:pt idx="771">
                  <c:v>45134</c:v>
                </c:pt>
                <c:pt idx="772">
                  <c:v>45135</c:v>
                </c:pt>
                <c:pt idx="773">
                  <c:v>45138</c:v>
                </c:pt>
                <c:pt idx="774">
                  <c:v>45139</c:v>
                </c:pt>
                <c:pt idx="775">
                  <c:v>45140</c:v>
                </c:pt>
                <c:pt idx="776">
                  <c:v>45141</c:v>
                </c:pt>
                <c:pt idx="777">
                  <c:v>45142</c:v>
                </c:pt>
                <c:pt idx="778">
                  <c:v>45145</c:v>
                </c:pt>
                <c:pt idx="779">
                  <c:v>45146</c:v>
                </c:pt>
                <c:pt idx="780">
                  <c:v>45147</c:v>
                </c:pt>
                <c:pt idx="781">
                  <c:v>45148</c:v>
                </c:pt>
                <c:pt idx="782">
                  <c:v>45149</c:v>
                </c:pt>
                <c:pt idx="783">
                  <c:v>45152</c:v>
                </c:pt>
                <c:pt idx="784">
                  <c:v>45153</c:v>
                </c:pt>
                <c:pt idx="785">
                  <c:v>45154</c:v>
                </c:pt>
                <c:pt idx="786">
                  <c:v>45155</c:v>
                </c:pt>
                <c:pt idx="787">
                  <c:v>45156</c:v>
                </c:pt>
                <c:pt idx="788">
                  <c:v>45159</c:v>
                </c:pt>
                <c:pt idx="789">
                  <c:v>45160</c:v>
                </c:pt>
                <c:pt idx="790">
                  <c:v>45161</c:v>
                </c:pt>
                <c:pt idx="791">
                  <c:v>45162</c:v>
                </c:pt>
                <c:pt idx="792">
                  <c:v>45163</c:v>
                </c:pt>
                <c:pt idx="793">
                  <c:v>45166</c:v>
                </c:pt>
                <c:pt idx="794">
                  <c:v>45167</c:v>
                </c:pt>
                <c:pt idx="795">
                  <c:v>45168</c:v>
                </c:pt>
                <c:pt idx="796">
                  <c:v>45169</c:v>
                </c:pt>
                <c:pt idx="797">
                  <c:v>45170</c:v>
                </c:pt>
                <c:pt idx="798">
                  <c:v>45174</c:v>
                </c:pt>
                <c:pt idx="799">
                  <c:v>45175</c:v>
                </c:pt>
                <c:pt idx="800">
                  <c:v>45176</c:v>
                </c:pt>
                <c:pt idx="801">
                  <c:v>45177</c:v>
                </c:pt>
                <c:pt idx="802">
                  <c:v>45180</c:v>
                </c:pt>
                <c:pt idx="803">
                  <c:v>45181</c:v>
                </c:pt>
                <c:pt idx="804">
                  <c:v>45182</c:v>
                </c:pt>
                <c:pt idx="805">
                  <c:v>45183</c:v>
                </c:pt>
                <c:pt idx="806">
                  <c:v>45184</c:v>
                </c:pt>
                <c:pt idx="807">
                  <c:v>45187</c:v>
                </c:pt>
                <c:pt idx="808">
                  <c:v>45188</c:v>
                </c:pt>
                <c:pt idx="809">
                  <c:v>45189</c:v>
                </c:pt>
                <c:pt idx="810">
                  <c:v>45190</c:v>
                </c:pt>
                <c:pt idx="811">
                  <c:v>45191</c:v>
                </c:pt>
                <c:pt idx="812">
                  <c:v>45194</c:v>
                </c:pt>
                <c:pt idx="813">
                  <c:v>45195</c:v>
                </c:pt>
                <c:pt idx="814">
                  <c:v>45196</c:v>
                </c:pt>
                <c:pt idx="815">
                  <c:v>45197</c:v>
                </c:pt>
                <c:pt idx="816">
                  <c:v>45198</c:v>
                </c:pt>
                <c:pt idx="817">
                  <c:v>45201</c:v>
                </c:pt>
                <c:pt idx="818">
                  <c:v>45202</c:v>
                </c:pt>
                <c:pt idx="819">
                  <c:v>45203</c:v>
                </c:pt>
                <c:pt idx="820">
                  <c:v>45204</c:v>
                </c:pt>
                <c:pt idx="821">
                  <c:v>45205</c:v>
                </c:pt>
                <c:pt idx="822">
                  <c:v>45208</c:v>
                </c:pt>
                <c:pt idx="823">
                  <c:v>45209</c:v>
                </c:pt>
                <c:pt idx="824">
                  <c:v>45210</c:v>
                </c:pt>
                <c:pt idx="825">
                  <c:v>45211</c:v>
                </c:pt>
                <c:pt idx="826">
                  <c:v>45212</c:v>
                </c:pt>
                <c:pt idx="827">
                  <c:v>45215</c:v>
                </c:pt>
                <c:pt idx="828">
                  <c:v>45216</c:v>
                </c:pt>
                <c:pt idx="829">
                  <c:v>45217</c:v>
                </c:pt>
                <c:pt idx="830">
                  <c:v>45218</c:v>
                </c:pt>
                <c:pt idx="831">
                  <c:v>45219</c:v>
                </c:pt>
                <c:pt idx="832">
                  <c:v>45222</c:v>
                </c:pt>
                <c:pt idx="833">
                  <c:v>45223</c:v>
                </c:pt>
                <c:pt idx="834">
                  <c:v>45224</c:v>
                </c:pt>
                <c:pt idx="835">
                  <c:v>45225</c:v>
                </c:pt>
                <c:pt idx="836">
                  <c:v>45226</c:v>
                </c:pt>
                <c:pt idx="837">
                  <c:v>45229</c:v>
                </c:pt>
                <c:pt idx="838">
                  <c:v>45230</c:v>
                </c:pt>
                <c:pt idx="839">
                  <c:v>45231</c:v>
                </c:pt>
                <c:pt idx="840">
                  <c:v>45232</c:v>
                </c:pt>
                <c:pt idx="841">
                  <c:v>45233</c:v>
                </c:pt>
                <c:pt idx="842">
                  <c:v>45236</c:v>
                </c:pt>
                <c:pt idx="843">
                  <c:v>45237</c:v>
                </c:pt>
                <c:pt idx="844">
                  <c:v>45238</c:v>
                </c:pt>
                <c:pt idx="845">
                  <c:v>45239</c:v>
                </c:pt>
                <c:pt idx="846">
                  <c:v>45240</c:v>
                </c:pt>
                <c:pt idx="847">
                  <c:v>45243</c:v>
                </c:pt>
                <c:pt idx="848">
                  <c:v>45244</c:v>
                </c:pt>
                <c:pt idx="849">
                  <c:v>45245</c:v>
                </c:pt>
                <c:pt idx="850">
                  <c:v>45246</c:v>
                </c:pt>
                <c:pt idx="851">
                  <c:v>45247</c:v>
                </c:pt>
                <c:pt idx="852">
                  <c:v>45250</c:v>
                </c:pt>
                <c:pt idx="853">
                  <c:v>45251</c:v>
                </c:pt>
                <c:pt idx="854">
                  <c:v>45252</c:v>
                </c:pt>
                <c:pt idx="855">
                  <c:v>45254</c:v>
                </c:pt>
                <c:pt idx="856">
                  <c:v>45257</c:v>
                </c:pt>
                <c:pt idx="857">
                  <c:v>45258</c:v>
                </c:pt>
                <c:pt idx="858">
                  <c:v>45259</c:v>
                </c:pt>
                <c:pt idx="859">
                  <c:v>45260</c:v>
                </c:pt>
                <c:pt idx="860">
                  <c:v>45261</c:v>
                </c:pt>
                <c:pt idx="861">
                  <c:v>45264</c:v>
                </c:pt>
                <c:pt idx="862">
                  <c:v>45265</c:v>
                </c:pt>
                <c:pt idx="863">
                  <c:v>45266</c:v>
                </c:pt>
                <c:pt idx="864">
                  <c:v>45267</c:v>
                </c:pt>
                <c:pt idx="865">
                  <c:v>45268</c:v>
                </c:pt>
                <c:pt idx="866">
                  <c:v>45271</c:v>
                </c:pt>
                <c:pt idx="867">
                  <c:v>45272</c:v>
                </c:pt>
                <c:pt idx="868">
                  <c:v>45273</c:v>
                </c:pt>
                <c:pt idx="869">
                  <c:v>45274</c:v>
                </c:pt>
                <c:pt idx="870">
                  <c:v>45275</c:v>
                </c:pt>
                <c:pt idx="871">
                  <c:v>45278</c:v>
                </c:pt>
                <c:pt idx="872">
                  <c:v>45279</c:v>
                </c:pt>
                <c:pt idx="873">
                  <c:v>45280</c:v>
                </c:pt>
                <c:pt idx="874">
                  <c:v>45281</c:v>
                </c:pt>
                <c:pt idx="875">
                  <c:v>45282</c:v>
                </c:pt>
                <c:pt idx="876">
                  <c:v>45286</c:v>
                </c:pt>
                <c:pt idx="877">
                  <c:v>45287</c:v>
                </c:pt>
                <c:pt idx="878">
                  <c:v>45288</c:v>
                </c:pt>
                <c:pt idx="879">
                  <c:v>45289</c:v>
                </c:pt>
                <c:pt idx="880">
                  <c:v>45293</c:v>
                </c:pt>
                <c:pt idx="881">
                  <c:v>45294</c:v>
                </c:pt>
                <c:pt idx="882">
                  <c:v>45295</c:v>
                </c:pt>
                <c:pt idx="883">
                  <c:v>45296</c:v>
                </c:pt>
                <c:pt idx="884">
                  <c:v>45299</c:v>
                </c:pt>
                <c:pt idx="885">
                  <c:v>45300</c:v>
                </c:pt>
                <c:pt idx="886">
                  <c:v>45301</c:v>
                </c:pt>
                <c:pt idx="887">
                  <c:v>45302</c:v>
                </c:pt>
                <c:pt idx="888">
                  <c:v>45303</c:v>
                </c:pt>
                <c:pt idx="889">
                  <c:v>45307</c:v>
                </c:pt>
                <c:pt idx="890">
                  <c:v>45308</c:v>
                </c:pt>
                <c:pt idx="891">
                  <c:v>45309</c:v>
                </c:pt>
                <c:pt idx="892">
                  <c:v>45310</c:v>
                </c:pt>
                <c:pt idx="893">
                  <c:v>45313</c:v>
                </c:pt>
                <c:pt idx="894">
                  <c:v>45314</c:v>
                </c:pt>
                <c:pt idx="895">
                  <c:v>45315</c:v>
                </c:pt>
                <c:pt idx="896">
                  <c:v>45316</c:v>
                </c:pt>
                <c:pt idx="897">
                  <c:v>45317</c:v>
                </c:pt>
                <c:pt idx="898">
                  <c:v>45320</c:v>
                </c:pt>
                <c:pt idx="899">
                  <c:v>45321</c:v>
                </c:pt>
                <c:pt idx="900">
                  <c:v>45322</c:v>
                </c:pt>
                <c:pt idx="901">
                  <c:v>45323</c:v>
                </c:pt>
                <c:pt idx="902">
                  <c:v>45324</c:v>
                </c:pt>
                <c:pt idx="903">
                  <c:v>45327</c:v>
                </c:pt>
                <c:pt idx="904">
                  <c:v>45328</c:v>
                </c:pt>
                <c:pt idx="905">
                  <c:v>45329</c:v>
                </c:pt>
                <c:pt idx="906">
                  <c:v>45330</c:v>
                </c:pt>
                <c:pt idx="907">
                  <c:v>45331</c:v>
                </c:pt>
                <c:pt idx="908">
                  <c:v>45334</c:v>
                </c:pt>
                <c:pt idx="909">
                  <c:v>45335</c:v>
                </c:pt>
                <c:pt idx="910">
                  <c:v>45336</c:v>
                </c:pt>
                <c:pt idx="911">
                  <c:v>45337</c:v>
                </c:pt>
                <c:pt idx="912">
                  <c:v>45338</c:v>
                </c:pt>
                <c:pt idx="913">
                  <c:v>45342</c:v>
                </c:pt>
                <c:pt idx="914">
                  <c:v>45343</c:v>
                </c:pt>
                <c:pt idx="915">
                  <c:v>45344</c:v>
                </c:pt>
                <c:pt idx="916">
                  <c:v>45345</c:v>
                </c:pt>
                <c:pt idx="917">
                  <c:v>45348</c:v>
                </c:pt>
                <c:pt idx="918">
                  <c:v>45349</c:v>
                </c:pt>
                <c:pt idx="919">
                  <c:v>45350</c:v>
                </c:pt>
                <c:pt idx="920">
                  <c:v>45351</c:v>
                </c:pt>
                <c:pt idx="921">
                  <c:v>45352</c:v>
                </c:pt>
                <c:pt idx="922">
                  <c:v>45355</c:v>
                </c:pt>
                <c:pt idx="923">
                  <c:v>45356</c:v>
                </c:pt>
                <c:pt idx="924">
                  <c:v>45357</c:v>
                </c:pt>
                <c:pt idx="925">
                  <c:v>45358</c:v>
                </c:pt>
                <c:pt idx="926">
                  <c:v>45359</c:v>
                </c:pt>
                <c:pt idx="927">
                  <c:v>45362</c:v>
                </c:pt>
                <c:pt idx="928">
                  <c:v>45363</c:v>
                </c:pt>
                <c:pt idx="929">
                  <c:v>45364</c:v>
                </c:pt>
                <c:pt idx="930">
                  <c:v>45365</c:v>
                </c:pt>
                <c:pt idx="931">
                  <c:v>45366</c:v>
                </c:pt>
                <c:pt idx="932">
                  <c:v>45369</c:v>
                </c:pt>
                <c:pt idx="933">
                  <c:v>45370</c:v>
                </c:pt>
                <c:pt idx="934">
                  <c:v>45371</c:v>
                </c:pt>
                <c:pt idx="935">
                  <c:v>45372</c:v>
                </c:pt>
                <c:pt idx="936">
                  <c:v>45373</c:v>
                </c:pt>
                <c:pt idx="937">
                  <c:v>45376</c:v>
                </c:pt>
                <c:pt idx="938">
                  <c:v>45377</c:v>
                </c:pt>
                <c:pt idx="939">
                  <c:v>45378</c:v>
                </c:pt>
                <c:pt idx="940">
                  <c:v>45379</c:v>
                </c:pt>
                <c:pt idx="941">
                  <c:v>45383</c:v>
                </c:pt>
                <c:pt idx="942">
                  <c:v>45384</c:v>
                </c:pt>
                <c:pt idx="943">
                  <c:v>45385</c:v>
                </c:pt>
                <c:pt idx="944">
                  <c:v>45386</c:v>
                </c:pt>
                <c:pt idx="945">
                  <c:v>45387</c:v>
                </c:pt>
                <c:pt idx="946">
                  <c:v>45390</c:v>
                </c:pt>
                <c:pt idx="947">
                  <c:v>45391</c:v>
                </c:pt>
                <c:pt idx="948">
                  <c:v>45392</c:v>
                </c:pt>
                <c:pt idx="949">
                  <c:v>45393</c:v>
                </c:pt>
                <c:pt idx="950">
                  <c:v>45394</c:v>
                </c:pt>
                <c:pt idx="951">
                  <c:v>45397</c:v>
                </c:pt>
                <c:pt idx="952">
                  <c:v>45398</c:v>
                </c:pt>
                <c:pt idx="953">
                  <c:v>45399</c:v>
                </c:pt>
                <c:pt idx="954">
                  <c:v>45400</c:v>
                </c:pt>
                <c:pt idx="955">
                  <c:v>45401</c:v>
                </c:pt>
                <c:pt idx="956">
                  <c:v>45404</c:v>
                </c:pt>
                <c:pt idx="957">
                  <c:v>45405</c:v>
                </c:pt>
                <c:pt idx="958">
                  <c:v>45406</c:v>
                </c:pt>
                <c:pt idx="959">
                  <c:v>45407</c:v>
                </c:pt>
                <c:pt idx="960">
                  <c:v>45408</c:v>
                </c:pt>
                <c:pt idx="961">
                  <c:v>45411</c:v>
                </c:pt>
                <c:pt idx="962">
                  <c:v>45412</c:v>
                </c:pt>
                <c:pt idx="963">
                  <c:v>45413</c:v>
                </c:pt>
                <c:pt idx="964">
                  <c:v>45414</c:v>
                </c:pt>
                <c:pt idx="965">
                  <c:v>45415</c:v>
                </c:pt>
                <c:pt idx="966">
                  <c:v>45418</c:v>
                </c:pt>
                <c:pt idx="967">
                  <c:v>45419</c:v>
                </c:pt>
                <c:pt idx="968">
                  <c:v>45420</c:v>
                </c:pt>
                <c:pt idx="969">
                  <c:v>45421</c:v>
                </c:pt>
                <c:pt idx="970">
                  <c:v>45422</c:v>
                </c:pt>
                <c:pt idx="971">
                  <c:v>45425</c:v>
                </c:pt>
                <c:pt idx="972">
                  <c:v>45426</c:v>
                </c:pt>
                <c:pt idx="973">
                  <c:v>45427</c:v>
                </c:pt>
                <c:pt idx="974">
                  <c:v>45428</c:v>
                </c:pt>
                <c:pt idx="975">
                  <c:v>45429</c:v>
                </c:pt>
                <c:pt idx="976">
                  <c:v>45432</c:v>
                </c:pt>
                <c:pt idx="977">
                  <c:v>45433</c:v>
                </c:pt>
                <c:pt idx="978">
                  <c:v>45434</c:v>
                </c:pt>
                <c:pt idx="979">
                  <c:v>45435</c:v>
                </c:pt>
                <c:pt idx="980">
                  <c:v>45436</c:v>
                </c:pt>
                <c:pt idx="981">
                  <c:v>45440</c:v>
                </c:pt>
                <c:pt idx="982">
                  <c:v>45441</c:v>
                </c:pt>
                <c:pt idx="983">
                  <c:v>45442</c:v>
                </c:pt>
                <c:pt idx="984">
                  <c:v>45443</c:v>
                </c:pt>
                <c:pt idx="985">
                  <c:v>45446</c:v>
                </c:pt>
                <c:pt idx="986">
                  <c:v>45447</c:v>
                </c:pt>
                <c:pt idx="987">
                  <c:v>45448</c:v>
                </c:pt>
                <c:pt idx="988">
                  <c:v>45449</c:v>
                </c:pt>
                <c:pt idx="989">
                  <c:v>45450</c:v>
                </c:pt>
                <c:pt idx="990">
                  <c:v>45453</c:v>
                </c:pt>
                <c:pt idx="991">
                  <c:v>45454</c:v>
                </c:pt>
                <c:pt idx="992">
                  <c:v>45455</c:v>
                </c:pt>
                <c:pt idx="993">
                  <c:v>45456</c:v>
                </c:pt>
                <c:pt idx="994">
                  <c:v>45457</c:v>
                </c:pt>
                <c:pt idx="995">
                  <c:v>45460</c:v>
                </c:pt>
                <c:pt idx="996">
                  <c:v>45461</c:v>
                </c:pt>
                <c:pt idx="997">
                  <c:v>45463</c:v>
                </c:pt>
                <c:pt idx="998">
                  <c:v>45464</c:v>
                </c:pt>
                <c:pt idx="999">
                  <c:v>45467</c:v>
                </c:pt>
                <c:pt idx="1000">
                  <c:v>45468</c:v>
                </c:pt>
                <c:pt idx="1001">
                  <c:v>45469</c:v>
                </c:pt>
                <c:pt idx="1002">
                  <c:v>45470</c:v>
                </c:pt>
                <c:pt idx="1003">
                  <c:v>45471</c:v>
                </c:pt>
                <c:pt idx="1004">
                  <c:v>45474</c:v>
                </c:pt>
                <c:pt idx="1005">
                  <c:v>45475</c:v>
                </c:pt>
                <c:pt idx="1006">
                  <c:v>45476</c:v>
                </c:pt>
                <c:pt idx="1007">
                  <c:v>45478</c:v>
                </c:pt>
                <c:pt idx="1008">
                  <c:v>45481</c:v>
                </c:pt>
                <c:pt idx="1009">
                  <c:v>45482</c:v>
                </c:pt>
                <c:pt idx="1010">
                  <c:v>45483</c:v>
                </c:pt>
                <c:pt idx="1011">
                  <c:v>45484</c:v>
                </c:pt>
                <c:pt idx="1012">
                  <c:v>45485</c:v>
                </c:pt>
                <c:pt idx="1013">
                  <c:v>45488</c:v>
                </c:pt>
                <c:pt idx="1014">
                  <c:v>45489</c:v>
                </c:pt>
                <c:pt idx="1015">
                  <c:v>45490</c:v>
                </c:pt>
                <c:pt idx="1016">
                  <c:v>45491</c:v>
                </c:pt>
                <c:pt idx="1017">
                  <c:v>45492</c:v>
                </c:pt>
                <c:pt idx="1018">
                  <c:v>45495</c:v>
                </c:pt>
                <c:pt idx="1019">
                  <c:v>45496</c:v>
                </c:pt>
                <c:pt idx="1020">
                  <c:v>45497</c:v>
                </c:pt>
                <c:pt idx="1021">
                  <c:v>45498</c:v>
                </c:pt>
                <c:pt idx="1022">
                  <c:v>45499</c:v>
                </c:pt>
                <c:pt idx="1023">
                  <c:v>45502</c:v>
                </c:pt>
                <c:pt idx="1024">
                  <c:v>45503</c:v>
                </c:pt>
                <c:pt idx="1025">
                  <c:v>45504</c:v>
                </c:pt>
                <c:pt idx="1026">
                  <c:v>45505</c:v>
                </c:pt>
                <c:pt idx="1027">
                  <c:v>45506</c:v>
                </c:pt>
                <c:pt idx="1028">
                  <c:v>45509</c:v>
                </c:pt>
                <c:pt idx="1029">
                  <c:v>45510</c:v>
                </c:pt>
                <c:pt idx="1030">
                  <c:v>45511</c:v>
                </c:pt>
                <c:pt idx="1031">
                  <c:v>45512</c:v>
                </c:pt>
                <c:pt idx="1032">
                  <c:v>45513</c:v>
                </c:pt>
                <c:pt idx="1033">
                  <c:v>45516</c:v>
                </c:pt>
                <c:pt idx="1034">
                  <c:v>45517</c:v>
                </c:pt>
                <c:pt idx="1035">
                  <c:v>45518</c:v>
                </c:pt>
                <c:pt idx="1036">
                  <c:v>45519</c:v>
                </c:pt>
                <c:pt idx="1037">
                  <c:v>45520</c:v>
                </c:pt>
                <c:pt idx="1038">
                  <c:v>45523</c:v>
                </c:pt>
                <c:pt idx="1039">
                  <c:v>45524</c:v>
                </c:pt>
                <c:pt idx="1040">
                  <c:v>45525</c:v>
                </c:pt>
                <c:pt idx="1041">
                  <c:v>45526</c:v>
                </c:pt>
                <c:pt idx="1042">
                  <c:v>45527</c:v>
                </c:pt>
                <c:pt idx="1043">
                  <c:v>45530</c:v>
                </c:pt>
                <c:pt idx="1044">
                  <c:v>45531</c:v>
                </c:pt>
                <c:pt idx="1045">
                  <c:v>45532</c:v>
                </c:pt>
                <c:pt idx="1046">
                  <c:v>45533</c:v>
                </c:pt>
              </c:numCache>
            </c:numRef>
          </c:cat>
          <c:val>
            <c:numRef>
              <c:f>'Predictive Model'!$C$2:$C$1048</c:f>
              <c:numCache>
                <c:formatCode>0.00</c:formatCode>
                <c:ptCount val="1047"/>
                <c:pt idx="0">
                  <c:v>0.72378989880933287</c:v>
                </c:pt>
                <c:pt idx="1">
                  <c:v>2.1143239249642147</c:v>
                </c:pt>
                <c:pt idx="2">
                  <c:v>-1.2010892904051613</c:v>
                </c:pt>
                <c:pt idx="3">
                  <c:v>2.1609806722689111</c:v>
                </c:pt>
                <c:pt idx="4">
                  <c:v>0.66179161584276847</c:v>
                </c:pt>
                <c:pt idx="5">
                  <c:v>-0.34158899718634828</c:v>
                </c:pt>
                <c:pt idx="6">
                  <c:v>-3.127171185368752</c:v>
                </c:pt>
                <c:pt idx="7">
                  <c:v>0.57984794838926323</c:v>
                </c:pt>
                <c:pt idx="8">
                  <c:v>-0.18709433216814875</c:v>
                </c:pt>
                <c:pt idx="9">
                  <c:v>-2.0186860500995198</c:v>
                </c:pt>
                <c:pt idx="10">
                  <c:v>-0.54830049539034487</c:v>
                </c:pt>
                <c:pt idx="11">
                  <c:v>4.2598076424953728</c:v>
                </c:pt>
                <c:pt idx="12">
                  <c:v>-1.3851837047197473</c:v>
                </c:pt>
                <c:pt idx="13">
                  <c:v>1.398825748502994</c:v>
                </c:pt>
                <c:pt idx="14">
                  <c:v>-4.3877720188901961</c:v>
                </c:pt>
                <c:pt idx="15">
                  <c:v>-0.65051982959188015</c:v>
                </c:pt>
                <c:pt idx="16">
                  <c:v>1.2284674922985488</c:v>
                </c:pt>
                <c:pt idx="17">
                  <c:v>-0.93601986565455753</c:v>
                </c:pt>
                <c:pt idx="18">
                  <c:v>0.97149801980402262</c:v>
                </c:pt>
                <c:pt idx="19">
                  <c:v>-0.11671027225728725</c:v>
                </c:pt>
                <c:pt idx="20">
                  <c:v>0.50608500866263451</c:v>
                </c:pt>
                <c:pt idx="21">
                  <c:v>5.5858150583902049</c:v>
                </c:pt>
                <c:pt idx="22">
                  <c:v>-1.5391774845577832</c:v>
                </c:pt>
                <c:pt idx="23">
                  <c:v>-0.20239161774411846</c:v>
                </c:pt>
                <c:pt idx="24">
                  <c:v>1.5630919263511676</c:v>
                </c:pt>
                <c:pt idx="25">
                  <c:v>-1.827072772208755</c:v>
                </c:pt>
                <c:pt idx="26">
                  <c:v>-2.0290737573564339</c:v>
                </c:pt>
                <c:pt idx="27">
                  <c:v>-2.3768330132052768</c:v>
                </c:pt>
                <c:pt idx="28">
                  <c:v>2.8184198628990007</c:v>
                </c:pt>
                <c:pt idx="29">
                  <c:v>-0.27253920613567206</c:v>
                </c:pt>
                <c:pt idx="30">
                  <c:v>5.7529900754620625E-2</c:v>
                </c:pt>
                <c:pt idx="31">
                  <c:v>0.62230557186995961</c:v>
                </c:pt>
                <c:pt idx="32">
                  <c:v>0.53712610127175853</c:v>
                </c:pt>
                <c:pt idx="33">
                  <c:v>-0.88467947783868106</c:v>
                </c:pt>
                <c:pt idx="34">
                  <c:v>2.2888364186047228</c:v>
                </c:pt>
                <c:pt idx="35">
                  <c:v>-0.76530064566128919</c:v>
                </c:pt>
                <c:pt idx="36">
                  <c:v>0.27622351301241765</c:v>
                </c:pt>
                <c:pt idx="37">
                  <c:v>1.2626494941181214</c:v>
                </c:pt>
                <c:pt idx="38">
                  <c:v>2.1236591529451676</c:v>
                </c:pt>
                <c:pt idx="39">
                  <c:v>2.4170507335840195</c:v>
                </c:pt>
                <c:pt idx="40">
                  <c:v>0.99003523675226157</c:v>
                </c:pt>
                <c:pt idx="41">
                  <c:v>-1.5148649997542192</c:v>
                </c:pt>
                <c:pt idx="42">
                  <c:v>0.73321820499054602</c:v>
                </c:pt>
                <c:pt idx="43">
                  <c:v>1.8889186927052601</c:v>
                </c:pt>
                <c:pt idx="44">
                  <c:v>-6.2329865407645926</c:v>
                </c:pt>
                <c:pt idx="45">
                  <c:v>-1.4418908687953418</c:v>
                </c:pt>
                <c:pt idx="46">
                  <c:v>-5.4478663943990728</c:v>
                </c:pt>
                <c:pt idx="47">
                  <c:v>4.2200582501064314</c:v>
                </c:pt>
                <c:pt idx="48">
                  <c:v>-2.840135484939422</c:v>
                </c:pt>
                <c:pt idx="49">
                  <c:v>-0.69077895633438813</c:v>
                </c:pt>
                <c:pt idx="50">
                  <c:v>0.63807357582890678</c:v>
                </c:pt>
                <c:pt idx="51">
                  <c:v>1.602318730526882</c:v>
                </c:pt>
                <c:pt idx="52">
                  <c:v>-1.8248676874536243</c:v>
                </c:pt>
                <c:pt idx="53">
                  <c:v>-1.0819473878032653</c:v>
                </c:pt>
                <c:pt idx="54">
                  <c:v>-1.2802323593330558</c:v>
                </c:pt>
                <c:pt idx="55">
                  <c:v>1.0346048409247315</c:v>
                </c:pt>
                <c:pt idx="56">
                  <c:v>2.3711031641444675</c:v>
                </c:pt>
                <c:pt idx="57">
                  <c:v>-3.3311367880902107</c:v>
                </c:pt>
                <c:pt idx="58">
                  <c:v>1.2578792969974331</c:v>
                </c:pt>
                <c:pt idx="59">
                  <c:v>2.2403578839641978</c:v>
                </c:pt>
                <c:pt idx="60">
                  <c:v>0.74121830691642154</c:v>
                </c:pt>
                <c:pt idx="61">
                  <c:v>-1.0791742261184611</c:v>
                </c:pt>
                <c:pt idx="62">
                  <c:v>1.4429347168106434</c:v>
                </c:pt>
                <c:pt idx="63">
                  <c:v>0.97439670505683873</c:v>
                </c:pt>
                <c:pt idx="64">
                  <c:v>-2.9894460008565273</c:v>
                </c:pt>
                <c:pt idx="65">
                  <c:v>1.993807744972047</c:v>
                </c:pt>
                <c:pt idx="66">
                  <c:v>-2.163027109879109</c:v>
                </c:pt>
                <c:pt idx="67">
                  <c:v>1.8654433460493844</c:v>
                </c:pt>
                <c:pt idx="68">
                  <c:v>0.31913220361786016</c:v>
                </c:pt>
                <c:pt idx="69">
                  <c:v>2.4453147546432255</c:v>
                </c:pt>
                <c:pt idx="70">
                  <c:v>2.5519395865830021</c:v>
                </c:pt>
                <c:pt idx="71">
                  <c:v>0.62114310730198974</c:v>
                </c:pt>
                <c:pt idx="72">
                  <c:v>-0.93572438796812163</c:v>
                </c:pt>
                <c:pt idx="73">
                  <c:v>-0.58162925589365755</c:v>
                </c:pt>
                <c:pt idx="74">
                  <c:v>-3.8300000000000001E-2</c:v>
                </c:pt>
                <c:pt idx="75">
                  <c:v>-2.5148559960565198</c:v>
                </c:pt>
                <c:pt idx="76">
                  <c:v>0.16242495471606133</c:v>
                </c:pt>
                <c:pt idx="77">
                  <c:v>3.1585396782266573E-2</c:v>
                </c:pt>
                <c:pt idx="78">
                  <c:v>3.5975785582205433E-3</c:v>
                </c:pt>
                <c:pt idx="79">
                  <c:v>0.58527345908871775</c:v>
                </c:pt>
                <c:pt idx="80">
                  <c:v>-2.8824909604438012</c:v>
                </c:pt>
                <c:pt idx="81">
                  <c:v>1.4706480054365156</c:v>
                </c:pt>
                <c:pt idx="82">
                  <c:v>-4.9949269636576812</c:v>
                </c:pt>
                <c:pt idx="83">
                  <c:v>0.96821671129670928</c:v>
                </c:pt>
                <c:pt idx="84">
                  <c:v>-1.1373621282773441</c:v>
                </c:pt>
                <c:pt idx="85">
                  <c:v>-0.10744555208600454</c:v>
                </c:pt>
                <c:pt idx="86">
                  <c:v>1.9880880588505052</c:v>
                </c:pt>
                <c:pt idx="87">
                  <c:v>4.7865831748010539</c:v>
                </c:pt>
                <c:pt idx="88">
                  <c:v>3.1503843347136482</c:v>
                </c:pt>
                <c:pt idx="89">
                  <c:v>0.15427826749091555</c:v>
                </c:pt>
                <c:pt idx="90">
                  <c:v>-2.4207432219629781</c:v>
                </c:pt>
                <c:pt idx="91">
                  <c:v>-3.4175774549167821</c:v>
                </c:pt>
                <c:pt idx="92">
                  <c:v>2.5871718408007167</c:v>
                </c:pt>
                <c:pt idx="93">
                  <c:v>-0.5508841536007788</c:v>
                </c:pt>
                <c:pt idx="94">
                  <c:v>0.45835474845289448</c:v>
                </c:pt>
                <c:pt idx="95">
                  <c:v>0.29424861975309563</c:v>
                </c:pt>
                <c:pt idx="96">
                  <c:v>-1.3134411181722847</c:v>
                </c:pt>
                <c:pt idx="97">
                  <c:v>-1.6143537581256271</c:v>
                </c:pt>
                <c:pt idx="98">
                  <c:v>0.59652849502720073</c:v>
                </c:pt>
                <c:pt idx="99">
                  <c:v>-0.99395343146270243</c:v>
                </c:pt>
                <c:pt idx="100">
                  <c:v>-0.17138522331424022</c:v>
                </c:pt>
                <c:pt idx="101">
                  <c:v>1.7464793927715034</c:v>
                </c:pt>
                <c:pt idx="102">
                  <c:v>-3.3626849362552079E-2</c:v>
                </c:pt>
                <c:pt idx="103">
                  <c:v>0.59760079571471036</c:v>
                </c:pt>
                <c:pt idx="104">
                  <c:v>-0.57725322285839564</c:v>
                </c:pt>
                <c:pt idx="105">
                  <c:v>0.96137297146862155</c:v>
                </c:pt>
                <c:pt idx="106">
                  <c:v>-0.42681670727710652</c:v>
                </c:pt>
                <c:pt idx="107">
                  <c:v>-0.56297382933262941</c:v>
                </c:pt>
                <c:pt idx="108">
                  <c:v>1.7710080843684937E-2</c:v>
                </c:pt>
                <c:pt idx="109">
                  <c:v>-7.0959078033873219E-2</c:v>
                </c:pt>
                <c:pt idx="110">
                  <c:v>0.76435157318848479</c:v>
                </c:pt>
                <c:pt idx="111">
                  <c:v>-1.9872801849215356</c:v>
                </c:pt>
                <c:pt idx="112">
                  <c:v>-0.64264323978739679</c:v>
                </c:pt>
                <c:pt idx="113">
                  <c:v>1.263234746313231</c:v>
                </c:pt>
                <c:pt idx="114">
                  <c:v>0.40247746508434112</c:v>
                </c:pt>
                <c:pt idx="115">
                  <c:v>-7.0976004192467357E-2</c:v>
                </c:pt>
                <c:pt idx="116">
                  <c:v>2.3667781673497799</c:v>
                </c:pt>
                <c:pt idx="117">
                  <c:v>2.5544856183161907E-2</c:v>
                </c:pt>
                <c:pt idx="118">
                  <c:v>-0.41657089944644837</c:v>
                </c:pt>
                <c:pt idx="119">
                  <c:v>1.7916099104242629</c:v>
                </c:pt>
                <c:pt idx="120">
                  <c:v>0.56819895514620478</c:v>
                </c:pt>
                <c:pt idx="121">
                  <c:v>-1.3422197883011506</c:v>
                </c:pt>
                <c:pt idx="122">
                  <c:v>0.74443277019757903</c:v>
                </c:pt>
                <c:pt idx="123">
                  <c:v>0.95384680134679689</c:v>
                </c:pt>
                <c:pt idx="124">
                  <c:v>-0.39836977898075809</c:v>
                </c:pt>
                <c:pt idx="125">
                  <c:v>-1.1402411403597881</c:v>
                </c:pt>
                <c:pt idx="126">
                  <c:v>0.29551677344242633</c:v>
                </c:pt>
                <c:pt idx="127">
                  <c:v>-2.1649055402086641</c:v>
                </c:pt>
                <c:pt idx="128">
                  <c:v>5.8163777881723638E-2</c:v>
                </c:pt>
                <c:pt idx="129">
                  <c:v>-2.6312298557025171</c:v>
                </c:pt>
                <c:pt idx="130">
                  <c:v>2.8073975265017714</c:v>
                </c:pt>
                <c:pt idx="131">
                  <c:v>0.57098216713991967</c:v>
                </c:pt>
                <c:pt idx="132">
                  <c:v>-1.0081524945326552</c:v>
                </c:pt>
                <c:pt idx="133">
                  <c:v>-1.2153711026467631</c:v>
                </c:pt>
                <c:pt idx="134">
                  <c:v>0.61772896102081831</c:v>
                </c:pt>
                <c:pt idx="135">
                  <c:v>-1.5729177597229933</c:v>
                </c:pt>
                <c:pt idx="136">
                  <c:v>-0.21199730215572041</c:v>
                </c:pt>
                <c:pt idx="137">
                  <c:v>1.7439751502170275</c:v>
                </c:pt>
                <c:pt idx="138">
                  <c:v>3.6116694728334093</c:v>
                </c:pt>
                <c:pt idx="139">
                  <c:v>0.2425259834327459</c:v>
                </c:pt>
                <c:pt idx="140">
                  <c:v>0.39731185742271474</c:v>
                </c:pt>
                <c:pt idx="141">
                  <c:v>1.5461222383415245</c:v>
                </c:pt>
                <c:pt idx="142">
                  <c:v>1.1815854233428564</c:v>
                </c:pt>
                <c:pt idx="143">
                  <c:v>0.20703723371636906</c:v>
                </c:pt>
                <c:pt idx="144">
                  <c:v>2.5507936691050337</c:v>
                </c:pt>
                <c:pt idx="145">
                  <c:v>-2.9554666195963963</c:v>
                </c:pt>
                <c:pt idx="146">
                  <c:v>3.2769210587750162</c:v>
                </c:pt>
                <c:pt idx="147">
                  <c:v>-9.671811120595683E-2</c:v>
                </c:pt>
                <c:pt idx="148">
                  <c:v>1.4188437822459126</c:v>
                </c:pt>
                <c:pt idx="149">
                  <c:v>-0.44570946502057474</c:v>
                </c:pt>
                <c:pt idx="150">
                  <c:v>4.0209980548527632E-2</c:v>
                </c:pt>
                <c:pt idx="151">
                  <c:v>7.3179770166966668E-2</c:v>
                </c:pt>
                <c:pt idx="152">
                  <c:v>0.49785003696890473</c:v>
                </c:pt>
                <c:pt idx="153">
                  <c:v>-0.42801037634310257</c:v>
                </c:pt>
                <c:pt idx="154">
                  <c:v>0.64945140097907683</c:v>
                </c:pt>
                <c:pt idx="155">
                  <c:v>0.16620733763124593</c:v>
                </c:pt>
                <c:pt idx="156">
                  <c:v>-0.56485535886045646</c:v>
                </c:pt>
                <c:pt idx="157">
                  <c:v>0.16687029386750463</c:v>
                </c:pt>
                <c:pt idx="158">
                  <c:v>-0.20619680795941472</c:v>
                </c:pt>
                <c:pt idx="159">
                  <c:v>-1.1950300057307985</c:v>
                </c:pt>
                <c:pt idx="160">
                  <c:v>-2.7191341176045367</c:v>
                </c:pt>
                <c:pt idx="161">
                  <c:v>-0.56705827318149216</c:v>
                </c:pt>
                <c:pt idx="162">
                  <c:v>0.51041992885977905</c:v>
                </c:pt>
                <c:pt idx="163">
                  <c:v>-2.4087958127841111</c:v>
                </c:pt>
                <c:pt idx="164">
                  <c:v>1.4421139595525205</c:v>
                </c:pt>
                <c:pt idx="165">
                  <c:v>1.9240017909823959</c:v>
                </c:pt>
                <c:pt idx="166">
                  <c:v>-1.333989615128814</c:v>
                </c:pt>
                <c:pt idx="167">
                  <c:v>-2.7363789049061134</c:v>
                </c:pt>
                <c:pt idx="168">
                  <c:v>-0.40303985203673953</c:v>
                </c:pt>
                <c:pt idx="169">
                  <c:v>2.1096337034875647</c:v>
                </c:pt>
                <c:pt idx="170">
                  <c:v>-1.8560922672420046</c:v>
                </c:pt>
                <c:pt idx="171">
                  <c:v>2.7718499749775782</c:v>
                </c:pt>
                <c:pt idx="172">
                  <c:v>-0.62004394978931077</c:v>
                </c:pt>
                <c:pt idx="173">
                  <c:v>1.9882067724508019</c:v>
                </c:pt>
                <c:pt idx="174">
                  <c:v>-0.62026135912872404</c:v>
                </c:pt>
                <c:pt idx="175">
                  <c:v>-0.43702831389183144</c:v>
                </c:pt>
                <c:pt idx="176">
                  <c:v>1.1967449404628772</c:v>
                </c:pt>
                <c:pt idx="177">
                  <c:v>-0.32016192430677964</c:v>
                </c:pt>
                <c:pt idx="178">
                  <c:v>-2.7045133760694187</c:v>
                </c:pt>
                <c:pt idx="179">
                  <c:v>-0.19866537725222563</c:v>
                </c:pt>
                <c:pt idx="180">
                  <c:v>2.4101475159944159</c:v>
                </c:pt>
                <c:pt idx="181">
                  <c:v>0.63545607708470997</c:v>
                </c:pt>
                <c:pt idx="182">
                  <c:v>-0.93062889222722422</c:v>
                </c:pt>
                <c:pt idx="183">
                  <c:v>-1.3633704609042065</c:v>
                </c:pt>
                <c:pt idx="184">
                  <c:v>1.7435714260458133</c:v>
                </c:pt>
                <c:pt idx="185">
                  <c:v>-0.56265344256349004</c:v>
                </c:pt>
                <c:pt idx="186">
                  <c:v>-1.4793809930054154</c:v>
                </c:pt>
                <c:pt idx="187">
                  <c:v>1.6524474222795544</c:v>
                </c:pt>
                <c:pt idx="188">
                  <c:v>2.7525562956973979</c:v>
                </c:pt>
                <c:pt idx="189">
                  <c:v>2.7345495290402413</c:v>
                </c:pt>
                <c:pt idx="190">
                  <c:v>-0.52410959810226876</c:v>
                </c:pt>
                <c:pt idx="191">
                  <c:v>0.78474243999417292</c:v>
                </c:pt>
                <c:pt idx="192">
                  <c:v>1.3022386476319834</c:v>
                </c:pt>
                <c:pt idx="193">
                  <c:v>0.98835587364264854</c:v>
                </c:pt>
                <c:pt idx="194">
                  <c:v>-1.4849541296481774E-2</c:v>
                </c:pt>
                <c:pt idx="195">
                  <c:v>0.96986144725627499</c:v>
                </c:pt>
                <c:pt idx="196">
                  <c:v>-1.1601979891638992</c:v>
                </c:pt>
                <c:pt idx="197">
                  <c:v>1.4914953993473148</c:v>
                </c:pt>
                <c:pt idx="198">
                  <c:v>0.43953815028900861</c:v>
                </c:pt>
                <c:pt idx="199">
                  <c:v>-0.80534766307615491</c:v>
                </c:pt>
                <c:pt idx="200">
                  <c:v>-0.22380669341834444</c:v>
                </c:pt>
                <c:pt idx="201">
                  <c:v>0.8600105824242763</c:v>
                </c:pt>
                <c:pt idx="202">
                  <c:v>-1.3469093215593082</c:v>
                </c:pt>
                <c:pt idx="203">
                  <c:v>1.5093069521371489</c:v>
                </c:pt>
                <c:pt idx="204">
                  <c:v>0.11486638299443822</c:v>
                </c:pt>
                <c:pt idx="205">
                  <c:v>0.12228612856829493</c:v>
                </c:pt>
                <c:pt idx="206">
                  <c:v>-2.8668692910311577</c:v>
                </c:pt>
                <c:pt idx="207">
                  <c:v>-0.84361230990974612</c:v>
                </c:pt>
                <c:pt idx="208">
                  <c:v>-0.16898868818440532</c:v>
                </c:pt>
                <c:pt idx="209">
                  <c:v>-0.16519031996284692</c:v>
                </c:pt>
                <c:pt idx="210">
                  <c:v>-1.6542803001033108</c:v>
                </c:pt>
                <c:pt idx="211">
                  <c:v>-0.57100593538457112</c:v>
                </c:pt>
                <c:pt idx="212">
                  <c:v>1.2843741537604016</c:v>
                </c:pt>
                <c:pt idx="213">
                  <c:v>1.0548850573528983</c:v>
                </c:pt>
                <c:pt idx="214">
                  <c:v>-2.1297259104809396</c:v>
                </c:pt>
                <c:pt idx="215">
                  <c:v>-0.42263409940261476</c:v>
                </c:pt>
                <c:pt idx="216">
                  <c:v>-2.9745775118592781</c:v>
                </c:pt>
                <c:pt idx="217">
                  <c:v>1.6478920502092065</c:v>
                </c:pt>
                <c:pt idx="218">
                  <c:v>2.0684337452443429</c:v>
                </c:pt>
                <c:pt idx="219">
                  <c:v>-1.23515717179586</c:v>
                </c:pt>
                <c:pt idx="220">
                  <c:v>-0.89480993553947474</c:v>
                </c:pt>
                <c:pt idx="221">
                  <c:v>-2.1847391940542565E-2</c:v>
                </c:pt>
                <c:pt idx="222">
                  <c:v>1.3437340034146559</c:v>
                </c:pt>
                <c:pt idx="223">
                  <c:v>-0.56978248184814451</c:v>
                </c:pt>
                <c:pt idx="224">
                  <c:v>2.2499086086242945</c:v>
                </c:pt>
                <c:pt idx="225">
                  <c:v>0.3365313277567214</c:v>
                </c:pt>
                <c:pt idx="226">
                  <c:v>-0.12966977557854048</c:v>
                </c:pt>
                <c:pt idx="227">
                  <c:v>-0.90513643749579198</c:v>
                </c:pt>
                <c:pt idx="228">
                  <c:v>0.11010760618031401</c:v>
                </c:pt>
                <c:pt idx="229">
                  <c:v>-0.95146848122468664</c:v>
                </c:pt>
                <c:pt idx="230">
                  <c:v>-7.8716735014144196E-2</c:v>
                </c:pt>
                <c:pt idx="231">
                  <c:v>-0.68124216769581414</c:v>
                </c:pt>
                <c:pt idx="232">
                  <c:v>2.0291721644527971</c:v>
                </c:pt>
                <c:pt idx="233">
                  <c:v>1.1658967719182469</c:v>
                </c:pt>
                <c:pt idx="234">
                  <c:v>-0.52685088836965499</c:v>
                </c:pt>
                <c:pt idx="235">
                  <c:v>0.36554407163595221</c:v>
                </c:pt>
                <c:pt idx="236">
                  <c:v>1.4010288605911583</c:v>
                </c:pt>
                <c:pt idx="237">
                  <c:v>0.21439204838642234</c:v>
                </c:pt>
                <c:pt idx="238">
                  <c:v>0.73722440330037586</c:v>
                </c:pt>
                <c:pt idx="239">
                  <c:v>-0.62702211770044747</c:v>
                </c:pt>
                <c:pt idx="240">
                  <c:v>-0.41760796442800996</c:v>
                </c:pt>
                <c:pt idx="241">
                  <c:v>1.3293233318901403</c:v>
                </c:pt>
                <c:pt idx="242">
                  <c:v>-0.60173466224838923</c:v>
                </c:pt>
                <c:pt idx="243">
                  <c:v>1.1951780427642991</c:v>
                </c:pt>
                <c:pt idx="244">
                  <c:v>1.0583016620987535</c:v>
                </c:pt>
                <c:pt idx="245">
                  <c:v>-0.12869998152989143</c:v>
                </c:pt>
                <c:pt idx="246">
                  <c:v>0.49700857574694701</c:v>
                </c:pt>
                <c:pt idx="247">
                  <c:v>-0.66450007779668585</c:v>
                </c:pt>
                <c:pt idx="248">
                  <c:v>1.3578256333762866</c:v>
                </c:pt>
                <c:pt idx="249">
                  <c:v>0.95901802248689605</c:v>
                </c:pt>
                <c:pt idx="250">
                  <c:v>-0.22252992301171534</c:v>
                </c:pt>
                <c:pt idx="251">
                  <c:v>0.22010236821858886</c:v>
                </c:pt>
                <c:pt idx="252">
                  <c:v>2.1892360332650305</c:v>
                </c:pt>
                <c:pt idx="253">
                  <c:v>-3.4694741503209794E-2</c:v>
                </c:pt>
                <c:pt idx="254">
                  <c:v>0.77924266631790784</c:v>
                </c:pt>
                <c:pt idx="255">
                  <c:v>-0.9349456123906813</c:v>
                </c:pt>
                <c:pt idx="256">
                  <c:v>0.1491374506643865</c:v>
                </c:pt>
                <c:pt idx="257">
                  <c:v>-0.26136792672470988</c:v>
                </c:pt>
                <c:pt idx="258">
                  <c:v>1.2814763982459496</c:v>
                </c:pt>
                <c:pt idx="259">
                  <c:v>0.50622236461761416</c:v>
                </c:pt>
                <c:pt idx="260">
                  <c:v>-0.56217913617646575</c:v>
                </c:pt>
                <c:pt idx="261">
                  <c:v>-0.13793313560698381</c:v>
                </c:pt>
                <c:pt idx="262">
                  <c:v>-1.3704424755120133</c:v>
                </c:pt>
                <c:pt idx="263">
                  <c:v>0.79560380008287523</c:v>
                </c:pt>
                <c:pt idx="264">
                  <c:v>0.70636094367526525</c:v>
                </c:pt>
                <c:pt idx="265">
                  <c:v>1.646142466619247</c:v>
                </c:pt>
                <c:pt idx="266">
                  <c:v>1.1953610802232528</c:v>
                </c:pt>
                <c:pt idx="267">
                  <c:v>-0.25234528331346406</c:v>
                </c:pt>
                <c:pt idx="268">
                  <c:v>-0.90665464597908485</c:v>
                </c:pt>
                <c:pt idx="269">
                  <c:v>-0.14998004116310787</c:v>
                </c:pt>
                <c:pt idx="270">
                  <c:v>5.9526496758336322E-2</c:v>
                </c:pt>
                <c:pt idx="271">
                  <c:v>-0.59327242582896511</c:v>
                </c:pt>
                <c:pt idx="272">
                  <c:v>-6.9887869410173262E-2</c:v>
                </c:pt>
                <c:pt idx="273">
                  <c:v>0.7692233282330625</c:v>
                </c:pt>
                <c:pt idx="274">
                  <c:v>-0.25074950216720177</c:v>
                </c:pt>
                <c:pt idx="275">
                  <c:v>1.0122667847346718</c:v>
                </c:pt>
                <c:pt idx="276">
                  <c:v>-5.9023266882967218E-2</c:v>
                </c:pt>
                <c:pt idx="277">
                  <c:v>-0.42868348481119983</c:v>
                </c:pt>
                <c:pt idx="278">
                  <c:v>-0.6937937346839419</c:v>
                </c:pt>
                <c:pt idx="279">
                  <c:v>0.13975124858225021</c:v>
                </c:pt>
                <c:pt idx="280">
                  <c:v>0.95838439811739473</c:v>
                </c:pt>
                <c:pt idx="281">
                  <c:v>1.0106658814324274</c:v>
                </c:pt>
                <c:pt idx="282">
                  <c:v>0.55927553837987631</c:v>
                </c:pt>
                <c:pt idx="283">
                  <c:v>-0.55426027462402383</c:v>
                </c:pt>
                <c:pt idx="284">
                  <c:v>-0.84012069886608343</c:v>
                </c:pt>
                <c:pt idx="285">
                  <c:v>2.0392213330143685</c:v>
                </c:pt>
                <c:pt idx="286">
                  <c:v>2.5192348860494058</c:v>
                </c:pt>
                <c:pt idx="287">
                  <c:v>5.6984864730164092E-2</c:v>
                </c:pt>
                <c:pt idx="288">
                  <c:v>-0.70463810601682642</c:v>
                </c:pt>
                <c:pt idx="289">
                  <c:v>-0.23986797636586921</c:v>
                </c:pt>
                <c:pt idx="290">
                  <c:v>-1.0051600057329348</c:v>
                </c:pt>
                <c:pt idx="291">
                  <c:v>0.17234061266697792</c:v>
                </c:pt>
                <c:pt idx="292">
                  <c:v>1.2529034522514098</c:v>
                </c:pt>
                <c:pt idx="293">
                  <c:v>-0.60155670230583047</c:v>
                </c:pt>
                <c:pt idx="294">
                  <c:v>-5.4868835024355432E-2</c:v>
                </c:pt>
                <c:pt idx="295">
                  <c:v>-0.26359007364666664</c:v>
                </c:pt>
                <c:pt idx="296">
                  <c:v>-4.1613631146871978E-2</c:v>
                </c:pt>
                <c:pt idx="297">
                  <c:v>-0.35709589300013178</c:v>
                </c:pt>
                <c:pt idx="298">
                  <c:v>-2.8306662436034583E-2</c:v>
                </c:pt>
                <c:pt idx="299">
                  <c:v>-1.0242735147855231</c:v>
                </c:pt>
                <c:pt idx="300">
                  <c:v>-0.55638544995794714</c:v>
                </c:pt>
                <c:pt idx="301">
                  <c:v>0.39455618983363167</c:v>
                </c:pt>
                <c:pt idx="302">
                  <c:v>0.90449911588940091</c:v>
                </c:pt>
                <c:pt idx="303">
                  <c:v>1.6395404379713594</c:v>
                </c:pt>
                <c:pt idx="304">
                  <c:v>9.2923013848972613E-2</c:v>
                </c:pt>
                <c:pt idx="305">
                  <c:v>-1.7911359814139465</c:v>
                </c:pt>
                <c:pt idx="306">
                  <c:v>-1.8957739363303192</c:v>
                </c:pt>
                <c:pt idx="307">
                  <c:v>0.131594672234917</c:v>
                </c:pt>
                <c:pt idx="308">
                  <c:v>1.2439249504297918</c:v>
                </c:pt>
                <c:pt idx="309">
                  <c:v>0.28992394087651641</c:v>
                </c:pt>
                <c:pt idx="310">
                  <c:v>-0.1084001473501144</c:v>
                </c:pt>
                <c:pt idx="311">
                  <c:v>-1.7687135280358151</c:v>
                </c:pt>
                <c:pt idx="312">
                  <c:v>-3.6586635752635241</c:v>
                </c:pt>
                <c:pt idx="313">
                  <c:v>0.13100411209912624</c:v>
                </c:pt>
                <c:pt idx="314">
                  <c:v>-0.77068978873240035</c:v>
                </c:pt>
                <c:pt idx="315">
                  <c:v>2.508519193002813</c:v>
                </c:pt>
                <c:pt idx="316">
                  <c:v>-2.1102546439580538</c:v>
                </c:pt>
                <c:pt idx="317">
                  <c:v>1.9573996571491563</c:v>
                </c:pt>
                <c:pt idx="318">
                  <c:v>1.4681326254871552</c:v>
                </c:pt>
                <c:pt idx="319">
                  <c:v>0.55534098428786483</c:v>
                </c:pt>
                <c:pt idx="320">
                  <c:v>-3.8300000000000001E-2</c:v>
                </c:pt>
                <c:pt idx="321">
                  <c:v>-0.24857471167832271</c:v>
                </c:pt>
                <c:pt idx="322">
                  <c:v>-0.49712675102099213</c:v>
                </c:pt>
                <c:pt idx="323">
                  <c:v>1.1328256970239483</c:v>
                </c:pt>
                <c:pt idx="324">
                  <c:v>2.1351001699125902</c:v>
                </c:pt>
                <c:pt idx="325">
                  <c:v>0.44394310487200733</c:v>
                </c:pt>
                <c:pt idx="326">
                  <c:v>0.97416444598198471</c:v>
                </c:pt>
                <c:pt idx="327">
                  <c:v>0.26760060609487396</c:v>
                </c:pt>
                <c:pt idx="328">
                  <c:v>-0.30433736519348065</c:v>
                </c:pt>
                <c:pt idx="329">
                  <c:v>1.0514517830942183</c:v>
                </c:pt>
                <c:pt idx="330">
                  <c:v>-0.55316869240350697</c:v>
                </c:pt>
                <c:pt idx="331">
                  <c:v>-0.37146049510726231</c:v>
                </c:pt>
                <c:pt idx="332">
                  <c:v>0.60427942033266513</c:v>
                </c:pt>
                <c:pt idx="333">
                  <c:v>4.1731180876826617</c:v>
                </c:pt>
                <c:pt idx="334">
                  <c:v>0.32683072145713737</c:v>
                </c:pt>
                <c:pt idx="335">
                  <c:v>2.203102455839637</c:v>
                </c:pt>
                <c:pt idx="336">
                  <c:v>-0.71678743559627633</c:v>
                </c:pt>
                <c:pt idx="337">
                  <c:v>1.103276360044565</c:v>
                </c:pt>
                <c:pt idx="338">
                  <c:v>0.22285780234206681</c:v>
                </c:pt>
                <c:pt idx="339">
                  <c:v>0.69223952095808161</c:v>
                </c:pt>
                <c:pt idx="340">
                  <c:v>-0.15124851912406817</c:v>
                </c:pt>
                <c:pt idx="341">
                  <c:v>0.23843391820944132</c:v>
                </c:pt>
                <c:pt idx="342">
                  <c:v>-0.34690797972069209</c:v>
                </c:pt>
                <c:pt idx="343">
                  <c:v>-1.5712733043736371</c:v>
                </c:pt>
                <c:pt idx="344">
                  <c:v>0.45444639030520151</c:v>
                </c:pt>
                <c:pt idx="345">
                  <c:v>1.2521996812366445</c:v>
                </c:pt>
                <c:pt idx="346">
                  <c:v>-0.23133694406916125</c:v>
                </c:pt>
                <c:pt idx="347">
                  <c:v>0.98529714593633688</c:v>
                </c:pt>
                <c:pt idx="348">
                  <c:v>-0.15317584710683652</c:v>
                </c:pt>
                <c:pt idx="349">
                  <c:v>0.59569210654033899</c:v>
                </c:pt>
                <c:pt idx="350">
                  <c:v>0.50086138521046009</c:v>
                </c:pt>
                <c:pt idx="351">
                  <c:v>-0.99426110384254129</c:v>
                </c:pt>
                <c:pt idx="352">
                  <c:v>-0.67096753442802926</c:v>
                </c:pt>
                <c:pt idx="353">
                  <c:v>2.9815080777080685E-2</c:v>
                </c:pt>
                <c:pt idx="354">
                  <c:v>-2.4738629909080734</c:v>
                </c:pt>
                <c:pt idx="355">
                  <c:v>2.0698085135790931</c:v>
                </c:pt>
                <c:pt idx="356">
                  <c:v>-1.8325574667400779</c:v>
                </c:pt>
                <c:pt idx="357">
                  <c:v>-0.19257236340205774</c:v>
                </c:pt>
                <c:pt idx="358">
                  <c:v>-0.21704364494568384</c:v>
                </c:pt>
                <c:pt idx="359">
                  <c:v>-2.004969761348427</c:v>
                </c:pt>
                <c:pt idx="360">
                  <c:v>0.94618713710140756</c:v>
                </c:pt>
                <c:pt idx="361">
                  <c:v>2.638057627907918</c:v>
                </c:pt>
                <c:pt idx="362">
                  <c:v>-2.3374645270588336E-2</c:v>
                </c:pt>
                <c:pt idx="363">
                  <c:v>-0.59655745422498807</c:v>
                </c:pt>
                <c:pt idx="364">
                  <c:v>2.7956846382350378</c:v>
                </c:pt>
                <c:pt idx="365">
                  <c:v>-0.95498561846741969</c:v>
                </c:pt>
                <c:pt idx="366">
                  <c:v>-3.2969912774076264</c:v>
                </c:pt>
                <c:pt idx="367">
                  <c:v>1.8834878043709324</c:v>
                </c:pt>
                <c:pt idx="368">
                  <c:v>-2.9517917599908876</c:v>
                </c:pt>
                <c:pt idx="369">
                  <c:v>-0.37686756550140399</c:v>
                </c:pt>
                <c:pt idx="370">
                  <c:v>-1.2396539666962465</c:v>
                </c:pt>
                <c:pt idx="371">
                  <c:v>2.2686003493870053</c:v>
                </c:pt>
                <c:pt idx="372">
                  <c:v>1.767438897455931</c:v>
                </c:pt>
                <c:pt idx="373">
                  <c:v>0.40887585424335982</c:v>
                </c:pt>
                <c:pt idx="374">
                  <c:v>2.2802664207561305</c:v>
                </c:pt>
                <c:pt idx="375">
                  <c:v>-0.38871961102340835</c:v>
                </c:pt>
                <c:pt idx="376">
                  <c:v>0.16683172161172607</c:v>
                </c:pt>
                <c:pt idx="377">
                  <c:v>-0.80741972735945966</c:v>
                </c:pt>
                <c:pt idx="378">
                  <c:v>-0.92242116530458518</c:v>
                </c:pt>
                <c:pt idx="379">
                  <c:v>-0.50511938847604021</c:v>
                </c:pt>
                <c:pt idx="380">
                  <c:v>-1.7530094846900603</c:v>
                </c:pt>
                <c:pt idx="381">
                  <c:v>-3.8770904975900398</c:v>
                </c:pt>
                <c:pt idx="382">
                  <c:v>-0.82848900072398701</c:v>
                </c:pt>
                <c:pt idx="383">
                  <c:v>1.2676168424622943E-2</c:v>
                </c:pt>
                <c:pt idx="384">
                  <c:v>3.4932707110262445E-2</c:v>
                </c:pt>
                <c:pt idx="385">
                  <c:v>0.18762739518630295</c:v>
                </c:pt>
                <c:pt idx="386">
                  <c:v>1.0062037415406082</c:v>
                </c:pt>
                <c:pt idx="387">
                  <c:v>-4.2705560924838011</c:v>
                </c:pt>
                <c:pt idx="388">
                  <c:v>1.733361487073297</c:v>
                </c:pt>
                <c:pt idx="389">
                  <c:v>-2.4722193126788219</c:v>
                </c:pt>
                <c:pt idx="390">
                  <c:v>0.18637966743129178</c:v>
                </c:pt>
                <c:pt idx="391">
                  <c:v>-0.60862969839543402</c:v>
                </c:pt>
                <c:pt idx="392">
                  <c:v>-1.8851192603418025</c:v>
                </c:pt>
                <c:pt idx="393">
                  <c:v>7.6551873508955412E-2</c:v>
                </c:pt>
                <c:pt idx="394">
                  <c:v>-2.6971403458319183</c:v>
                </c:pt>
                <c:pt idx="395">
                  <c:v>2.8110193126042349</c:v>
                </c:pt>
                <c:pt idx="396">
                  <c:v>1.0166038100978483</c:v>
                </c:pt>
                <c:pt idx="397">
                  <c:v>2.7698690609414354</c:v>
                </c:pt>
                <c:pt idx="398">
                  <c:v>0.84407231939360794</c:v>
                </c:pt>
                <c:pt idx="399">
                  <c:v>-0.75217257105729796</c:v>
                </c:pt>
                <c:pt idx="400">
                  <c:v>1.4839117009259002</c:v>
                </c:pt>
                <c:pt idx="401">
                  <c:v>-3.9335310822978369</c:v>
                </c:pt>
                <c:pt idx="402">
                  <c:v>1.5185471369294581</c:v>
                </c:pt>
                <c:pt idx="403">
                  <c:v>-1.6693354864938446</c:v>
                </c:pt>
                <c:pt idx="404">
                  <c:v>1.16123010668097</c:v>
                </c:pt>
                <c:pt idx="405">
                  <c:v>2.1451755199860472</c:v>
                </c:pt>
                <c:pt idx="406">
                  <c:v>-2.8756080091763567</c:v>
                </c:pt>
                <c:pt idx="407">
                  <c:v>-2.4657078572093365</c:v>
                </c:pt>
                <c:pt idx="408">
                  <c:v>-5.1860533751203128E-2</c:v>
                </c:pt>
                <c:pt idx="409">
                  <c:v>1.8159376271186525</c:v>
                </c:pt>
                <c:pt idx="410">
                  <c:v>-0.36112790187764027</c:v>
                </c:pt>
                <c:pt idx="411">
                  <c:v>-2.9665100166944938</c:v>
                </c:pt>
                <c:pt idx="412">
                  <c:v>-1.0013990589409656</c:v>
                </c:pt>
                <c:pt idx="413">
                  <c:v>-0.11123161709624316</c:v>
                </c:pt>
                <c:pt idx="414">
                  <c:v>-2.6276271145929178</c:v>
                </c:pt>
                <c:pt idx="415">
                  <c:v>5.0710615306774685</c:v>
                </c:pt>
                <c:pt idx="416">
                  <c:v>0.88501784409950646</c:v>
                </c:pt>
                <c:pt idx="417">
                  <c:v>0.45950061550435667</c:v>
                </c:pt>
                <c:pt idx="418">
                  <c:v>-1.3234825309861624</c:v>
                </c:pt>
                <c:pt idx="419">
                  <c:v>1.7382688377052775</c:v>
                </c:pt>
                <c:pt idx="420">
                  <c:v>-1.4607287856195856</c:v>
                </c:pt>
                <c:pt idx="421">
                  <c:v>-2.0861601425311469</c:v>
                </c:pt>
                <c:pt idx="422">
                  <c:v>-3.8159794199447643</c:v>
                </c:pt>
                <c:pt idx="423">
                  <c:v>-1.1354273730289026</c:v>
                </c:pt>
                <c:pt idx="424">
                  <c:v>4.5475233550301226</c:v>
                </c:pt>
                <c:pt idx="425">
                  <c:v>-1.0469668977469724</c:v>
                </c:pt>
                <c:pt idx="426">
                  <c:v>-1.9711369611378158</c:v>
                </c:pt>
                <c:pt idx="427">
                  <c:v>-1.3344062981656521</c:v>
                </c:pt>
                <c:pt idx="428">
                  <c:v>3.8359555066252673</c:v>
                </c:pt>
                <c:pt idx="429">
                  <c:v>2.4830376811005652</c:v>
                </c:pt>
                <c:pt idx="430">
                  <c:v>0.24363415459421051</c:v>
                </c:pt>
                <c:pt idx="431">
                  <c:v>1.7264828678111817</c:v>
                </c:pt>
                <c:pt idx="432">
                  <c:v>-0.46102377245637044</c:v>
                </c:pt>
                <c:pt idx="433">
                  <c:v>1.5996174804396621</c:v>
                </c:pt>
                <c:pt idx="434">
                  <c:v>-1.5412954713082745</c:v>
                </c:pt>
                <c:pt idx="435">
                  <c:v>1.5009888423416189</c:v>
                </c:pt>
                <c:pt idx="436">
                  <c:v>-0.17641673519006215</c:v>
                </c:pt>
                <c:pt idx="437">
                  <c:v>2.2733501454871905</c:v>
                </c:pt>
                <c:pt idx="438">
                  <c:v>1.4776291335978446</c:v>
                </c:pt>
                <c:pt idx="439">
                  <c:v>-0.52972987867944099</c:v>
                </c:pt>
                <c:pt idx="440">
                  <c:v>-1.8066002820509239</c:v>
                </c:pt>
                <c:pt idx="441">
                  <c:v>0.32173211287360709</c:v>
                </c:pt>
                <c:pt idx="442">
                  <c:v>1.7553745416658109</c:v>
                </c:pt>
                <c:pt idx="443">
                  <c:v>-1.3368350944581042</c:v>
                </c:pt>
                <c:pt idx="444">
                  <c:v>-3.6988779776669727</c:v>
                </c:pt>
                <c:pt idx="445">
                  <c:v>0.58607228714524784</c:v>
                </c:pt>
                <c:pt idx="446">
                  <c:v>-1.4982973696784221</c:v>
                </c:pt>
                <c:pt idx="447">
                  <c:v>-3.9814561977871294</c:v>
                </c:pt>
                <c:pt idx="448">
                  <c:v>-1.1600878033447501</c:v>
                </c:pt>
                <c:pt idx="449">
                  <c:v>1.9329107492817927</c:v>
                </c:pt>
                <c:pt idx="450">
                  <c:v>-2.7467375688136699</c:v>
                </c:pt>
                <c:pt idx="451">
                  <c:v>0.20827900584471407</c:v>
                </c:pt>
                <c:pt idx="452">
                  <c:v>1.6656780363031367</c:v>
                </c:pt>
                <c:pt idx="453">
                  <c:v>0.33323769526271763</c:v>
                </c:pt>
                <c:pt idx="454">
                  <c:v>-1.9764154109223702</c:v>
                </c:pt>
                <c:pt idx="455">
                  <c:v>-2.4527435911430873</c:v>
                </c:pt>
                <c:pt idx="456">
                  <c:v>2.4030392783320957</c:v>
                </c:pt>
                <c:pt idx="457">
                  <c:v>-3.7786818618538689</c:v>
                </c:pt>
                <c:pt idx="458">
                  <c:v>4.7725948086340946</c:v>
                </c:pt>
                <c:pt idx="459">
                  <c:v>2.2249596488127112</c:v>
                </c:pt>
                <c:pt idx="460">
                  <c:v>-4.2195021513447735</c:v>
                </c:pt>
                <c:pt idx="461">
                  <c:v>2.4660284359599824</c:v>
                </c:pt>
                <c:pt idx="462">
                  <c:v>-0.983918866855507</c:v>
                </c:pt>
                <c:pt idx="463">
                  <c:v>2.8717759561007794</c:v>
                </c:pt>
                <c:pt idx="464">
                  <c:v>-4.3937743502647777</c:v>
                </c:pt>
                <c:pt idx="465">
                  <c:v>-0.9829529451310044</c:v>
                </c:pt>
                <c:pt idx="466">
                  <c:v>-3.7328450418956867</c:v>
                </c:pt>
                <c:pt idx="467">
                  <c:v>1.8212559912851545</c:v>
                </c:pt>
                <c:pt idx="468">
                  <c:v>-3.3592692022263511</c:v>
                </c:pt>
                <c:pt idx="469">
                  <c:v>-2.0340713450364762</c:v>
                </c:pt>
                <c:pt idx="470">
                  <c:v>2.2213392654872348</c:v>
                </c:pt>
                <c:pt idx="471">
                  <c:v>0.10722887839936684</c:v>
                </c:pt>
                <c:pt idx="472">
                  <c:v>1.9961195028680594</c:v>
                </c:pt>
                <c:pt idx="473">
                  <c:v>-4.8130562648103705</c:v>
                </c:pt>
                <c:pt idx="474">
                  <c:v>-0.40826339444299065</c:v>
                </c:pt>
                <c:pt idx="475">
                  <c:v>-0.26742262079924461</c:v>
                </c:pt>
                <c:pt idx="476">
                  <c:v>3.1648976813683629</c:v>
                </c:pt>
                <c:pt idx="477">
                  <c:v>-0.43346555676574283</c:v>
                </c:pt>
                <c:pt idx="478">
                  <c:v>1.0787148893963241</c:v>
                </c:pt>
                <c:pt idx="479">
                  <c:v>1.249222909350717</c:v>
                </c:pt>
                <c:pt idx="480">
                  <c:v>2.7221348121948381</c:v>
                </c:pt>
                <c:pt idx="481">
                  <c:v>-0.53968890723863683</c:v>
                </c:pt>
                <c:pt idx="482">
                  <c:v>0.16400919561386901</c:v>
                </c:pt>
                <c:pt idx="483">
                  <c:v>0.75458374455808941</c:v>
                </c:pt>
                <c:pt idx="484">
                  <c:v>-1.6990175380192611</c:v>
                </c:pt>
                <c:pt idx="485">
                  <c:v>-0.50863147608935333</c:v>
                </c:pt>
                <c:pt idx="486">
                  <c:v>1.3570488372093024</c:v>
                </c:pt>
                <c:pt idx="487">
                  <c:v>-0.80527100917430638</c:v>
                </c:pt>
                <c:pt idx="488">
                  <c:v>-2.1166236259262128</c:v>
                </c:pt>
                <c:pt idx="489">
                  <c:v>-4.4946630042400884</c:v>
                </c:pt>
                <c:pt idx="490">
                  <c:v>-4.2795782275726637</c:v>
                </c:pt>
                <c:pt idx="491">
                  <c:v>0.88220278462194845</c:v>
                </c:pt>
                <c:pt idx="492">
                  <c:v>2.9352325990115657</c:v>
                </c:pt>
                <c:pt idx="493">
                  <c:v>-2.7353106986219182</c:v>
                </c:pt>
                <c:pt idx="494">
                  <c:v>1.055708649655023</c:v>
                </c:pt>
                <c:pt idx="495">
                  <c:v>2.4208201887935457</c:v>
                </c:pt>
                <c:pt idx="496">
                  <c:v>-0.27870355796476998</c:v>
                </c:pt>
                <c:pt idx="497">
                  <c:v>2.225351043660345</c:v>
                </c:pt>
                <c:pt idx="498">
                  <c:v>3.3766839728994889</c:v>
                </c:pt>
                <c:pt idx="499">
                  <c:v>-1.0879813126777182</c:v>
                </c:pt>
                <c:pt idx="500">
                  <c:v>-3.2132041201118939</c:v>
                </c:pt>
                <c:pt idx="501">
                  <c:v>1.4354986735348481</c:v>
                </c:pt>
                <c:pt idx="502">
                  <c:v>-1.3562216430522711</c:v>
                </c:pt>
                <c:pt idx="503">
                  <c:v>1.0324472410532808</c:v>
                </c:pt>
                <c:pt idx="504">
                  <c:v>1.2214346343190896</c:v>
                </c:pt>
                <c:pt idx="505">
                  <c:v>1.2399898700028922</c:v>
                </c:pt>
                <c:pt idx="506">
                  <c:v>0.78435995794274693</c:v>
                </c:pt>
                <c:pt idx="507">
                  <c:v>-0.31400417903957833</c:v>
                </c:pt>
                <c:pt idx="508">
                  <c:v>-1.2151639142663959</c:v>
                </c:pt>
                <c:pt idx="509">
                  <c:v>-4.1364481192337603</c:v>
                </c:pt>
                <c:pt idx="510">
                  <c:v>-0.41280112645958089</c:v>
                </c:pt>
                <c:pt idx="511">
                  <c:v>0.49984537615485802</c:v>
                </c:pt>
                <c:pt idx="512">
                  <c:v>1.0007424194030103</c:v>
                </c:pt>
                <c:pt idx="513">
                  <c:v>-1.0004381233946102</c:v>
                </c:pt>
                <c:pt idx="514">
                  <c:v>2.0383957718780632</c:v>
                </c:pt>
                <c:pt idx="515">
                  <c:v>1.0174507843245646</c:v>
                </c:pt>
                <c:pt idx="516">
                  <c:v>0.94160891363478705</c:v>
                </c:pt>
                <c:pt idx="517">
                  <c:v>-1.7298915525085534</c:v>
                </c:pt>
                <c:pt idx="518">
                  <c:v>-0.62594713786566614</c:v>
                </c:pt>
                <c:pt idx="519">
                  <c:v>-2.7157304941722322</c:v>
                </c:pt>
                <c:pt idx="520">
                  <c:v>6.6468911080236008</c:v>
                </c:pt>
                <c:pt idx="521">
                  <c:v>2.8157650016397029</c:v>
                </c:pt>
                <c:pt idx="522">
                  <c:v>1.5282084249266037</c:v>
                </c:pt>
                <c:pt idx="523">
                  <c:v>-1.0107229170201064</c:v>
                </c:pt>
                <c:pt idx="524">
                  <c:v>-1.1857417773662347</c:v>
                </c:pt>
                <c:pt idx="525">
                  <c:v>2.7453379467088981</c:v>
                </c:pt>
                <c:pt idx="526">
                  <c:v>0.37944099756524857</c:v>
                </c:pt>
                <c:pt idx="527">
                  <c:v>-0.29918137340132556</c:v>
                </c:pt>
                <c:pt idx="528">
                  <c:v>-0.95378441673347092</c:v>
                </c:pt>
                <c:pt idx="529">
                  <c:v>0.66802882083226034</c:v>
                </c:pt>
                <c:pt idx="530">
                  <c:v>2.3917447366650371</c:v>
                </c:pt>
                <c:pt idx="531">
                  <c:v>-0.77837987633033967</c:v>
                </c:pt>
                <c:pt idx="532">
                  <c:v>1.6654193183085255</c:v>
                </c:pt>
                <c:pt idx="533">
                  <c:v>0.49611025611441861</c:v>
                </c:pt>
                <c:pt idx="534">
                  <c:v>-0.29727365911687254</c:v>
                </c:pt>
                <c:pt idx="535">
                  <c:v>-0.5131672893779109</c:v>
                </c:pt>
                <c:pt idx="536">
                  <c:v>-0.43305283961530061</c:v>
                </c:pt>
                <c:pt idx="537">
                  <c:v>-1.423701254401843</c:v>
                </c:pt>
                <c:pt idx="538">
                  <c:v>-2.9738212916761384</c:v>
                </c:pt>
                <c:pt idx="539">
                  <c:v>-0.50994644464446715</c:v>
                </c:pt>
                <c:pt idx="540">
                  <c:v>-0.27342986373079065</c:v>
                </c:pt>
                <c:pt idx="541">
                  <c:v>1.0712387432979886</c:v>
                </c:pt>
                <c:pt idx="542">
                  <c:v>-3.8970089002967505</c:v>
                </c:pt>
                <c:pt idx="543">
                  <c:v>-1.1051003441650225</c:v>
                </c:pt>
                <c:pt idx="544">
                  <c:v>-0.89039437328717885</c:v>
                </c:pt>
                <c:pt idx="545">
                  <c:v>-0.60870726862224855</c:v>
                </c:pt>
                <c:pt idx="546">
                  <c:v>-0.44752744326605642</c:v>
                </c:pt>
                <c:pt idx="547">
                  <c:v>-1.7049651689707739</c:v>
                </c:pt>
                <c:pt idx="548">
                  <c:v>-1.1356982746028168</c:v>
                </c:pt>
                <c:pt idx="549">
                  <c:v>1.8728534057255617</c:v>
                </c:pt>
                <c:pt idx="550">
                  <c:v>0.12830583775592158</c:v>
                </c:pt>
                <c:pt idx="551">
                  <c:v>2.2593954404868062</c:v>
                </c:pt>
                <c:pt idx="552">
                  <c:v>0.7898037111583317</c:v>
                </c:pt>
                <c:pt idx="553">
                  <c:v>-5.5361396136772445</c:v>
                </c:pt>
                <c:pt idx="554">
                  <c:v>5.29718740570682E-2</c:v>
                </c:pt>
                <c:pt idx="555">
                  <c:v>-2.7502165700106334</c:v>
                </c:pt>
                <c:pt idx="556">
                  <c:v>-0.29911994741177655</c:v>
                </c:pt>
                <c:pt idx="557">
                  <c:v>-0.12819171999076995</c:v>
                </c:pt>
                <c:pt idx="558">
                  <c:v>-0.88485936779716545</c:v>
                </c:pt>
                <c:pt idx="559">
                  <c:v>-1.481896635721963</c:v>
                </c:pt>
                <c:pt idx="560">
                  <c:v>0.81124970725528134</c:v>
                </c:pt>
                <c:pt idx="561">
                  <c:v>-1.3081141135333105</c:v>
                </c:pt>
                <c:pt idx="562">
                  <c:v>-0.23584581537950264</c:v>
                </c:pt>
                <c:pt idx="563">
                  <c:v>-0.4762840021644682</c:v>
                </c:pt>
                <c:pt idx="564">
                  <c:v>1.9328530481595092</c:v>
                </c:pt>
                <c:pt idx="565">
                  <c:v>-1.5192005252984473</c:v>
                </c:pt>
                <c:pt idx="566">
                  <c:v>-1.9751446315789507</c:v>
                </c:pt>
                <c:pt idx="567">
                  <c:v>3.3279564199121467</c:v>
                </c:pt>
                <c:pt idx="568">
                  <c:v>3.3429411028237768</c:v>
                </c:pt>
                <c:pt idx="569">
                  <c:v>9.0272803588614892E-2</c:v>
                </c:pt>
                <c:pt idx="570">
                  <c:v>-1.005396319828602</c:v>
                </c:pt>
                <c:pt idx="571">
                  <c:v>-5.1235904720492513</c:v>
                </c:pt>
                <c:pt idx="572">
                  <c:v>-2.1685958049373317</c:v>
                </c:pt>
                <c:pt idx="573">
                  <c:v>-1.7133255179934628</c:v>
                </c:pt>
                <c:pt idx="574">
                  <c:v>0.1125344767164875</c:v>
                </c:pt>
                <c:pt idx="575">
                  <c:v>3.7224995570321138</c:v>
                </c:pt>
                <c:pt idx="576">
                  <c:v>-2.4631663246058202</c:v>
                </c:pt>
                <c:pt idx="577">
                  <c:v>3.8862717004250218</c:v>
                </c:pt>
                <c:pt idx="578">
                  <c:v>0.37006989183837635</c:v>
                </c:pt>
                <c:pt idx="579">
                  <c:v>-0.88526184486373161</c:v>
                </c:pt>
                <c:pt idx="580">
                  <c:v>-0.17784753280696414</c:v>
                </c:pt>
                <c:pt idx="581">
                  <c:v>2.4897546905285957</c:v>
                </c:pt>
                <c:pt idx="582">
                  <c:v>2.0804861828594583</c:v>
                </c:pt>
                <c:pt idx="583">
                  <c:v>1.3408724974721886</c:v>
                </c:pt>
                <c:pt idx="584">
                  <c:v>-7.7539294148946016</c:v>
                </c:pt>
                <c:pt idx="585">
                  <c:v>-2.0139211575767435</c:v>
                </c:pt>
                <c:pt idx="586">
                  <c:v>3.9837485115766209</c:v>
                </c:pt>
                <c:pt idx="587">
                  <c:v>-1.6239149910038271</c:v>
                </c:pt>
                <c:pt idx="588">
                  <c:v>-1.7442436155183894</c:v>
                </c:pt>
                <c:pt idx="589">
                  <c:v>-3.5751330940687414</c:v>
                </c:pt>
                <c:pt idx="590">
                  <c:v>-2.6961854341330675</c:v>
                </c:pt>
                <c:pt idx="591">
                  <c:v>3.2942549591598551</c:v>
                </c:pt>
                <c:pt idx="592">
                  <c:v>2.8886596771622912</c:v>
                </c:pt>
                <c:pt idx="593">
                  <c:v>0.40054672047322426</c:v>
                </c:pt>
                <c:pt idx="594">
                  <c:v>-1.9433116202431804</c:v>
                </c:pt>
                <c:pt idx="595">
                  <c:v>8.1885056707230319</c:v>
                </c:pt>
                <c:pt idx="596">
                  <c:v>1.6614304584695159</c:v>
                </c:pt>
                <c:pt idx="597">
                  <c:v>-2.2883092984905162</c:v>
                </c:pt>
                <c:pt idx="598">
                  <c:v>0.13557621394481725</c:v>
                </c:pt>
                <c:pt idx="599">
                  <c:v>-0.13748791544741801</c:v>
                </c:pt>
                <c:pt idx="600">
                  <c:v>-5.8985475872842773E-2</c:v>
                </c:pt>
                <c:pt idx="601">
                  <c:v>-0.228631021732527</c:v>
                </c:pt>
                <c:pt idx="602">
                  <c:v>0.30578506614673612</c:v>
                </c:pt>
                <c:pt idx="603">
                  <c:v>1.1928489209111885</c:v>
                </c:pt>
                <c:pt idx="604">
                  <c:v>1.0023901238243909</c:v>
                </c:pt>
                <c:pt idx="605">
                  <c:v>-7.4650674235801559E-2</c:v>
                </c:pt>
                <c:pt idx="606">
                  <c:v>-2.3535490541991759</c:v>
                </c:pt>
                <c:pt idx="607">
                  <c:v>-0.62979281501267248</c:v>
                </c:pt>
                <c:pt idx="608">
                  <c:v>6.1240587886459483</c:v>
                </c:pt>
                <c:pt idx="609">
                  <c:v>-0.21467258045140786</c:v>
                </c:pt>
                <c:pt idx="610">
                  <c:v>9.1270064552438718E-2</c:v>
                </c:pt>
                <c:pt idx="611">
                  <c:v>-1.9283505546223756</c:v>
                </c:pt>
                <c:pt idx="612">
                  <c:v>-2.0686765231460043</c:v>
                </c:pt>
                <c:pt idx="613">
                  <c:v>-0.34427259109767849</c:v>
                </c:pt>
                <c:pt idx="614">
                  <c:v>1.2016226836338904</c:v>
                </c:pt>
                <c:pt idx="615">
                  <c:v>-0.83862176556964663</c:v>
                </c:pt>
                <c:pt idx="616">
                  <c:v>2.850623909126595</c:v>
                </c:pt>
                <c:pt idx="617">
                  <c:v>1.7081726495281819</c:v>
                </c:pt>
                <c:pt idx="618">
                  <c:v>7.8463188860667582E-2</c:v>
                </c:pt>
                <c:pt idx="619">
                  <c:v>-3.2301225519328955</c:v>
                </c:pt>
                <c:pt idx="620">
                  <c:v>-1.7731673092419487</c:v>
                </c:pt>
                <c:pt idx="621">
                  <c:v>-1.7711068026253058</c:v>
                </c:pt>
                <c:pt idx="622">
                  <c:v>0.52314978866437978</c:v>
                </c:pt>
                <c:pt idx="623">
                  <c:v>1.0493716159511346</c:v>
                </c:pt>
                <c:pt idx="624">
                  <c:v>-2.5911745156900623</c:v>
                </c:pt>
                <c:pt idx="625">
                  <c:v>0.18840724861071509</c:v>
                </c:pt>
                <c:pt idx="626">
                  <c:v>-0.77971877001497936</c:v>
                </c:pt>
                <c:pt idx="627">
                  <c:v>-1.0637928799018759</c:v>
                </c:pt>
                <c:pt idx="628">
                  <c:v>2.7246710602608237</c:v>
                </c:pt>
                <c:pt idx="629">
                  <c:v>-0.53205047702897112</c:v>
                </c:pt>
                <c:pt idx="630">
                  <c:v>-0.13837713826811643</c:v>
                </c:pt>
                <c:pt idx="631">
                  <c:v>-4.4126200235886142</c:v>
                </c:pt>
                <c:pt idx="632">
                  <c:v>-3.0020746932228364</c:v>
                </c:pt>
                <c:pt idx="633">
                  <c:v>1.1402322403718383</c:v>
                </c:pt>
                <c:pt idx="634">
                  <c:v>0.93533716185239579</c:v>
                </c:pt>
                <c:pt idx="635">
                  <c:v>0.72341673040060561</c:v>
                </c:pt>
                <c:pt idx="636">
                  <c:v>2.9855137725895413</c:v>
                </c:pt>
                <c:pt idx="637">
                  <c:v>1.123845715533857</c:v>
                </c:pt>
                <c:pt idx="638">
                  <c:v>0.26357456085435593</c:v>
                </c:pt>
                <c:pt idx="639">
                  <c:v>0.4298728958437168</c:v>
                </c:pt>
                <c:pt idx="640">
                  <c:v>-1.9272152846536645</c:v>
                </c:pt>
                <c:pt idx="641">
                  <c:v>-1.6836946113005824</c:v>
                </c:pt>
                <c:pt idx="642">
                  <c:v>3.5360578882443208</c:v>
                </c:pt>
                <c:pt idx="643">
                  <c:v>0.94413318215622322</c:v>
                </c:pt>
                <c:pt idx="644">
                  <c:v>-0.260910683299441</c:v>
                </c:pt>
                <c:pt idx="645">
                  <c:v>-0.62910814797412362</c:v>
                </c:pt>
                <c:pt idx="646">
                  <c:v>3.0330598642144504</c:v>
                </c:pt>
                <c:pt idx="647">
                  <c:v>2.621774193547842E-2</c:v>
                </c:pt>
                <c:pt idx="648">
                  <c:v>-2.2344625210160767</c:v>
                </c:pt>
                <c:pt idx="649">
                  <c:v>2.0629693555729727</c:v>
                </c:pt>
                <c:pt idx="650">
                  <c:v>1.9551635567044361</c:v>
                </c:pt>
                <c:pt idx="651">
                  <c:v>4.6501296735905076</c:v>
                </c:pt>
                <c:pt idx="652">
                  <c:v>-2.400355879923147</c:v>
                </c:pt>
                <c:pt idx="653">
                  <c:v>-0.64988001289150266</c:v>
                </c:pt>
                <c:pt idx="654">
                  <c:v>4.1639079924612989</c:v>
                </c:pt>
                <c:pt idx="655">
                  <c:v>-0.34850593743613983</c:v>
                </c:pt>
                <c:pt idx="656">
                  <c:v>-1.2042790318832826</c:v>
                </c:pt>
                <c:pt idx="657">
                  <c:v>-0.2355494537070337</c:v>
                </c:pt>
                <c:pt idx="658">
                  <c:v>3.0859876520496803</c:v>
                </c:pt>
                <c:pt idx="659">
                  <c:v>0.27498541134823418</c:v>
                </c:pt>
                <c:pt idx="660">
                  <c:v>-1.0854418098510388</c:v>
                </c:pt>
                <c:pt idx="661">
                  <c:v>-2.7005652657216008</c:v>
                </c:pt>
                <c:pt idx="662">
                  <c:v>-1.5984739819227252</c:v>
                </c:pt>
                <c:pt idx="663">
                  <c:v>-2.1269615677645688</c:v>
                </c:pt>
                <c:pt idx="664">
                  <c:v>-0.49739803664144921</c:v>
                </c:pt>
                <c:pt idx="665">
                  <c:v>1.2578747305509652</c:v>
                </c:pt>
                <c:pt idx="666">
                  <c:v>-2.2167365949140558</c:v>
                </c:pt>
                <c:pt idx="667">
                  <c:v>0.33887799383204004</c:v>
                </c:pt>
                <c:pt idx="668">
                  <c:v>-0.33411307489905301</c:v>
                </c:pt>
                <c:pt idx="669">
                  <c:v>-1.3012276021403835</c:v>
                </c:pt>
                <c:pt idx="670">
                  <c:v>1.9270213632952273</c:v>
                </c:pt>
                <c:pt idx="671">
                  <c:v>1.6263059429548561</c:v>
                </c:pt>
                <c:pt idx="672">
                  <c:v>0.58060479193205483</c:v>
                </c:pt>
                <c:pt idx="673">
                  <c:v>-1.0972017997216936</c:v>
                </c:pt>
                <c:pt idx="674">
                  <c:v>-0.21535961464630066</c:v>
                </c:pt>
                <c:pt idx="675">
                  <c:v>-0.58224561147747766</c:v>
                </c:pt>
                <c:pt idx="676">
                  <c:v>-1.5165858657736127</c:v>
                </c:pt>
                <c:pt idx="677">
                  <c:v>2.1057935217682608</c:v>
                </c:pt>
                <c:pt idx="678">
                  <c:v>2.6672809129299084</c:v>
                </c:pt>
                <c:pt idx="679">
                  <c:v>1.7447410826819651</c:v>
                </c:pt>
                <c:pt idx="680">
                  <c:v>4.0153505119526116</c:v>
                </c:pt>
                <c:pt idx="681">
                  <c:v>1.1311355031382146</c:v>
                </c:pt>
                <c:pt idx="682">
                  <c:v>-2.6149675662479916</c:v>
                </c:pt>
                <c:pt idx="683">
                  <c:v>0.53106705630151296</c:v>
                </c:pt>
                <c:pt idx="684">
                  <c:v>-0.58252894493471652</c:v>
                </c:pt>
                <c:pt idx="685">
                  <c:v>1.9338601316631552</c:v>
                </c:pt>
                <c:pt idx="686">
                  <c:v>1.0097454361730689</c:v>
                </c:pt>
                <c:pt idx="687">
                  <c:v>-1.5316891347837451</c:v>
                </c:pt>
                <c:pt idx="688">
                  <c:v>-0.45439160546906876</c:v>
                </c:pt>
                <c:pt idx="689">
                  <c:v>1.8800950837396262</c:v>
                </c:pt>
                <c:pt idx="690">
                  <c:v>1.2236792070878191</c:v>
                </c:pt>
                <c:pt idx="691">
                  <c:v>1.4579155182347694</c:v>
                </c:pt>
                <c:pt idx="692">
                  <c:v>-0.4094332100367602</c:v>
                </c:pt>
                <c:pt idx="693">
                  <c:v>-5.5713918491952411E-2</c:v>
                </c:pt>
                <c:pt idx="694">
                  <c:v>-1.0272257849518922</c:v>
                </c:pt>
                <c:pt idx="695">
                  <c:v>2.5149848358062235</c:v>
                </c:pt>
                <c:pt idx="696">
                  <c:v>-0.79618441513269456</c:v>
                </c:pt>
                <c:pt idx="697">
                  <c:v>-2.3051466982179702</c:v>
                </c:pt>
                <c:pt idx="698">
                  <c:v>0.19505679748836555</c:v>
                </c:pt>
                <c:pt idx="699">
                  <c:v>2.2016401121711593</c:v>
                </c:pt>
                <c:pt idx="700">
                  <c:v>-1.3148598437283927</c:v>
                </c:pt>
                <c:pt idx="701">
                  <c:v>0.89130538916585267</c:v>
                </c:pt>
                <c:pt idx="702">
                  <c:v>-0.18718954912282326</c:v>
                </c:pt>
                <c:pt idx="703">
                  <c:v>-1.0551967476714073E-2</c:v>
                </c:pt>
                <c:pt idx="704">
                  <c:v>-0.8495417759233862</c:v>
                </c:pt>
                <c:pt idx="705">
                  <c:v>-0.16062184067255542</c:v>
                </c:pt>
                <c:pt idx="706">
                  <c:v>-1.4345838957067549</c:v>
                </c:pt>
                <c:pt idx="707">
                  <c:v>-2.291902671645782</c:v>
                </c:pt>
                <c:pt idx="708">
                  <c:v>7.2051758036265277</c:v>
                </c:pt>
                <c:pt idx="709">
                  <c:v>3.164459982441683</c:v>
                </c:pt>
                <c:pt idx="710">
                  <c:v>0.75887321248975592</c:v>
                </c:pt>
                <c:pt idx="711">
                  <c:v>-0.59158124216360441</c:v>
                </c:pt>
                <c:pt idx="712">
                  <c:v>-8.7388231765203897E-2</c:v>
                </c:pt>
                <c:pt idx="713">
                  <c:v>-0.36900625937977538</c:v>
                </c:pt>
                <c:pt idx="714">
                  <c:v>0.29350355450336263</c:v>
                </c:pt>
                <c:pt idx="715">
                  <c:v>1.6774231038181633</c:v>
                </c:pt>
                <c:pt idx="716">
                  <c:v>-0.68211137570535407</c:v>
                </c:pt>
                <c:pt idx="717">
                  <c:v>-0.57288416720396651</c:v>
                </c:pt>
                <c:pt idx="718">
                  <c:v>1.6913410423452793</c:v>
                </c:pt>
                <c:pt idx="719">
                  <c:v>-0.74273245944371347</c:v>
                </c:pt>
                <c:pt idx="720">
                  <c:v>-0.40590635101767841</c:v>
                </c:pt>
                <c:pt idx="721">
                  <c:v>0.12028821193452288</c:v>
                </c:pt>
                <c:pt idx="722">
                  <c:v>0.69846697030601768</c:v>
                </c:pt>
                <c:pt idx="723">
                  <c:v>0.68666634134107163</c:v>
                </c:pt>
                <c:pt idx="724">
                  <c:v>1.4011869426751622</c:v>
                </c:pt>
                <c:pt idx="725">
                  <c:v>-9.4809169350757602E-2</c:v>
                </c:pt>
                <c:pt idx="726">
                  <c:v>0.85382698237265775</c:v>
                </c:pt>
                <c:pt idx="727">
                  <c:v>-1.8814979354330459</c:v>
                </c:pt>
                <c:pt idx="728">
                  <c:v>-0.48555114358780066</c:v>
                </c:pt>
                <c:pt idx="729">
                  <c:v>3.8074883604437386</c:v>
                </c:pt>
                <c:pt idx="730">
                  <c:v>2.1002621385576044</c:v>
                </c:pt>
                <c:pt idx="731">
                  <c:v>-0.54297839956088889</c:v>
                </c:pt>
                <c:pt idx="732">
                  <c:v>-0.88971634510656916</c:v>
                </c:pt>
                <c:pt idx="733">
                  <c:v>1.2376133373772074</c:v>
                </c:pt>
                <c:pt idx="734">
                  <c:v>0.80961842871771339</c:v>
                </c:pt>
                <c:pt idx="735">
                  <c:v>0.12270417700067113</c:v>
                </c:pt>
                <c:pt idx="736">
                  <c:v>-0.71104185466009739</c:v>
                </c:pt>
                <c:pt idx="737">
                  <c:v>-3.1250862071670689</c:v>
                </c:pt>
                <c:pt idx="738">
                  <c:v>0.54306092860782773</c:v>
                </c:pt>
                <c:pt idx="739">
                  <c:v>0.43209259452767496</c:v>
                </c:pt>
                <c:pt idx="740">
                  <c:v>1.5100940330623784</c:v>
                </c:pt>
                <c:pt idx="741">
                  <c:v>0.69697285095182138</c:v>
                </c:pt>
                <c:pt idx="742">
                  <c:v>0.87407755179215885</c:v>
                </c:pt>
                <c:pt idx="743">
                  <c:v>3.1513632855832561</c:v>
                </c:pt>
                <c:pt idx="744">
                  <c:v>-1.6958750935206794</c:v>
                </c:pt>
                <c:pt idx="745">
                  <c:v>-1.2885553566830918</c:v>
                </c:pt>
                <c:pt idx="746">
                  <c:v>-1.3665029757090177</c:v>
                </c:pt>
                <c:pt idx="747">
                  <c:v>1.8054441650302429</c:v>
                </c:pt>
                <c:pt idx="748">
                  <c:v>-1.4188899515036615</c:v>
                </c:pt>
                <c:pt idx="749">
                  <c:v>-1.9545984928639593</c:v>
                </c:pt>
                <c:pt idx="750">
                  <c:v>1.7784988104053678</c:v>
                </c:pt>
                <c:pt idx="751">
                  <c:v>0.34428031898239825</c:v>
                </c:pt>
                <c:pt idx="752">
                  <c:v>-0.27650693336537346</c:v>
                </c:pt>
                <c:pt idx="753">
                  <c:v>1.6002677351524075</c:v>
                </c:pt>
                <c:pt idx="754">
                  <c:v>-0.78711627198172196</c:v>
                </c:pt>
                <c:pt idx="755">
                  <c:v>9.039863526731938E-3</c:v>
                </c:pt>
                <c:pt idx="756">
                  <c:v>0.88436599300901286</c:v>
                </c:pt>
                <c:pt idx="757">
                  <c:v>-1.2250401560469428</c:v>
                </c:pt>
                <c:pt idx="758">
                  <c:v>-1.6366672332650305</c:v>
                </c:pt>
                <c:pt idx="759">
                  <c:v>0.15457406957587827</c:v>
                </c:pt>
                <c:pt idx="760">
                  <c:v>1.384388057801639</c:v>
                </c:pt>
                <c:pt idx="761">
                  <c:v>1.5809146517479955</c:v>
                </c:pt>
                <c:pt idx="762">
                  <c:v>0.71462884196661669</c:v>
                </c:pt>
                <c:pt idx="763">
                  <c:v>0.10363633825560387</c:v>
                </c:pt>
                <c:pt idx="764">
                  <c:v>3.9416781801412628</c:v>
                </c:pt>
                <c:pt idx="765">
                  <c:v>-1.2650387473014091</c:v>
                </c:pt>
                <c:pt idx="766">
                  <c:v>-2.3504528389601971</c:v>
                </c:pt>
                <c:pt idx="767">
                  <c:v>-0.93200831858777733</c:v>
                </c:pt>
                <c:pt idx="768">
                  <c:v>0.35149435171113352</c:v>
                </c:pt>
                <c:pt idx="769">
                  <c:v>1.6626145649610793</c:v>
                </c:pt>
                <c:pt idx="770">
                  <c:v>-3.8020533722682517</c:v>
                </c:pt>
                <c:pt idx="771">
                  <c:v>-2.125515628858011</c:v>
                </c:pt>
                <c:pt idx="772">
                  <c:v>2.2748331570115687</c:v>
                </c:pt>
                <c:pt idx="773">
                  <c:v>-0.76235415261481265</c:v>
                </c:pt>
                <c:pt idx="774">
                  <c:v>8.6724703425455629E-2</c:v>
                </c:pt>
                <c:pt idx="775">
                  <c:v>-2.6665916409382322</c:v>
                </c:pt>
                <c:pt idx="776">
                  <c:v>-0.29478732824427023</c:v>
                </c:pt>
                <c:pt idx="777">
                  <c:v>0.30456260524259354</c:v>
                </c:pt>
                <c:pt idx="778">
                  <c:v>0.67253836936616129</c:v>
                </c:pt>
                <c:pt idx="779">
                  <c:v>-1.2681922130453007</c:v>
                </c:pt>
                <c:pt idx="780">
                  <c:v>-1.209892436924118</c:v>
                </c:pt>
                <c:pt idx="781">
                  <c:v>0.17893054219181156</c:v>
                </c:pt>
                <c:pt idx="782">
                  <c:v>-0.63285084433733652</c:v>
                </c:pt>
                <c:pt idx="783">
                  <c:v>0.90559548786966959</c:v>
                </c:pt>
                <c:pt idx="784">
                  <c:v>-0.71106383762845871</c:v>
                </c:pt>
                <c:pt idx="785">
                  <c:v>-0.49191059716696445</c:v>
                </c:pt>
                <c:pt idx="786">
                  <c:v>-1.1369233039692284</c:v>
                </c:pt>
                <c:pt idx="787">
                  <c:v>-0.16452885435765896</c:v>
                </c:pt>
                <c:pt idx="788">
                  <c:v>1.6679670033842968</c:v>
                </c:pt>
                <c:pt idx="789">
                  <c:v>0.1418870234219797</c:v>
                </c:pt>
                <c:pt idx="790">
                  <c:v>1.3696293948749125</c:v>
                </c:pt>
                <c:pt idx="791">
                  <c:v>-2.1881467889908182</c:v>
                </c:pt>
                <c:pt idx="792">
                  <c:v>0.90241631421470836</c:v>
                </c:pt>
                <c:pt idx="793">
                  <c:v>0.18462432208754392</c:v>
                </c:pt>
                <c:pt idx="794">
                  <c:v>1.4167484477584757</c:v>
                </c:pt>
                <c:pt idx="795">
                  <c:v>7.7410543336549162E-2</c:v>
                </c:pt>
                <c:pt idx="796">
                  <c:v>-0.35156955558432901</c:v>
                </c:pt>
                <c:pt idx="797">
                  <c:v>0.23628932528101654</c:v>
                </c:pt>
                <c:pt idx="798">
                  <c:v>1.449554907955265</c:v>
                </c:pt>
                <c:pt idx="799">
                  <c:v>-0.23916434540660275</c:v>
                </c:pt>
                <c:pt idx="800">
                  <c:v>-0.93051369724503807</c:v>
                </c:pt>
                <c:pt idx="801">
                  <c:v>1.2832679873714878</c:v>
                </c:pt>
                <c:pt idx="802">
                  <c:v>1.0596187844470186</c:v>
                </c:pt>
                <c:pt idx="803">
                  <c:v>-1.8640717238221425</c:v>
                </c:pt>
                <c:pt idx="804">
                  <c:v>1.254767227970399</c:v>
                </c:pt>
                <c:pt idx="805">
                  <c:v>0.74727817524000806</c:v>
                </c:pt>
                <c:pt idx="806">
                  <c:v>-2.5419937406426754</c:v>
                </c:pt>
                <c:pt idx="807">
                  <c:v>-0.38958187162715724</c:v>
                </c:pt>
                <c:pt idx="808">
                  <c:v>-0.16289855421260135</c:v>
                </c:pt>
                <c:pt idx="809">
                  <c:v>-2.4359890746573338</c:v>
                </c:pt>
                <c:pt idx="810">
                  <c:v>-0.42486671213716137</c:v>
                </c:pt>
                <c:pt idx="811">
                  <c:v>-0.82695490185162646</c:v>
                </c:pt>
                <c:pt idx="812">
                  <c:v>0.12888683425800188</c:v>
                </c:pt>
                <c:pt idx="813">
                  <c:v>-1.7388712184129818</c:v>
                </c:pt>
                <c:pt idx="814">
                  <c:v>0.16993796013465062</c:v>
                </c:pt>
                <c:pt idx="815">
                  <c:v>0.23344972842563128</c:v>
                </c:pt>
                <c:pt idx="816">
                  <c:v>0.63444100850938756</c:v>
                </c:pt>
                <c:pt idx="817">
                  <c:v>1.877769041963574</c:v>
                </c:pt>
                <c:pt idx="818">
                  <c:v>-2.6517161944095471</c:v>
                </c:pt>
                <c:pt idx="819">
                  <c:v>1.7390303977154462</c:v>
                </c:pt>
                <c:pt idx="820">
                  <c:v>8.7105697042420716E-2</c:v>
                </c:pt>
                <c:pt idx="821">
                  <c:v>2.4354053391332129</c:v>
                </c:pt>
                <c:pt idx="822">
                  <c:v>0.7439517025529494</c:v>
                </c:pt>
                <c:pt idx="823">
                  <c:v>-0.47186739119830601</c:v>
                </c:pt>
                <c:pt idx="824">
                  <c:v>1.1888987015195873</c:v>
                </c:pt>
                <c:pt idx="825">
                  <c:v>-0.41734125826502755</c:v>
                </c:pt>
                <c:pt idx="826">
                  <c:v>-1.0740509839865882</c:v>
                </c:pt>
                <c:pt idx="827">
                  <c:v>1.4598856513592267</c:v>
                </c:pt>
                <c:pt idx="828">
                  <c:v>-0.21266777712987958</c:v>
                </c:pt>
                <c:pt idx="829">
                  <c:v>-0.62554718778080964</c:v>
                </c:pt>
                <c:pt idx="830">
                  <c:v>0.32825116627265333</c:v>
                </c:pt>
                <c:pt idx="831">
                  <c:v>-1.4417751604964177</c:v>
                </c:pt>
                <c:pt idx="832">
                  <c:v>0.77291434308082407</c:v>
                </c:pt>
                <c:pt idx="833">
                  <c:v>0.32912134528133902</c:v>
                </c:pt>
                <c:pt idx="834">
                  <c:v>3.0295044445823538</c:v>
                </c:pt>
                <c:pt idx="835">
                  <c:v>-3.7897302733771814</c:v>
                </c:pt>
                <c:pt idx="836">
                  <c:v>0.54725701978299091</c:v>
                </c:pt>
                <c:pt idx="837">
                  <c:v>2.235736580297969</c:v>
                </c:pt>
                <c:pt idx="838">
                  <c:v>0.19886670266025952</c:v>
                </c:pt>
                <c:pt idx="839">
                  <c:v>2.315970016604207</c:v>
                </c:pt>
                <c:pt idx="840">
                  <c:v>0.61185746943941322</c:v>
                </c:pt>
                <c:pt idx="841">
                  <c:v>1.2478681528388376</c:v>
                </c:pt>
                <c:pt idx="842">
                  <c:v>1.0189593897026976</c:v>
                </c:pt>
                <c:pt idx="843">
                  <c:v>1.0836252268306321</c:v>
                </c:pt>
                <c:pt idx="844">
                  <c:v>0.70227998152881588</c:v>
                </c:pt>
                <c:pt idx="845">
                  <c:v>-0.72938202562504939</c:v>
                </c:pt>
                <c:pt idx="846">
                  <c:v>2.4513756079199531</c:v>
                </c:pt>
                <c:pt idx="847">
                  <c:v>-0.84713487836487267</c:v>
                </c:pt>
                <c:pt idx="848">
                  <c:v>0.94075423490067123</c:v>
                </c:pt>
                <c:pt idx="849">
                  <c:v>-0.20033743695793463</c:v>
                </c:pt>
                <c:pt idx="850">
                  <c:v>1.7200249307267994</c:v>
                </c:pt>
                <c:pt idx="851">
                  <c:v>-1.7183932508142206</c:v>
                </c:pt>
                <c:pt idx="852">
                  <c:v>2.0138822027495076</c:v>
                </c:pt>
                <c:pt idx="853">
                  <c:v>-1.1960985843694483</c:v>
                </c:pt>
                <c:pt idx="854">
                  <c:v>1.2429605972905327</c:v>
                </c:pt>
                <c:pt idx="855">
                  <c:v>-0.14945865907912226</c:v>
                </c:pt>
                <c:pt idx="856">
                  <c:v>0.27433864077701164</c:v>
                </c:pt>
                <c:pt idx="857">
                  <c:v>1.0419744676688916</c:v>
                </c:pt>
                <c:pt idx="858">
                  <c:v>-1.0443114657116883</c:v>
                </c:pt>
                <c:pt idx="859">
                  <c:v>-2.2463125498272441E-2</c:v>
                </c:pt>
                <c:pt idx="860">
                  <c:v>-1.199524025111776</c:v>
                </c:pt>
                <c:pt idx="861">
                  <c:v>-1.4721722214661277</c:v>
                </c:pt>
                <c:pt idx="862">
                  <c:v>0.87733468132816883</c:v>
                </c:pt>
                <c:pt idx="863">
                  <c:v>-1.0369043997225675</c:v>
                </c:pt>
                <c:pt idx="864">
                  <c:v>0.54467832699496466</c:v>
                </c:pt>
                <c:pt idx="865">
                  <c:v>0.84591590346247936</c:v>
                </c:pt>
                <c:pt idx="866">
                  <c:v>-0.82124709506876115</c:v>
                </c:pt>
                <c:pt idx="867">
                  <c:v>0.79122251536296795</c:v>
                </c:pt>
                <c:pt idx="868">
                  <c:v>-4.0973753904128954E-2</c:v>
                </c:pt>
                <c:pt idx="869">
                  <c:v>-2.2927547139788786</c:v>
                </c:pt>
                <c:pt idx="870">
                  <c:v>1.2734312305143476</c:v>
                </c:pt>
                <c:pt idx="871">
                  <c:v>0.47959252098072036</c:v>
                </c:pt>
                <c:pt idx="872">
                  <c:v>0.12539676903846403</c:v>
                </c:pt>
                <c:pt idx="873">
                  <c:v>-0.74558578719161617</c:v>
                </c:pt>
                <c:pt idx="874">
                  <c:v>0.74957276439307619</c:v>
                </c:pt>
                <c:pt idx="875">
                  <c:v>0.24011140840150785</c:v>
                </c:pt>
                <c:pt idx="876">
                  <c:v>-1.6938207385062992E-2</c:v>
                </c:pt>
                <c:pt idx="877">
                  <c:v>-0.19577530926734291</c:v>
                </c:pt>
                <c:pt idx="878">
                  <c:v>0.28516672477272409</c:v>
                </c:pt>
                <c:pt idx="879">
                  <c:v>0.16421812034353117</c:v>
                </c:pt>
                <c:pt idx="880">
                  <c:v>-1.4131574290668047</c:v>
                </c:pt>
                <c:pt idx="881">
                  <c:v>-0.11109882536736615</c:v>
                </c:pt>
                <c:pt idx="882">
                  <c:v>-0.75605605961539435</c:v>
                </c:pt>
                <c:pt idx="883">
                  <c:v>-8.9939397447193759E-2</c:v>
                </c:pt>
                <c:pt idx="884">
                  <c:v>1.848852141400406</c:v>
                </c:pt>
                <c:pt idx="885">
                  <c:v>0.25527788948956398</c:v>
                </c:pt>
                <c:pt idx="886">
                  <c:v>1.8191150011529476</c:v>
                </c:pt>
                <c:pt idx="887">
                  <c:v>0.44763569335446862</c:v>
                </c:pt>
                <c:pt idx="888">
                  <c:v>0.96006100930296434</c:v>
                </c:pt>
                <c:pt idx="889">
                  <c:v>0.42505315349099115</c:v>
                </c:pt>
                <c:pt idx="890">
                  <c:v>-0.24328322252495435</c:v>
                </c:pt>
                <c:pt idx="891">
                  <c:v>1.0914388730075752</c:v>
                </c:pt>
                <c:pt idx="892">
                  <c:v>1.1803807984700549</c:v>
                </c:pt>
                <c:pt idx="893">
                  <c:v>-0.58010222478884077</c:v>
                </c:pt>
                <c:pt idx="894">
                  <c:v>0.56445502250245072</c:v>
                </c:pt>
                <c:pt idx="895">
                  <c:v>0.87922420532751744</c:v>
                </c:pt>
                <c:pt idx="896">
                  <c:v>0.53552676159492874</c:v>
                </c:pt>
                <c:pt idx="897">
                  <c:v>-0.27047378704489888</c:v>
                </c:pt>
                <c:pt idx="898">
                  <c:v>1.3951186864900622</c:v>
                </c:pt>
                <c:pt idx="899">
                  <c:v>-0.31409932569609644</c:v>
                </c:pt>
                <c:pt idx="900">
                  <c:v>-2.7329349905248215</c:v>
                </c:pt>
                <c:pt idx="901">
                  <c:v>1.5211376484548649</c:v>
                </c:pt>
                <c:pt idx="902">
                  <c:v>1.8042880475570682</c:v>
                </c:pt>
                <c:pt idx="903">
                  <c:v>-1.3928078027466937</c:v>
                </c:pt>
                <c:pt idx="904">
                  <c:v>-7.7743856123911326E-2</c:v>
                </c:pt>
                <c:pt idx="905">
                  <c:v>2.0727257247040813</c:v>
                </c:pt>
                <c:pt idx="906">
                  <c:v>-2.3809720628222827E-2</c:v>
                </c:pt>
                <c:pt idx="907">
                  <c:v>1.5168431342569513</c:v>
                </c:pt>
                <c:pt idx="908">
                  <c:v>-1.2961713948269005</c:v>
                </c:pt>
                <c:pt idx="909">
                  <c:v>-2.1911687532421062</c:v>
                </c:pt>
                <c:pt idx="910">
                  <c:v>0.74186906511817474</c:v>
                </c:pt>
                <c:pt idx="911">
                  <c:v>-0.75382225244870338</c:v>
                </c:pt>
                <c:pt idx="912">
                  <c:v>-0.65321539066762779</c:v>
                </c:pt>
                <c:pt idx="913">
                  <c:v>-0.35260703516461672</c:v>
                </c:pt>
                <c:pt idx="914">
                  <c:v>-0.18974764923897933</c:v>
                </c:pt>
                <c:pt idx="915">
                  <c:v>2.3163673541266805</c:v>
                </c:pt>
                <c:pt idx="916">
                  <c:v>-0.35653102613722065</c:v>
                </c:pt>
                <c:pt idx="917">
                  <c:v>-0.72065780749970743</c:v>
                </c:pt>
                <c:pt idx="918">
                  <c:v>-5.3021990154347602E-2</c:v>
                </c:pt>
                <c:pt idx="919">
                  <c:v>2.0596140552041543E-2</c:v>
                </c:pt>
                <c:pt idx="920">
                  <c:v>1.4136802770234911</c:v>
                </c:pt>
                <c:pt idx="921">
                  <c:v>0.41136273391127176</c:v>
                </c:pt>
                <c:pt idx="922">
                  <c:v>-0.17788772563177302</c:v>
                </c:pt>
                <c:pt idx="923">
                  <c:v>-2.9955010545560237</c:v>
                </c:pt>
                <c:pt idx="924">
                  <c:v>-0.17737810961000716</c:v>
                </c:pt>
                <c:pt idx="925">
                  <c:v>1.7150435474977648</c:v>
                </c:pt>
                <c:pt idx="926">
                  <c:v>-0.7519955303675151</c:v>
                </c:pt>
                <c:pt idx="927">
                  <c:v>-0.45679539555291737</c:v>
                </c:pt>
                <c:pt idx="928">
                  <c:v>2.6216451924735331</c:v>
                </c:pt>
                <c:pt idx="929">
                  <c:v>-8.1642564157530656E-2</c:v>
                </c:pt>
                <c:pt idx="930">
                  <c:v>2.3996655152305677</c:v>
                </c:pt>
                <c:pt idx="931">
                  <c:v>-2.1078141289932035</c:v>
                </c:pt>
                <c:pt idx="932">
                  <c:v>0.17782650014493717</c:v>
                </c:pt>
                <c:pt idx="933">
                  <c:v>0.94176252549498285</c:v>
                </c:pt>
                <c:pt idx="934">
                  <c:v>0.86818227705576145</c:v>
                </c:pt>
                <c:pt idx="935">
                  <c:v>0.93528697479139744</c:v>
                </c:pt>
                <c:pt idx="936">
                  <c:v>-0.18502776564185386</c:v>
                </c:pt>
                <c:pt idx="937">
                  <c:v>-1.4097617570430001</c:v>
                </c:pt>
                <c:pt idx="938">
                  <c:v>-0.32444459701123113</c:v>
                </c:pt>
                <c:pt idx="939">
                  <c:v>-9.0476213240967801E-2</c:v>
                </c:pt>
                <c:pt idx="940">
                  <c:v>-0.20677210967255472</c:v>
                </c:pt>
                <c:pt idx="941">
                  <c:v>0.87679935131416553</c:v>
                </c:pt>
                <c:pt idx="942">
                  <c:v>-0.77551764335557105</c:v>
                </c:pt>
                <c:pt idx="943">
                  <c:v>-0.27320650989508527</c:v>
                </c:pt>
                <c:pt idx="944">
                  <c:v>-0.64955149878697882</c:v>
                </c:pt>
                <c:pt idx="945">
                  <c:v>1.7899722093870052</c:v>
                </c:pt>
                <c:pt idx="946">
                  <c:v>-0.25685448017508394</c:v>
                </c:pt>
                <c:pt idx="947">
                  <c:v>0.35973175202460267</c:v>
                </c:pt>
                <c:pt idx="948">
                  <c:v>-0.74675195812247175</c:v>
                </c:pt>
                <c:pt idx="949">
                  <c:v>1.0650366936791411</c:v>
                </c:pt>
                <c:pt idx="950">
                  <c:v>-1.4474087557866109</c:v>
                </c:pt>
                <c:pt idx="951">
                  <c:v>-1.9961049579209018</c:v>
                </c:pt>
                <c:pt idx="952">
                  <c:v>0.18894397203206068</c:v>
                </c:pt>
                <c:pt idx="953">
                  <c:v>-0.69920768631338481</c:v>
                </c:pt>
                <c:pt idx="954">
                  <c:v>-1.8763941806341644</c:v>
                </c:pt>
                <c:pt idx="955">
                  <c:v>-1.3121996562022793</c:v>
                </c:pt>
                <c:pt idx="956">
                  <c:v>0.42271323487939638</c:v>
                </c:pt>
                <c:pt idx="957">
                  <c:v>1.6102475230370237</c:v>
                </c:pt>
                <c:pt idx="958">
                  <c:v>0.32727915803653135</c:v>
                </c:pt>
                <c:pt idx="959">
                  <c:v>-2.4878157309417501</c:v>
                </c:pt>
                <c:pt idx="960">
                  <c:v>1.7860779660700583</c:v>
                </c:pt>
                <c:pt idx="961">
                  <c:v>-1.0399752633103729</c:v>
                </c:pt>
                <c:pt idx="962">
                  <c:v>-3.2502361093847068</c:v>
                </c:pt>
                <c:pt idx="963">
                  <c:v>1.402640895210308</c:v>
                </c:pt>
                <c:pt idx="964">
                  <c:v>0.69598722978534666</c:v>
                </c:pt>
                <c:pt idx="965">
                  <c:v>2.178673680041971</c:v>
                </c:pt>
                <c:pt idx="966">
                  <c:v>1.6535322265102772</c:v>
                </c:pt>
                <c:pt idx="967">
                  <c:v>-1.0539243431333902</c:v>
                </c:pt>
                <c:pt idx="968">
                  <c:v>0.25485801332054847</c:v>
                </c:pt>
                <c:pt idx="969">
                  <c:v>0.3952747944118104</c:v>
                </c:pt>
                <c:pt idx="970">
                  <c:v>0.54861864544909211</c:v>
                </c:pt>
                <c:pt idx="971">
                  <c:v>-0.28423456734180685</c:v>
                </c:pt>
                <c:pt idx="972">
                  <c:v>0.64815388019323306</c:v>
                </c:pt>
                <c:pt idx="973">
                  <c:v>1.5268980582158564</c:v>
                </c:pt>
                <c:pt idx="974">
                  <c:v>-0.53229571339214377</c:v>
                </c:pt>
                <c:pt idx="975">
                  <c:v>-0.2235773269027074</c:v>
                </c:pt>
                <c:pt idx="976">
                  <c:v>1.1825193783759851</c:v>
                </c:pt>
                <c:pt idx="977">
                  <c:v>0.83159538599610383</c:v>
                </c:pt>
                <c:pt idx="978">
                  <c:v>0.30665151243575789</c:v>
                </c:pt>
                <c:pt idx="979">
                  <c:v>-0.85591337218653729</c:v>
                </c:pt>
                <c:pt idx="980">
                  <c:v>0.70174777517564757</c:v>
                </c:pt>
                <c:pt idx="981">
                  <c:v>-1.1038407773586098E-3</c:v>
                </c:pt>
                <c:pt idx="982">
                  <c:v>-0.30554158330848713</c:v>
                </c:pt>
                <c:pt idx="983">
                  <c:v>-3.416914432691037</c:v>
                </c:pt>
                <c:pt idx="984">
                  <c:v>7.2629651428640862E-2</c:v>
                </c:pt>
                <c:pt idx="985">
                  <c:v>-0.42613416775667018</c:v>
                </c:pt>
                <c:pt idx="986">
                  <c:v>0.57836136289241524</c:v>
                </c:pt>
                <c:pt idx="987">
                  <c:v>1.8700334213994538</c:v>
                </c:pt>
                <c:pt idx="988">
                  <c:v>8.1975226521182137E-2</c:v>
                </c:pt>
                <c:pt idx="989">
                  <c:v>-0.19612130815046308</c:v>
                </c:pt>
                <c:pt idx="990">
                  <c:v>0.91014613497540209</c:v>
                </c:pt>
                <c:pt idx="991">
                  <c:v>1.0858727758918938</c:v>
                </c:pt>
                <c:pt idx="992">
                  <c:v>1.8984673882716325</c:v>
                </c:pt>
                <c:pt idx="993">
                  <c:v>7.9595298226525987E-2</c:v>
                </c:pt>
                <c:pt idx="994">
                  <c:v>0.1858994721558698</c:v>
                </c:pt>
                <c:pt idx="995">
                  <c:v>1.2722244160840845</c:v>
                </c:pt>
                <c:pt idx="996">
                  <c:v>-0.49105085813894211</c:v>
                </c:pt>
                <c:pt idx="997">
                  <c:v>-0.1816848648419063</c:v>
                </c:pt>
                <c:pt idx="998">
                  <c:v>0.87711101416886661</c:v>
                </c:pt>
                <c:pt idx="999">
                  <c:v>-0.50741512399198352</c:v>
                </c:pt>
                <c:pt idx="1000">
                  <c:v>0.69438231169194531</c:v>
                </c:pt>
                <c:pt idx="1001">
                  <c:v>0.23002064925191745</c:v>
                </c:pt>
                <c:pt idx="1002">
                  <c:v>0.11430129022822477</c:v>
                </c:pt>
                <c:pt idx="1003">
                  <c:v>-1.3411583243521017</c:v>
                </c:pt>
                <c:pt idx="1004">
                  <c:v>2.1498639416982441</c:v>
                </c:pt>
                <c:pt idx="1005">
                  <c:v>0.52001408897717138</c:v>
                </c:pt>
                <c:pt idx="1006">
                  <c:v>0.28611865599290648</c:v>
                </c:pt>
                <c:pt idx="1007">
                  <c:v>1.4353222328056174</c:v>
                </c:pt>
                <c:pt idx="1008">
                  <c:v>-0.32061842023406584</c:v>
                </c:pt>
                <c:pt idx="1009">
                  <c:v>-1.4753240956808489</c:v>
                </c:pt>
                <c:pt idx="1010">
                  <c:v>1.4218538209048524</c:v>
                </c:pt>
                <c:pt idx="1011">
                  <c:v>-2.5155092225201039</c:v>
                </c:pt>
                <c:pt idx="1012">
                  <c:v>-0.29121928076747672</c:v>
                </c:pt>
                <c:pt idx="1013">
                  <c:v>5.2098635398049542E-2</c:v>
                </c:pt>
                <c:pt idx="1014">
                  <c:v>-1.0163602009043551</c:v>
                </c:pt>
                <c:pt idx="1015">
                  <c:v>-1.373057106874729</c:v>
                </c:pt>
                <c:pt idx="1016">
                  <c:v>-0.74852593752814878</c:v>
                </c:pt>
                <c:pt idx="1017">
                  <c:v>-0.77858885641948028</c:v>
                </c:pt>
                <c:pt idx="1018">
                  <c:v>1.2954643156332835</c:v>
                </c:pt>
                <c:pt idx="1019">
                  <c:v>0.39291054575694312</c:v>
                </c:pt>
                <c:pt idx="1020">
                  <c:v>-3.6237809002745105</c:v>
                </c:pt>
                <c:pt idx="1021">
                  <c:v>-2.4864231398664929</c:v>
                </c:pt>
                <c:pt idx="1022">
                  <c:v>1.6036682357834875</c:v>
                </c:pt>
                <c:pt idx="1023">
                  <c:v>0.30501649017442911</c:v>
                </c:pt>
                <c:pt idx="1024">
                  <c:v>-0.93113572792821631</c:v>
                </c:pt>
                <c:pt idx="1025">
                  <c:v>-1.1188842380412429</c:v>
                </c:pt>
                <c:pt idx="1026">
                  <c:v>-0.33470754923283375</c:v>
                </c:pt>
                <c:pt idx="1027">
                  <c:v>-2.1049000119848529</c:v>
                </c:pt>
                <c:pt idx="1028">
                  <c:v>-3.3039849192314326</c:v>
                </c:pt>
                <c:pt idx="1029">
                  <c:v>1.0903830488981361</c:v>
                </c:pt>
                <c:pt idx="1030">
                  <c:v>-0.33358591484018357</c:v>
                </c:pt>
                <c:pt idx="1031">
                  <c:v>1.0308988742925707</c:v>
                </c:pt>
                <c:pt idx="1032">
                  <c:v>0.78863560392890431</c:v>
                </c:pt>
                <c:pt idx="1033">
                  <c:v>0.15627391788658901</c:v>
                </c:pt>
                <c:pt idx="1034">
                  <c:v>1.7315709558264141</c:v>
                </c:pt>
                <c:pt idx="1035">
                  <c:v>0.65008311421503362</c:v>
                </c:pt>
                <c:pt idx="1036">
                  <c:v>0.96203923860549501</c:v>
                </c:pt>
                <c:pt idx="1037">
                  <c:v>-0.64633220817525427</c:v>
                </c:pt>
                <c:pt idx="1038">
                  <c:v>0.69293473431490982</c:v>
                </c:pt>
                <c:pt idx="1039">
                  <c:v>0.737442890839902</c:v>
                </c:pt>
                <c:pt idx="1040">
                  <c:v>-0.19366088009493529</c:v>
                </c:pt>
                <c:pt idx="1041">
                  <c:v>-2.0635809676540471</c:v>
                </c:pt>
                <c:pt idx="1042">
                  <c:v>0.26010477338673704</c:v>
                </c:pt>
                <c:pt idx="1043">
                  <c:v>-0.83007017892480728</c:v>
                </c:pt>
                <c:pt idx="1044">
                  <c:v>4.6346789152019771E-2</c:v>
                </c:pt>
                <c:pt idx="1045">
                  <c:v>-0.8212088612305074</c:v>
                </c:pt>
                <c:pt idx="1046">
                  <c:v>0.57543330812859506</c:v>
                </c:pt>
              </c:numCache>
            </c:numRef>
          </c:val>
          <c:smooth val="0"/>
          <c:extLst>
            <c:ext xmlns:c16="http://schemas.microsoft.com/office/drawing/2014/chart" uri="{C3380CC4-5D6E-409C-BE32-E72D297353CC}">
              <c16:uniqueId val="{00000001-7014-4F01-8102-1E2EA0776847}"/>
            </c:ext>
          </c:extLst>
        </c:ser>
        <c:dLbls>
          <c:showLegendKey val="0"/>
          <c:showVal val="0"/>
          <c:showCatName val="0"/>
          <c:showSerName val="0"/>
          <c:showPercent val="0"/>
          <c:showBubbleSize val="0"/>
        </c:dLbls>
        <c:marker val="1"/>
        <c:smooth val="0"/>
        <c:axId val="1541568591"/>
        <c:axId val="1541576271"/>
      </c:lineChart>
      <c:lineChart>
        <c:grouping val="standard"/>
        <c:varyColors val="0"/>
        <c:ser>
          <c:idx val="0"/>
          <c:order val="0"/>
          <c:tx>
            <c:strRef>
              <c:f>'Predictive Model'!$B$1</c:f>
              <c:strCache>
                <c:ptCount val="1"/>
                <c:pt idx="0">
                  <c:v>S&amp;P 500 Daily Return</c:v>
                </c:pt>
              </c:strCache>
            </c:strRef>
          </c:tx>
          <c:spPr>
            <a:ln w="28575" cap="rnd">
              <a:solidFill>
                <a:schemeClr val="accent1"/>
              </a:solidFill>
              <a:round/>
            </a:ln>
            <a:effectLst/>
          </c:spPr>
          <c:marker>
            <c:symbol val="none"/>
          </c:marker>
          <c:cat>
            <c:numRef>
              <c:f>'Predictive Model'!$A$2:$A$1048</c:f>
              <c:numCache>
                <c:formatCode>m/d/yyyy</c:formatCode>
                <c:ptCount val="1047"/>
                <c:pt idx="0">
                  <c:v>44014</c:v>
                </c:pt>
                <c:pt idx="1">
                  <c:v>44018</c:v>
                </c:pt>
                <c:pt idx="2">
                  <c:v>44019</c:v>
                </c:pt>
                <c:pt idx="3">
                  <c:v>44020</c:v>
                </c:pt>
                <c:pt idx="4">
                  <c:v>44021</c:v>
                </c:pt>
                <c:pt idx="5">
                  <c:v>44022</c:v>
                </c:pt>
                <c:pt idx="6">
                  <c:v>44025</c:v>
                </c:pt>
                <c:pt idx="7">
                  <c:v>44026</c:v>
                </c:pt>
                <c:pt idx="8">
                  <c:v>44027</c:v>
                </c:pt>
                <c:pt idx="9">
                  <c:v>44028</c:v>
                </c:pt>
                <c:pt idx="10">
                  <c:v>44029</c:v>
                </c:pt>
                <c:pt idx="11">
                  <c:v>44032</c:v>
                </c:pt>
                <c:pt idx="12">
                  <c:v>44033</c:v>
                </c:pt>
                <c:pt idx="13">
                  <c:v>44034</c:v>
                </c:pt>
                <c:pt idx="14">
                  <c:v>44035</c:v>
                </c:pt>
                <c:pt idx="15">
                  <c:v>44036</c:v>
                </c:pt>
                <c:pt idx="16">
                  <c:v>44039</c:v>
                </c:pt>
                <c:pt idx="17">
                  <c:v>44040</c:v>
                </c:pt>
                <c:pt idx="18">
                  <c:v>44041</c:v>
                </c:pt>
                <c:pt idx="19">
                  <c:v>44042</c:v>
                </c:pt>
                <c:pt idx="20">
                  <c:v>44043</c:v>
                </c:pt>
                <c:pt idx="21">
                  <c:v>44046</c:v>
                </c:pt>
                <c:pt idx="22">
                  <c:v>44047</c:v>
                </c:pt>
                <c:pt idx="23">
                  <c:v>44048</c:v>
                </c:pt>
                <c:pt idx="24">
                  <c:v>44049</c:v>
                </c:pt>
                <c:pt idx="25">
                  <c:v>44050</c:v>
                </c:pt>
                <c:pt idx="26">
                  <c:v>44053</c:v>
                </c:pt>
                <c:pt idx="27">
                  <c:v>44054</c:v>
                </c:pt>
                <c:pt idx="28">
                  <c:v>44055</c:v>
                </c:pt>
                <c:pt idx="29">
                  <c:v>44056</c:v>
                </c:pt>
                <c:pt idx="30">
                  <c:v>44057</c:v>
                </c:pt>
                <c:pt idx="31">
                  <c:v>44060</c:v>
                </c:pt>
                <c:pt idx="32">
                  <c:v>44061</c:v>
                </c:pt>
                <c:pt idx="33">
                  <c:v>44062</c:v>
                </c:pt>
                <c:pt idx="34">
                  <c:v>44063</c:v>
                </c:pt>
                <c:pt idx="35">
                  <c:v>44064</c:v>
                </c:pt>
                <c:pt idx="36">
                  <c:v>44067</c:v>
                </c:pt>
                <c:pt idx="37">
                  <c:v>44068</c:v>
                </c:pt>
                <c:pt idx="38">
                  <c:v>44069</c:v>
                </c:pt>
                <c:pt idx="39">
                  <c:v>44070</c:v>
                </c:pt>
                <c:pt idx="40">
                  <c:v>44071</c:v>
                </c:pt>
                <c:pt idx="41">
                  <c:v>44074</c:v>
                </c:pt>
                <c:pt idx="42">
                  <c:v>44075</c:v>
                </c:pt>
                <c:pt idx="43">
                  <c:v>44076</c:v>
                </c:pt>
                <c:pt idx="44">
                  <c:v>44077</c:v>
                </c:pt>
                <c:pt idx="45">
                  <c:v>44078</c:v>
                </c:pt>
                <c:pt idx="46">
                  <c:v>44082</c:v>
                </c:pt>
                <c:pt idx="47">
                  <c:v>44083</c:v>
                </c:pt>
                <c:pt idx="48">
                  <c:v>44084</c:v>
                </c:pt>
                <c:pt idx="49">
                  <c:v>44085</c:v>
                </c:pt>
                <c:pt idx="50">
                  <c:v>44088</c:v>
                </c:pt>
                <c:pt idx="51">
                  <c:v>44089</c:v>
                </c:pt>
                <c:pt idx="52">
                  <c:v>44090</c:v>
                </c:pt>
                <c:pt idx="53">
                  <c:v>44091</c:v>
                </c:pt>
                <c:pt idx="54">
                  <c:v>44092</c:v>
                </c:pt>
                <c:pt idx="55">
                  <c:v>44095</c:v>
                </c:pt>
                <c:pt idx="56">
                  <c:v>44096</c:v>
                </c:pt>
                <c:pt idx="57">
                  <c:v>44097</c:v>
                </c:pt>
                <c:pt idx="58">
                  <c:v>44098</c:v>
                </c:pt>
                <c:pt idx="59">
                  <c:v>44099</c:v>
                </c:pt>
                <c:pt idx="60">
                  <c:v>44102</c:v>
                </c:pt>
                <c:pt idx="61">
                  <c:v>44103</c:v>
                </c:pt>
                <c:pt idx="62">
                  <c:v>44104</c:v>
                </c:pt>
                <c:pt idx="63">
                  <c:v>44105</c:v>
                </c:pt>
                <c:pt idx="64">
                  <c:v>44106</c:v>
                </c:pt>
                <c:pt idx="65">
                  <c:v>44109</c:v>
                </c:pt>
                <c:pt idx="66">
                  <c:v>44110</c:v>
                </c:pt>
                <c:pt idx="67">
                  <c:v>44111</c:v>
                </c:pt>
                <c:pt idx="68">
                  <c:v>44112</c:v>
                </c:pt>
                <c:pt idx="69">
                  <c:v>44113</c:v>
                </c:pt>
                <c:pt idx="70">
                  <c:v>44116</c:v>
                </c:pt>
                <c:pt idx="71">
                  <c:v>44117</c:v>
                </c:pt>
                <c:pt idx="72">
                  <c:v>44118</c:v>
                </c:pt>
                <c:pt idx="73">
                  <c:v>44119</c:v>
                </c:pt>
                <c:pt idx="74">
                  <c:v>44120</c:v>
                </c:pt>
                <c:pt idx="75">
                  <c:v>44123</c:v>
                </c:pt>
                <c:pt idx="76">
                  <c:v>44124</c:v>
                </c:pt>
                <c:pt idx="77">
                  <c:v>44125</c:v>
                </c:pt>
                <c:pt idx="78">
                  <c:v>44126</c:v>
                </c:pt>
                <c:pt idx="79">
                  <c:v>44127</c:v>
                </c:pt>
                <c:pt idx="80">
                  <c:v>44130</c:v>
                </c:pt>
                <c:pt idx="81">
                  <c:v>44131</c:v>
                </c:pt>
                <c:pt idx="82">
                  <c:v>44132</c:v>
                </c:pt>
                <c:pt idx="83">
                  <c:v>44133</c:v>
                </c:pt>
                <c:pt idx="84">
                  <c:v>44134</c:v>
                </c:pt>
                <c:pt idx="85">
                  <c:v>44137</c:v>
                </c:pt>
                <c:pt idx="86">
                  <c:v>44138</c:v>
                </c:pt>
                <c:pt idx="87">
                  <c:v>44139</c:v>
                </c:pt>
                <c:pt idx="88">
                  <c:v>44140</c:v>
                </c:pt>
                <c:pt idx="89">
                  <c:v>44141</c:v>
                </c:pt>
                <c:pt idx="90">
                  <c:v>44144</c:v>
                </c:pt>
                <c:pt idx="91">
                  <c:v>44145</c:v>
                </c:pt>
                <c:pt idx="92">
                  <c:v>44146</c:v>
                </c:pt>
                <c:pt idx="93">
                  <c:v>44147</c:v>
                </c:pt>
                <c:pt idx="94">
                  <c:v>44148</c:v>
                </c:pt>
                <c:pt idx="95">
                  <c:v>44151</c:v>
                </c:pt>
                <c:pt idx="96">
                  <c:v>44152</c:v>
                </c:pt>
                <c:pt idx="97">
                  <c:v>44153</c:v>
                </c:pt>
                <c:pt idx="98">
                  <c:v>44154</c:v>
                </c:pt>
                <c:pt idx="99">
                  <c:v>44155</c:v>
                </c:pt>
                <c:pt idx="100">
                  <c:v>44158</c:v>
                </c:pt>
                <c:pt idx="101">
                  <c:v>44159</c:v>
                </c:pt>
                <c:pt idx="102">
                  <c:v>44160</c:v>
                </c:pt>
                <c:pt idx="103">
                  <c:v>44162</c:v>
                </c:pt>
                <c:pt idx="104">
                  <c:v>44165</c:v>
                </c:pt>
                <c:pt idx="105">
                  <c:v>44166</c:v>
                </c:pt>
                <c:pt idx="106">
                  <c:v>44167</c:v>
                </c:pt>
                <c:pt idx="107">
                  <c:v>44168</c:v>
                </c:pt>
                <c:pt idx="108">
                  <c:v>44169</c:v>
                </c:pt>
                <c:pt idx="109">
                  <c:v>44172</c:v>
                </c:pt>
                <c:pt idx="110">
                  <c:v>44173</c:v>
                </c:pt>
                <c:pt idx="111">
                  <c:v>44174</c:v>
                </c:pt>
                <c:pt idx="112">
                  <c:v>44175</c:v>
                </c:pt>
                <c:pt idx="113">
                  <c:v>44176</c:v>
                </c:pt>
                <c:pt idx="114">
                  <c:v>44179</c:v>
                </c:pt>
                <c:pt idx="115">
                  <c:v>44180</c:v>
                </c:pt>
                <c:pt idx="116">
                  <c:v>44181</c:v>
                </c:pt>
                <c:pt idx="117">
                  <c:v>44182</c:v>
                </c:pt>
                <c:pt idx="118">
                  <c:v>44183</c:v>
                </c:pt>
                <c:pt idx="119">
                  <c:v>44186</c:v>
                </c:pt>
                <c:pt idx="120">
                  <c:v>44187</c:v>
                </c:pt>
                <c:pt idx="121">
                  <c:v>44188</c:v>
                </c:pt>
                <c:pt idx="122">
                  <c:v>44189</c:v>
                </c:pt>
                <c:pt idx="123">
                  <c:v>44193</c:v>
                </c:pt>
                <c:pt idx="124">
                  <c:v>44194</c:v>
                </c:pt>
                <c:pt idx="125">
                  <c:v>44195</c:v>
                </c:pt>
                <c:pt idx="126">
                  <c:v>44196</c:v>
                </c:pt>
                <c:pt idx="127">
                  <c:v>44200</c:v>
                </c:pt>
                <c:pt idx="128">
                  <c:v>44201</c:v>
                </c:pt>
                <c:pt idx="129">
                  <c:v>44202</c:v>
                </c:pt>
                <c:pt idx="130">
                  <c:v>44203</c:v>
                </c:pt>
                <c:pt idx="131">
                  <c:v>44204</c:v>
                </c:pt>
                <c:pt idx="132">
                  <c:v>44207</c:v>
                </c:pt>
                <c:pt idx="133">
                  <c:v>44208</c:v>
                </c:pt>
                <c:pt idx="134">
                  <c:v>44209</c:v>
                </c:pt>
                <c:pt idx="135">
                  <c:v>44210</c:v>
                </c:pt>
                <c:pt idx="136">
                  <c:v>44211</c:v>
                </c:pt>
                <c:pt idx="137">
                  <c:v>44215</c:v>
                </c:pt>
                <c:pt idx="138">
                  <c:v>44216</c:v>
                </c:pt>
                <c:pt idx="139">
                  <c:v>44217</c:v>
                </c:pt>
                <c:pt idx="140">
                  <c:v>44218</c:v>
                </c:pt>
                <c:pt idx="141">
                  <c:v>44221</c:v>
                </c:pt>
                <c:pt idx="142">
                  <c:v>44222</c:v>
                </c:pt>
                <c:pt idx="143">
                  <c:v>44223</c:v>
                </c:pt>
                <c:pt idx="144">
                  <c:v>44224</c:v>
                </c:pt>
                <c:pt idx="145">
                  <c:v>44225</c:v>
                </c:pt>
                <c:pt idx="146">
                  <c:v>44228</c:v>
                </c:pt>
                <c:pt idx="147">
                  <c:v>44229</c:v>
                </c:pt>
                <c:pt idx="148">
                  <c:v>44230</c:v>
                </c:pt>
                <c:pt idx="149">
                  <c:v>44231</c:v>
                </c:pt>
                <c:pt idx="150">
                  <c:v>44232</c:v>
                </c:pt>
                <c:pt idx="151">
                  <c:v>44235</c:v>
                </c:pt>
                <c:pt idx="152">
                  <c:v>44236</c:v>
                </c:pt>
                <c:pt idx="153">
                  <c:v>44237</c:v>
                </c:pt>
                <c:pt idx="154">
                  <c:v>44238</c:v>
                </c:pt>
                <c:pt idx="155">
                  <c:v>44239</c:v>
                </c:pt>
                <c:pt idx="156">
                  <c:v>44243</c:v>
                </c:pt>
                <c:pt idx="157">
                  <c:v>44244</c:v>
                </c:pt>
                <c:pt idx="158">
                  <c:v>44245</c:v>
                </c:pt>
                <c:pt idx="159">
                  <c:v>44246</c:v>
                </c:pt>
                <c:pt idx="160">
                  <c:v>44249</c:v>
                </c:pt>
                <c:pt idx="161">
                  <c:v>44250</c:v>
                </c:pt>
                <c:pt idx="162">
                  <c:v>44251</c:v>
                </c:pt>
                <c:pt idx="163">
                  <c:v>44252</c:v>
                </c:pt>
                <c:pt idx="164">
                  <c:v>44253</c:v>
                </c:pt>
                <c:pt idx="165">
                  <c:v>44256</c:v>
                </c:pt>
                <c:pt idx="166">
                  <c:v>44257</c:v>
                </c:pt>
                <c:pt idx="167">
                  <c:v>44258</c:v>
                </c:pt>
                <c:pt idx="168">
                  <c:v>44259</c:v>
                </c:pt>
                <c:pt idx="169">
                  <c:v>44260</c:v>
                </c:pt>
                <c:pt idx="170">
                  <c:v>44263</c:v>
                </c:pt>
                <c:pt idx="171">
                  <c:v>44264</c:v>
                </c:pt>
                <c:pt idx="172">
                  <c:v>44265</c:v>
                </c:pt>
                <c:pt idx="173">
                  <c:v>44266</c:v>
                </c:pt>
                <c:pt idx="174">
                  <c:v>44267</c:v>
                </c:pt>
                <c:pt idx="175">
                  <c:v>44270</c:v>
                </c:pt>
                <c:pt idx="176">
                  <c:v>44271</c:v>
                </c:pt>
                <c:pt idx="177">
                  <c:v>44272</c:v>
                </c:pt>
                <c:pt idx="178">
                  <c:v>44273</c:v>
                </c:pt>
                <c:pt idx="179">
                  <c:v>44274</c:v>
                </c:pt>
                <c:pt idx="180">
                  <c:v>44277</c:v>
                </c:pt>
                <c:pt idx="181">
                  <c:v>44278</c:v>
                </c:pt>
                <c:pt idx="182">
                  <c:v>44279</c:v>
                </c:pt>
                <c:pt idx="183">
                  <c:v>44280</c:v>
                </c:pt>
                <c:pt idx="184">
                  <c:v>44281</c:v>
                </c:pt>
                <c:pt idx="185">
                  <c:v>44284</c:v>
                </c:pt>
                <c:pt idx="186">
                  <c:v>44285</c:v>
                </c:pt>
                <c:pt idx="187">
                  <c:v>44286</c:v>
                </c:pt>
                <c:pt idx="188">
                  <c:v>44287</c:v>
                </c:pt>
                <c:pt idx="189">
                  <c:v>44291</c:v>
                </c:pt>
                <c:pt idx="190">
                  <c:v>44292</c:v>
                </c:pt>
                <c:pt idx="191">
                  <c:v>44293</c:v>
                </c:pt>
                <c:pt idx="192">
                  <c:v>44294</c:v>
                </c:pt>
                <c:pt idx="193">
                  <c:v>44295</c:v>
                </c:pt>
                <c:pt idx="194">
                  <c:v>44298</c:v>
                </c:pt>
                <c:pt idx="195">
                  <c:v>44299</c:v>
                </c:pt>
                <c:pt idx="196">
                  <c:v>44300</c:v>
                </c:pt>
                <c:pt idx="197">
                  <c:v>44301</c:v>
                </c:pt>
                <c:pt idx="198">
                  <c:v>44302</c:v>
                </c:pt>
                <c:pt idx="199">
                  <c:v>44305</c:v>
                </c:pt>
                <c:pt idx="200">
                  <c:v>44306</c:v>
                </c:pt>
                <c:pt idx="201">
                  <c:v>44307</c:v>
                </c:pt>
                <c:pt idx="202">
                  <c:v>44308</c:v>
                </c:pt>
                <c:pt idx="203">
                  <c:v>44309</c:v>
                </c:pt>
                <c:pt idx="204">
                  <c:v>44312</c:v>
                </c:pt>
                <c:pt idx="205">
                  <c:v>44313</c:v>
                </c:pt>
                <c:pt idx="206">
                  <c:v>44314</c:v>
                </c:pt>
                <c:pt idx="207">
                  <c:v>44315</c:v>
                </c:pt>
                <c:pt idx="208">
                  <c:v>44316</c:v>
                </c:pt>
                <c:pt idx="209">
                  <c:v>44319</c:v>
                </c:pt>
                <c:pt idx="210">
                  <c:v>44320</c:v>
                </c:pt>
                <c:pt idx="211">
                  <c:v>44321</c:v>
                </c:pt>
                <c:pt idx="212">
                  <c:v>44322</c:v>
                </c:pt>
                <c:pt idx="213">
                  <c:v>44323</c:v>
                </c:pt>
                <c:pt idx="214">
                  <c:v>44326</c:v>
                </c:pt>
                <c:pt idx="215">
                  <c:v>44327</c:v>
                </c:pt>
                <c:pt idx="216">
                  <c:v>44328</c:v>
                </c:pt>
                <c:pt idx="217">
                  <c:v>44329</c:v>
                </c:pt>
                <c:pt idx="218">
                  <c:v>44330</c:v>
                </c:pt>
                <c:pt idx="219">
                  <c:v>44333</c:v>
                </c:pt>
                <c:pt idx="220">
                  <c:v>44334</c:v>
                </c:pt>
                <c:pt idx="221">
                  <c:v>44335</c:v>
                </c:pt>
                <c:pt idx="222">
                  <c:v>44336</c:v>
                </c:pt>
                <c:pt idx="223">
                  <c:v>44337</c:v>
                </c:pt>
                <c:pt idx="224">
                  <c:v>44340</c:v>
                </c:pt>
                <c:pt idx="225">
                  <c:v>44341</c:v>
                </c:pt>
                <c:pt idx="226">
                  <c:v>44342</c:v>
                </c:pt>
                <c:pt idx="227">
                  <c:v>44343</c:v>
                </c:pt>
                <c:pt idx="228">
                  <c:v>44344</c:v>
                </c:pt>
                <c:pt idx="229">
                  <c:v>44348</c:v>
                </c:pt>
                <c:pt idx="230">
                  <c:v>44349</c:v>
                </c:pt>
                <c:pt idx="231">
                  <c:v>44350</c:v>
                </c:pt>
                <c:pt idx="232">
                  <c:v>44351</c:v>
                </c:pt>
                <c:pt idx="233">
                  <c:v>44354</c:v>
                </c:pt>
                <c:pt idx="234">
                  <c:v>44355</c:v>
                </c:pt>
                <c:pt idx="235">
                  <c:v>44356</c:v>
                </c:pt>
                <c:pt idx="236">
                  <c:v>44357</c:v>
                </c:pt>
                <c:pt idx="237">
                  <c:v>44358</c:v>
                </c:pt>
                <c:pt idx="238">
                  <c:v>44361</c:v>
                </c:pt>
                <c:pt idx="239">
                  <c:v>44362</c:v>
                </c:pt>
                <c:pt idx="240">
                  <c:v>44363</c:v>
                </c:pt>
                <c:pt idx="241">
                  <c:v>44364</c:v>
                </c:pt>
                <c:pt idx="242">
                  <c:v>44365</c:v>
                </c:pt>
                <c:pt idx="243">
                  <c:v>44368</c:v>
                </c:pt>
                <c:pt idx="244">
                  <c:v>44369</c:v>
                </c:pt>
                <c:pt idx="245">
                  <c:v>44370</c:v>
                </c:pt>
                <c:pt idx="246">
                  <c:v>44371</c:v>
                </c:pt>
                <c:pt idx="247">
                  <c:v>44372</c:v>
                </c:pt>
                <c:pt idx="248">
                  <c:v>44375</c:v>
                </c:pt>
                <c:pt idx="249">
                  <c:v>44376</c:v>
                </c:pt>
                <c:pt idx="250">
                  <c:v>44377</c:v>
                </c:pt>
                <c:pt idx="251">
                  <c:v>44378</c:v>
                </c:pt>
                <c:pt idx="252">
                  <c:v>44379</c:v>
                </c:pt>
                <c:pt idx="253">
                  <c:v>44383</c:v>
                </c:pt>
                <c:pt idx="254">
                  <c:v>44384</c:v>
                </c:pt>
                <c:pt idx="255">
                  <c:v>44385</c:v>
                </c:pt>
                <c:pt idx="256">
                  <c:v>44386</c:v>
                </c:pt>
                <c:pt idx="257">
                  <c:v>44389</c:v>
                </c:pt>
                <c:pt idx="258">
                  <c:v>44390</c:v>
                </c:pt>
                <c:pt idx="259">
                  <c:v>44391</c:v>
                </c:pt>
                <c:pt idx="260">
                  <c:v>44392</c:v>
                </c:pt>
                <c:pt idx="261">
                  <c:v>44393</c:v>
                </c:pt>
                <c:pt idx="262">
                  <c:v>44396</c:v>
                </c:pt>
                <c:pt idx="263">
                  <c:v>44397</c:v>
                </c:pt>
                <c:pt idx="264">
                  <c:v>44398</c:v>
                </c:pt>
                <c:pt idx="265">
                  <c:v>44399</c:v>
                </c:pt>
                <c:pt idx="266">
                  <c:v>44400</c:v>
                </c:pt>
                <c:pt idx="267">
                  <c:v>44403</c:v>
                </c:pt>
                <c:pt idx="268">
                  <c:v>44404</c:v>
                </c:pt>
                <c:pt idx="269">
                  <c:v>44405</c:v>
                </c:pt>
                <c:pt idx="270">
                  <c:v>44406</c:v>
                </c:pt>
                <c:pt idx="271">
                  <c:v>44407</c:v>
                </c:pt>
                <c:pt idx="272">
                  <c:v>44410</c:v>
                </c:pt>
                <c:pt idx="273">
                  <c:v>44411</c:v>
                </c:pt>
                <c:pt idx="274">
                  <c:v>44412</c:v>
                </c:pt>
                <c:pt idx="275">
                  <c:v>44413</c:v>
                </c:pt>
                <c:pt idx="276">
                  <c:v>44414</c:v>
                </c:pt>
                <c:pt idx="277">
                  <c:v>44417</c:v>
                </c:pt>
                <c:pt idx="278">
                  <c:v>44418</c:v>
                </c:pt>
                <c:pt idx="279">
                  <c:v>44419</c:v>
                </c:pt>
                <c:pt idx="280">
                  <c:v>44420</c:v>
                </c:pt>
                <c:pt idx="281">
                  <c:v>44421</c:v>
                </c:pt>
                <c:pt idx="282">
                  <c:v>44424</c:v>
                </c:pt>
                <c:pt idx="283">
                  <c:v>44425</c:v>
                </c:pt>
                <c:pt idx="284">
                  <c:v>44426</c:v>
                </c:pt>
                <c:pt idx="285">
                  <c:v>44427</c:v>
                </c:pt>
                <c:pt idx="286">
                  <c:v>44428</c:v>
                </c:pt>
                <c:pt idx="287">
                  <c:v>44431</c:v>
                </c:pt>
                <c:pt idx="288">
                  <c:v>44432</c:v>
                </c:pt>
                <c:pt idx="289">
                  <c:v>44433</c:v>
                </c:pt>
                <c:pt idx="290">
                  <c:v>44434</c:v>
                </c:pt>
                <c:pt idx="291">
                  <c:v>44435</c:v>
                </c:pt>
                <c:pt idx="292">
                  <c:v>44438</c:v>
                </c:pt>
                <c:pt idx="293">
                  <c:v>44439</c:v>
                </c:pt>
                <c:pt idx="294">
                  <c:v>44440</c:v>
                </c:pt>
                <c:pt idx="295">
                  <c:v>44441</c:v>
                </c:pt>
                <c:pt idx="296">
                  <c:v>44442</c:v>
                </c:pt>
                <c:pt idx="297">
                  <c:v>44446</c:v>
                </c:pt>
                <c:pt idx="298">
                  <c:v>44447</c:v>
                </c:pt>
                <c:pt idx="299">
                  <c:v>44448</c:v>
                </c:pt>
                <c:pt idx="300">
                  <c:v>44449</c:v>
                </c:pt>
                <c:pt idx="301">
                  <c:v>44452</c:v>
                </c:pt>
                <c:pt idx="302">
                  <c:v>44453</c:v>
                </c:pt>
                <c:pt idx="303">
                  <c:v>44454</c:v>
                </c:pt>
                <c:pt idx="304">
                  <c:v>44455</c:v>
                </c:pt>
                <c:pt idx="305">
                  <c:v>44456</c:v>
                </c:pt>
                <c:pt idx="306">
                  <c:v>44459</c:v>
                </c:pt>
                <c:pt idx="307">
                  <c:v>44460</c:v>
                </c:pt>
                <c:pt idx="308">
                  <c:v>44461</c:v>
                </c:pt>
                <c:pt idx="309">
                  <c:v>44462</c:v>
                </c:pt>
                <c:pt idx="310">
                  <c:v>44463</c:v>
                </c:pt>
                <c:pt idx="311">
                  <c:v>44466</c:v>
                </c:pt>
                <c:pt idx="312">
                  <c:v>44467</c:v>
                </c:pt>
                <c:pt idx="313">
                  <c:v>44468</c:v>
                </c:pt>
                <c:pt idx="314">
                  <c:v>44469</c:v>
                </c:pt>
                <c:pt idx="315">
                  <c:v>44470</c:v>
                </c:pt>
                <c:pt idx="316">
                  <c:v>44473</c:v>
                </c:pt>
                <c:pt idx="317">
                  <c:v>44474</c:v>
                </c:pt>
                <c:pt idx="318">
                  <c:v>44475</c:v>
                </c:pt>
                <c:pt idx="319">
                  <c:v>44476</c:v>
                </c:pt>
                <c:pt idx="320">
                  <c:v>44477</c:v>
                </c:pt>
                <c:pt idx="321">
                  <c:v>44480</c:v>
                </c:pt>
                <c:pt idx="322">
                  <c:v>44481</c:v>
                </c:pt>
                <c:pt idx="323">
                  <c:v>44482</c:v>
                </c:pt>
                <c:pt idx="324">
                  <c:v>44483</c:v>
                </c:pt>
                <c:pt idx="325">
                  <c:v>44484</c:v>
                </c:pt>
                <c:pt idx="326">
                  <c:v>44487</c:v>
                </c:pt>
                <c:pt idx="327">
                  <c:v>44488</c:v>
                </c:pt>
                <c:pt idx="328">
                  <c:v>44489</c:v>
                </c:pt>
                <c:pt idx="329">
                  <c:v>44490</c:v>
                </c:pt>
                <c:pt idx="330">
                  <c:v>44491</c:v>
                </c:pt>
                <c:pt idx="331">
                  <c:v>44494</c:v>
                </c:pt>
                <c:pt idx="332">
                  <c:v>44495</c:v>
                </c:pt>
                <c:pt idx="333">
                  <c:v>44496</c:v>
                </c:pt>
                <c:pt idx="334">
                  <c:v>44497</c:v>
                </c:pt>
                <c:pt idx="335">
                  <c:v>44498</c:v>
                </c:pt>
                <c:pt idx="336">
                  <c:v>44501</c:v>
                </c:pt>
                <c:pt idx="337">
                  <c:v>44502</c:v>
                </c:pt>
                <c:pt idx="338">
                  <c:v>44503</c:v>
                </c:pt>
                <c:pt idx="339">
                  <c:v>44504</c:v>
                </c:pt>
                <c:pt idx="340">
                  <c:v>44505</c:v>
                </c:pt>
                <c:pt idx="341">
                  <c:v>44508</c:v>
                </c:pt>
                <c:pt idx="342">
                  <c:v>44509</c:v>
                </c:pt>
                <c:pt idx="343">
                  <c:v>44510</c:v>
                </c:pt>
                <c:pt idx="344">
                  <c:v>44511</c:v>
                </c:pt>
                <c:pt idx="345">
                  <c:v>44512</c:v>
                </c:pt>
                <c:pt idx="346">
                  <c:v>44515</c:v>
                </c:pt>
                <c:pt idx="347">
                  <c:v>44516</c:v>
                </c:pt>
                <c:pt idx="348">
                  <c:v>44517</c:v>
                </c:pt>
                <c:pt idx="349">
                  <c:v>44518</c:v>
                </c:pt>
                <c:pt idx="350">
                  <c:v>44519</c:v>
                </c:pt>
                <c:pt idx="351">
                  <c:v>44522</c:v>
                </c:pt>
                <c:pt idx="352">
                  <c:v>44523</c:v>
                </c:pt>
                <c:pt idx="353">
                  <c:v>44524</c:v>
                </c:pt>
                <c:pt idx="354">
                  <c:v>44526</c:v>
                </c:pt>
                <c:pt idx="355">
                  <c:v>44529</c:v>
                </c:pt>
                <c:pt idx="356">
                  <c:v>44530</c:v>
                </c:pt>
                <c:pt idx="357">
                  <c:v>44531</c:v>
                </c:pt>
                <c:pt idx="358">
                  <c:v>44532</c:v>
                </c:pt>
                <c:pt idx="359">
                  <c:v>44533</c:v>
                </c:pt>
                <c:pt idx="360">
                  <c:v>44536</c:v>
                </c:pt>
                <c:pt idx="361">
                  <c:v>44537</c:v>
                </c:pt>
                <c:pt idx="362">
                  <c:v>44538</c:v>
                </c:pt>
                <c:pt idx="363">
                  <c:v>44539</c:v>
                </c:pt>
                <c:pt idx="364">
                  <c:v>44540</c:v>
                </c:pt>
                <c:pt idx="365">
                  <c:v>44543</c:v>
                </c:pt>
                <c:pt idx="366">
                  <c:v>44544</c:v>
                </c:pt>
                <c:pt idx="367">
                  <c:v>44545</c:v>
                </c:pt>
                <c:pt idx="368">
                  <c:v>44546</c:v>
                </c:pt>
                <c:pt idx="369">
                  <c:v>44547</c:v>
                </c:pt>
                <c:pt idx="370">
                  <c:v>44550</c:v>
                </c:pt>
                <c:pt idx="371">
                  <c:v>44551</c:v>
                </c:pt>
                <c:pt idx="372">
                  <c:v>44552</c:v>
                </c:pt>
                <c:pt idx="373">
                  <c:v>44553</c:v>
                </c:pt>
                <c:pt idx="374">
                  <c:v>44557</c:v>
                </c:pt>
                <c:pt idx="375">
                  <c:v>44558</c:v>
                </c:pt>
                <c:pt idx="376">
                  <c:v>44559</c:v>
                </c:pt>
                <c:pt idx="377">
                  <c:v>44560</c:v>
                </c:pt>
                <c:pt idx="378">
                  <c:v>44561</c:v>
                </c:pt>
                <c:pt idx="379">
                  <c:v>44564</c:v>
                </c:pt>
                <c:pt idx="380">
                  <c:v>44565</c:v>
                </c:pt>
                <c:pt idx="381">
                  <c:v>44566</c:v>
                </c:pt>
                <c:pt idx="382">
                  <c:v>44567</c:v>
                </c:pt>
                <c:pt idx="383">
                  <c:v>44568</c:v>
                </c:pt>
                <c:pt idx="384">
                  <c:v>44571</c:v>
                </c:pt>
                <c:pt idx="385">
                  <c:v>44572</c:v>
                </c:pt>
                <c:pt idx="386">
                  <c:v>44573</c:v>
                </c:pt>
                <c:pt idx="387">
                  <c:v>44574</c:v>
                </c:pt>
                <c:pt idx="388">
                  <c:v>44575</c:v>
                </c:pt>
                <c:pt idx="389">
                  <c:v>44579</c:v>
                </c:pt>
                <c:pt idx="390">
                  <c:v>44580</c:v>
                </c:pt>
                <c:pt idx="391">
                  <c:v>44581</c:v>
                </c:pt>
                <c:pt idx="392">
                  <c:v>44582</c:v>
                </c:pt>
                <c:pt idx="393">
                  <c:v>44585</c:v>
                </c:pt>
                <c:pt idx="394">
                  <c:v>44586</c:v>
                </c:pt>
                <c:pt idx="395">
                  <c:v>44587</c:v>
                </c:pt>
                <c:pt idx="396">
                  <c:v>44588</c:v>
                </c:pt>
                <c:pt idx="397">
                  <c:v>44589</c:v>
                </c:pt>
                <c:pt idx="398">
                  <c:v>44592</c:v>
                </c:pt>
                <c:pt idx="399">
                  <c:v>44593</c:v>
                </c:pt>
                <c:pt idx="400">
                  <c:v>44594</c:v>
                </c:pt>
                <c:pt idx="401">
                  <c:v>44595</c:v>
                </c:pt>
                <c:pt idx="402">
                  <c:v>44596</c:v>
                </c:pt>
                <c:pt idx="403">
                  <c:v>44599</c:v>
                </c:pt>
                <c:pt idx="404">
                  <c:v>44600</c:v>
                </c:pt>
                <c:pt idx="405">
                  <c:v>44601</c:v>
                </c:pt>
                <c:pt idx="406">
                  <c:v>44602</c:v>
                </c:pt>
                <c:pt idx="407">
                  <c:v>44603</c:v>
                </c:pt>
                <c:pt idx="408">
                  <c:v>44606</c:v>
                </c:pt>
                <c:pt idx="409">
                  <c:v>44607</c:v>
                </c:pt>
                <c:pt idx="410">
                  <c:v>44608</c:v>
                </c:pt>
                <c:pt idx="411">
                  <c:v>44609</c:v>
                </c:pt>
                <c:pt idx="412">
                  <c:v>44610</c:v>
                </c:pt>
                <c:pt idx="413">
                  <c:v>44614</c:v>
                </c:pt>
                <c:pt idx="414">
                  <c:v>44615</c:v>
                </c:pt>
                <c:pt idx="415">
                  <c:v>44616</c:v>
                </c:pt>
                <c:pt idx="416">
                  <c:v>44617</c:v>
                </c:pt>
                <c:pt idx="417">
                  <c:v>44620</c:v>
                </c:pt>
                <c:pt idx="418">
                  <c:v>44621</c:v>
                </c:pt>
                <c:pt idx="419">
                  <c:v>44622</c:v>
                </c:pt>
                <c:pt idx="420">
                  <c:v>44623</c:v>
                </c:pt>
                <c:pt idx="421">
                  <c:v>44624</c:v>
                </c:pt>
                <c:pt idx="422">
                  <c:v>44627</c:v>
                </c:pt>
                <c:pt idx="423">
                  <c:v>44628</c:v>
                </c:pt>
                <c:pt idx="424">
                  <c:v>44629</c:v>
                </c:pt>
                <c:pt idx="425">
                  <c:v>44630</c:v>
                </c:pt>
                <c:pt idx="426">
                  <c:v>44631</c:v>
                </c:pt>
                <c:pt idx="427">
                  <c:v>44634</c:v>
                </c:pt>
                <c:pt idx="428">
                  <c:v>44635</c:v>
                </c:pt>
                <c:pt idx="429">
                  <c:v>44636</c:v>
                </c:pt>
                <c:pt idx="430">
                  <c:v>44637</c:v>
                </c:pt>
                <c:pt idx="431">
                  <c:v>44638</c:v>
                </c:pt>
                <c:pt idx="432">
                  <c:v>44641</c:v>
                </c:pt>
                <c:pt idx="433">
                  <c:v>44642</c:v>
                </c:pt>
                <c:pt idx="434">
                  <c:v>44643</c:v>
                </c:pt>
                <c:pt idx="435">
                  <c:v>44644</c:v>
                </c:pt>
                <c:pt idx="436">
                  <c:v>44645</c:v>
                </c:pt>
                <c:pt idx="437">
                  <c:v>44648</c:v>
                </c:pt>
                <c:pt idx="438">
                  <c:v>44649</c:v>
                </c:pt>
                <c:pt idx="439">
                  <c:v>44650</c:v>
                </c:pt>
                <c:pt idx="440">
                  <c:v>44651</c:v>
                </c:pt>
                <c:pt idx="441">
                  <c:v>44652</c:v>
                </c:pt>
                <c:pt idx="442">
                  <c:v>44655</c:v>
                </c:pt>
                <c:pt idx="443">
                  <c:v>44656</c:v>
                </c:pt>
                <c:pt idx="444">
                  <c:v>44657</c:v>
                </c:pt>
                <c:pt idx="445">
                  <c:v>44658</c:v>
                </c:pt>
                <c:pt idx="446">
                  <c:v>44659</c:v>
                </c:pt>
                <c:pt idx="447">
                  <c:v>44662</c:v>
                </c:pt>
                <c:pt idx="448">
                  <c:v>44663</c:v>
                </c:pt>
                <c:pt idx="449">
                  <c:v>44664</c:v>
                </c:pt>
                <c:pt idx="450">
                  <c:v>44665</c:v>
                </c:pt>
                <c:pt idx="451">
                  <c:v>44669</c:v>
                </c:pt>
                <c:pt idx="452">
                  <c:v>44670</c:v>
                </c:pt>
                <c:pt idx="453">
                  <c:v>44671</c:v>
                </c:pt>
                <c:pt idx="454">
                  <c:v>44672</c:v>
                </c:pt>
                <c:pt idx="455">
                  <c:v>44673</c:v>
                </c:pt>
                <c:pt idx="456">
                  <c:v>44676</c:v>
                </c:pt>
                <c:pt idx="457">
                  <c:v>44677</c:v>
                </c:pt>
                <c:pt idx="458">
                  <c:v>44678</c:v>
                </c:pt>
                <c:pt idx="459">
                  <c:v>44679</c:v>
                </c:pt>
                <c:pt idx="460">
                  <c:v>44680</c:v>
                </c:pt>
                <c:pt idx="461">
                  <c:v>44683</c:v>
                </c:pt>
                <c:pt idx="462">
                  <c:v>44684</c:v>
                </c:pt>
                <c:pt idx="463">
                  <c:v>44685</c:v>
                </c:pt>
                <c:pt idx="464">
                  <c:v>44686</c:v>
                </c:pt>
                <c:pt idx="465">
                  <c:v>44687</c:v>
                </c:pt>
                <c:pt idx="466">
                  <c:v>44690</c:v>
                </c:pt>
                <c:pt idx="467">
                  <c:v>44691</c:v>
                </c:pt>
                <c:pt idx="468">
                  <c:v>44692</c:v>
                </c:pt>
                <c:pt idx="469">
                  <c:v>44693</c:v>
                </c:pt>
                <c:pt idx="470">
                  <c:v>44694</c:v>
                </c:pt>
                <c:pt idx="471">
                  <c:v>44697</c:v>
                </c:pt>
                <c:pt idx="472">
                  <c:v>44698</c:v>
                </c:pt>
                <c:pt idx="473">
                  <c:v>44699</c:v>
                </c:pt>
                <c:pt idx="474">
                  <c:v>44700</c:v>
                </c:pt>
                <c:pt idx="475">
                  <c:v>44701</c:v>
                </c:pt>
                <c:pt idx="476">
                  <c:v>44704</c:v>
                </c:pt>
                <c:pt idx="477">
                  <c:v>44705</c:v>
                </c:pt>
                <c:pt idx="478">
                  <c:v>44706</c:v>
                </c:pt>
                <c:pt idx="479">
                  <c:v>44707</c:v>
                </c:pt>
                <c:pt idx="480">
                  <c:v>44708</c:v>
                </c:pt>
                <c:pt idx="481">
                  <c:v>44712</c:v>
                </c:pt>
                <c:pt idx="482">
                  <c:v>44713</c:v>
                </c:pt>
                <c:pt idx="483">
                  <c:v>44714</c:v>
                </c:pt>
                <c:pt idx="484">
                  <c:v>44715</c:v>
                </c:pt>
                <c:pt idx="485">
                  <c:v>44718</c:v>
                </c:pt>
                <c:pt idx="486">
                  <c:v>44719</c:v>
                </c:pt>
                <c:pt idx="487">
                  <c:v>44720</c:v>
                </c:pt>
                <c:pt idx="488">
                  <c:v>44721</c:v>
                </c:pt>
                <c:pt idx="489">
                  <c:v>44722</c:v>
                </c:pt>
                <c:pt idx="490">
                  <c:v>44725</c:v>
                </c:pt>
                <c:pt idx="491">
                  <c:v>44726</c:v>
                </c:pt>
                <c:pt idx="492">
                  <c:v>44727</c:v>
                </c:pt>
                <c:pt idx="493">
                  <c:v>44728</c:v>
                </c:pt>
                <c:pt idx="494">
                  <c:v>44729</c:v>
                </c:pt>
                <c:pt idx="495">
                  <c:v>44733</c:v>
                </c:pt>
                <c:pt idx="496">
                  <c:v>44734</c:v>
                </c:pt>
                <c:pt idx="497">
                  <c:v>44735</c:v>
                </c:pt>
                <c:pt idx="498">
                  <c:v>44736</c:v>
                </c:pt>
                <c:pt idx="499">
                  <c:v>44739</c:v>
                </c:pt>
                <c:pt idx="500">
                  <c:v>44740</c:v>
                </c:pt>
                <c:pt idx="501">
                  <c:v>44741</c:v>
                </c:pt>
                <c:pt idx="502">
                  <c:v>44742</c:v>
                </c:pt>
                <c:pt idx="503">
                  <c:v>44743</c:v>
                </c:pt>
                <c:pt idx="504">
                  <c:v>44747</c:v>
                </c:pt>
                <c:pt idx="505">
                  <c:v>44748</c:v>
                </c:pt>
                <c:pt idx="506">
                  <c:v>44749</c:v>
                </c:pt>
                <c:pt idx="507">
                  <c:v>44750</c:v>
                </c:pt>
                <c:pt idx="508">
                  <c:v>44753</c:v>
                </c:pt>
                <c:pt idx="509">
                  <c:v>44754</c:v>
                </c:pt>
                <c:pt idx="510">
                  <c:v>44755</c:v>
                </c:pt>
                <c:pt idx="511">
                  <c:v>44756</c:v>
                </c:pt>
                <c:pt idx="512">
                  <c:v>44757</c:v>
                </c:pt>
                <c:pt idx="513">
                  <c:v>44760</c:v>
                </c:pt>
                <c:pt idx="514">
                  <c:v>44761</c:v>
                </c:pt>
                <c:pt idx="515">
                  <c:v>44762</c:v>
                </c:pt>
                <c:pt idx="516">
                  <c:v>44763</c:v>
                </c:pt>
                <c:pt idx="517">
                  <c:v>44764</c:v>
                </c:pt>
                <c:pt idx="518">
                  <c:v>44767</c:v>
                </c:pt>
                <c:pt idx="519">
                  <c:v>44768</c:v>
                </c:pt>
                <c:pt idx="520">
                  <c:v>44769</c:v>
                </c:pt>
                <c:pt idx="521">
                  <c:v>44770</c:v>
                </c:pt>
                <c:pt idx="522">
                  <c:v>44771</c:v>
                </c:pt>
                <c:pt idx="523">
                  <c:v>44774</c:v>
                </c:pt>
                <c:pt idx="524">
                  <c:v>44775</c:v>
                </c:pt>
                <c:pt idx="525">
                  <c:v>44776</c:v>
                </c:pt>
                <c:pt idx="526">
                  <c:v>44777</c:v>
                </c:pt>
                <c:pt idx="527">
                  <c:v>44778</c:v>
                </c:pt>
                <c:pt idx="528">
                  <c:v>44781</c:v>
                </c:pt>
                <c:pt idx="529">
                  <c:v>44782</c:v>
                </c:pt>
                <c:pt idx="530">
                  <c:v>44783</c:v>
                </c:pt>
                <c:pt idx="531">
                  <c:v>44784</c:v>
                </c:pt>
                <c:pt idx="532">
                  <c:v>44785</c:v>
                </c:pt>
                <c:pt idx="533">
                  <c:v>44788</c:v>
                </c:pt>
                <c:pt idx="534">
                  <c:v>44789</c:v>
                </c:pt>
                <c:pt idx="535">
                  <c:v>44790</c:v>
                </c:pt>
                <c:pt idx="536">
                  <c:v>44791</c:v>
                </c:pt>
                <c:pt idx="537">
                  <c:v>44792</c:v>
                </c:pt>
                <c:pt idx="538">
                  <c:v>44795</c:v>
                </c:pt>
                <c:pt idx="539">
                  <c:v>44796</c:v>
                </c:pt>
                <c:pt idx="540">
                  <c:v>44797</c:v>
                </c:pt>
                <c:pt idx="541">
                  <c:v>44798</c:v>
                </c:pt>
                <c:pt idx="542">
                  <c:v>44799</c:v>
                </c:pt>
                <c:pt idx="543">
                  <c:v>44802</c:v>
                </c:pt>
                <c:pt idx="544">
                  <c:v>44803</c:v>
                </c:pt>
                <c:pt idx="545">
                  <c:v>44804</c:v>
                </c:pt>
                <c:pt idx="546">
                  <c:v>44805</c:v>
                </c:pt>
                <c:pt idx="547">
                  <c:v>44806</c:v>
                </c:pt>
                <c:pt idx="548">
                  <c:v>44810</c:v>
                </c:pt>
                <c:pt idx="549">
                  <c:v>44811</c:v>
                </c:pt>
                <c:pt idx="550">
                  <c:v>44812</c:v>
                </c:pt>
                <c:pt idx="551">
                  <c:v>44813</c:v>
                </c:pt>
                <c:pt idx="552">
                  <c:v>44816</c:v>
                </c:pt>
                <c:pt idx="553">
                  <c:v>44817</c:v>
                </c:pt>
                <c:pt idx="554">
                  <c:v>44818</c:v>
                </c:pt>
                <c:pt idx="555">
                  <c:v>44819</c:v>
                </c:pt>
                <c:pt idx="556">
                  <c:v>44820</c:v>
                </c:pt>
                <c:pt idx="557">
                  <c:v>44823</c:v>
                </c:pt>
                <c:pt idx="558">
                  <c:v>44824</c:v>
                </c:pt>
                <c:pt idx="559">
                  <c:v>44825</c:v>
                </c:pt>
                <c:pt idx="560">
                  <c:v>44826</c:v>
                </c:pt>
                <c:pt idx="561">
                  <c:v>44827</c:v>
                </c:pt>
                <c:pt idx="562">
                  <c:v>44830</c:v>
                </c:pt>
                <c:pt idx="563">
                  <c:v>44831</c:v>
                </c:pt>
                <c:pt idx="564">
                  <c:v>44832</c:v>
                </c:pt>
                <c:pt idx="565">
                  <c:v>44833</c:v>
                </c:pt>
                <c:pt idx="566">
                  <c:v>44834</c:v>
                </c:pt>
                <c:pt idx="567">
                  <c:v>44837</c:v>
                </c:pt>
                <c:pt idx="568">
                  <c:v>44838</c:v>
                </c:pt>
                <c:pt idx="569">
                  <c:v>44839</c:v>
                </c:pt>
                <c:pt idx="570">
                  <c:v>44840</c:v>
                </c:pt>
                <c:pt idx="571">
                  <c:v>44841</c:v>
                </c:pt>
                <c:pt idx="572">
                  <c:v>44844</c:v>
                </c:pt>
                <c:pt idx="573">
                  <c:v>44845</c:v>
                </c:pt>
                <c:pt idx="574">
                  <c:v>44846</c:v>
                </c:pt>
                <c:pt idx="575">
                  <c:v>44847</c:v>
                </c:pt>
                <c:pt idx="576">
                  <c:v>44848</c:v>
                </c:pt>
                <c:pt idx="577">
                  <c:v>44851</c:v>
                </c:pt>
                <c:pt idx="578">
                  <c:v>44852</c:v>
                </c:pt>
                <c:pt idx="579">
                  <c:v>44853</c:v>
                </c:pt>
                <c:pt idx="580">
                  <c:v>44854</c:v>
                </c:pt>
                <c:pt idx="581">
                  <c:v>44855</c:v>
                </c:pt>
                <c:pt idx="582">
                  <c:v>44858</c:v>
                </c:pt>
                <c:pt idx="583">
                  <c:v>44859</c:v>
                </c:pt>
                <c:pt idx="584">
                  <c:v>44860</c:v>
                </c:pt>
                <c:pt idx="585">
                  <c:v>44861</c:v>
                </c:pt>
                <c:pt idx="586">
                  <c:v>44862</c:v>
                </c:pt>
                <c:pt idx="587">
                  <c:v>44865</c:v>
                </c:pt>
                <c:pt idx="588">
                  <c:v>44866</c:v>
                </c:pt>
                <c:pt idx="589">
                  <c:v>44867</c:v>
                </c:pt>
                <c:pt idx="590">
                  <c:v>44868</c:v>
                </c:pt>
                <c:pt idx="591">
                  <c:v>44869</c:v>
                </c:pt>
                <c:pt idx="592">
                  <c:v>44872</c:v>
                </c:pt>
                <c:pt idx="593">
                  <c:v>44873</c:v>
                </c:pt>
                <c:pt idx="594">
                  <c:v>44874</c:v>
                </c:pt>
                <c:pt idx="595">
                  <c:v>44875</c:v>
                </c:pt>
                <c:pt idx="596">
                  <c:v>44876</c:v>
                </c:pt>
                <c:pt idx="597">
                  <c:v>44879</c:v>
                </c:pt>
                <c:pt idx="598">
                  <c:v>44880</c:v>
                </c:pt>
                <c:pt idx="599">
                  <c:v>44881</c:v>
                </c:pt>
                <c:pt idx="600">
                  <c:v>44882</c:v>
                </c:pt>
                <c:pt idx="601">
                  <c:v>44883</c:v>
                </c:pt>
                <c:pt idx="602">
                  <c:v>44886</c:v>
                </c:pt>
                <c:pt idx="603">
                  <c:v>44887</c:v>
                </c:pt>
                <c:pt idx="604">
                  <c:v>44888</c:v>
                </c:pt>
                <c:pt idx="605">
                  <c:v>44890</c:v>
                </c:pt>
                <c:pt idx="606">
                  <c:v>44893</c:v>
                </c:pt>
                <c:pt idx="607">
                  <c:v>44894</c:v>
                </c:pt>
                <c:pt idx="608">
                  <c:v>44895</c:v>
                </c:pt>
                <c:pt idx="609">
                  <c:v>44896</c:v>
                </c:pt>
                <c:pt idx="610">
                  <c:v>44897</c:v>
                </c:pt>
                <c:pt idx="611">
                  <c:v>44900</c:v>
                </c:pt>
                <c:pt idx="612">
                  <c:v>44901</c:v>
                </c:pt>
                <c:pt idx="613">
                  <c:v>44902</c:v>
                </c:pt>
                <c:pt idx="614">
                  <c:v>44903</c:v>
                </c:pt>
                <c:pt idx="615">
                  <c:v>44904</c:v>
                </c:pt>
                <c:pt idx="616">
                  <c:v>44907</c:v>
                </c:pt>
                <c:pt idx="617">
                  <c:v>44908</c:v>
                </c:pt>
                <c:pt idx="618">
                  <c:v>44909</c:v>
                </c:pt>
                <c:pt idx="619">
                  <c:v>44910</c:v>
                </c:pt>
                <c:pt idx="620">
                  <c:v>44911</c:v>
                </c:pt>
                <c:pt idx="621">
                  <c:v>44914</c:v>
                </c:pt>
                <c:pt idx="622">
                  <c:v>44915</c:v>
                </c:pt>
                <c:pt idx="623">
                  <c:v>44916</c:v>
                </c:pt>
                <c:pt idx="624">
                  <c:v>44917</c:v>
                </c:pt>
                <c:pt idx="625">
                  <c:v>44918</c:v>
                </c:pt>
                <c:pt idx="626">
                  <c:v>44922</c:v>
                </c:pt>
                <c:pt idx="627">
                  <c:v>44923</c:v>
                </c:pt>
                <c:pt idx="628">
                  <c:v>44924</c:v>
                </c:pt>
                <c:pt idx="629">
                  <c:v>44925</c:v>
                </c:pt>
                <c:pt idx="630">
                  <c:v>44929</c:v>
                </c:pt>
                <c:pt idx="631">
                  <c:v>44930</c:v>
                </c:pt>
                <c:pt idx="632">
                  <c:v>44931</c:v>
                </c:pt>
                <c:pt idx="633">
                  <c:v>44932</c:v>
                </c:pt>
                <c:pt idx="634">
                  <c:v>44935</c:v>
                </c:pt>
                <c:pt idx="635">
                  <c:v>44936</c:v>
                </c:pt>
                <c:pt idx="636">
                  <c:v>44937</c:v>
                </c:pt>
                <c:pt idx="637">
                  <c:v>44938</c:v>
                </c:pt>
                <c:pt idx="638">
                  <c:v>44939</c:v>
                </c:pt>
                <c:pt idx="639">
                  <c:v>44943</c:v>
                </c:pt>
                <c:pt idx="640">
                  <c:v>44944</c:v>
                </c:pt>
                <c:pt idx="641">
                  <c:v>44945</c:v>
                </c:pt>
                <c:pt idx="642">
                  <c:v>44946</c:v>
                </c:pt>
                <c:pt idx="643">
                  <c:v>44949</c:v>
                </c:pt>
                <c:pt idx="644">
                  <c:v>44950</c:v>
                </c:pt>
                <c:pt idx="645">
                  <c:v>44951</c:v>
                </c:pt>
                <c:pt idx="646">
                  <c:v>44952</c:v>
                </c:pt>
                <c:pt idx="647">
                  <c:v>44953</c:v>
                </c:pt>
                <c:pt idx="648">
                  <c:v>44956</c:v>
                </c:pt>
                <c:pt idx="649">
                  <c:v>44957</c:v>
                </c:pt>
                <c:pt idx="650">
                  <c:v>44958</c:v>
                </c:pt>
                <c:pt idx="651">
                  <c:v>44959</c:v>
                </c:pt>
                <c:pt idx="652">
                  <c:v>44960</c:v>
                </c:pt>
                <c:pt idx="653">
                  <c:v>44963</c:v>
                </c:pt>
                <c:pt idx="654">
                  <c:v>44964</c:v>
                </c:pt>
                <c:pt idx="655">
                  <c:v>44965</c:v>
                </c:pt>
                <c:pt idx="656">
                  <c:v>44966</c:v>
                </c:pt>
                <c:pt idx="657">
                  <c:v>44967</c:v>
                </c:pt>
                <c:pt idx="658">
                  <c:v>44970</c:v>
                </c:pt>
                <c:pt idx="659">
                  <c:v>44971</c:v>
                </c:pt>
                <c:pt idx="660">
                  <c:v>44972</c:v>
                </c:pt>
                <c:pt idx="661">
                  <c:v>44973</c:v>
                </c:pt>
                <c:pt idx="662">
                  <c:v>44974</c:v>
                </c:pt>
                <c:pt idx="663">
                  <c:v>44978</c:v>
                </c:pt>
                <c:pt idx="664">
                  <c:v>44979</c:v>
                </c:pt>
                <c:pt idx="665">
                  <c:v>44980</c:v>
                </c:pt>
                <c:pt idx="666">
                  <c:v>44981</c:v>
                </c:pt>
                <c:pt idx="667">
                  <c:v>44984</c:v>
                </c:pt>
                <c:pt idx="668">
                  <c:v>44985</c:v>
                </c:pt>
                <c:pt idx="669">
                  <c:v>44986</c:v>
                </c:pt>
                <c:pt idx="670">
                  <c:v>44987</c:v>
                </c:pt>
                <c:pt idx="671">
                  <c:v>44988</c:v>
                </c:pt>
                <c:pt idx="672">
                  <c:v>44991</c:v>
                </c:pt>
                <c:pt idx="673">
                  <c:v>44992</c:v>
                </c:pt>
                <c:pt idx="674">
                  <c:v>44993</c:v>
                </c:pt>
                <c:pt idx="675">
                  <c:v>44994</c:v>
                </c:pt>
                <c:pt idx="676">
                  <c:v>44995</c:v>
                </c:pt>
                <c:pt idx="677">
                  <c:v>44998</c:v>
                </c:pt>
                <c:pt idx="678">
                  <c:v>44999</c:v>
                </c:pt>
                <c:pt idx="679">
                  <c:v>45000</c:v>
                </c:pt>
                <c:pt idx="680">
                  <c:v>45001</c:v>
                </c:pt>
                <c:pt idx="681">
                  <c:v>45002</c:v>
                </c:pt>
                <c:pt idx="682">
                  <c:v>45005</c:v>
                </c:pt>
                <c:pt idx="683">
                  <c:v>45006</c:v>
                </c:pt>
                <c:pt idx="684">
                  <c:v>45007</c:v>
                </c:pt>
                <c:pt idx="685">
                  <c:v>45008</c:v>
                </c:pt>
                <c:pt idx="686">
                  <c:v>45009</c:v>
                </c:pt>
                <c:pt idx="687">
                  <c:v>45012</c:v>
                </c:pt>
                <c:pt idx="688">
                  <c:v>45013</c:v>
                </c:pt>
                <c:pt idx="689">
                  <c:v>45014</c:v>
                </c:pt>
                <c:pt idx="690">
                  <c:v>45015</c:v>
                </c:pt>
                <c:pt idx="691">
                  <c:v>45016</c:v>
                </c:pt>
                <c:pt idx="692">
                  <c:v>45019</c:v>
                </c:pt>
                <c:pt idx="693">
                  <c:v>45020</c:v>
                </c:pt>
                <c:pt idx="694">
                  <c:v>45021</c:v>
                </c:pt>
                <c:pt idx="695">
                  <c:v>45022</c:v>
                </c:pt>
                <c:pt idx="696">
                  <c:v>45026</c:v>
                </c:pt>
                <c:pt idx="697">
                  <c:v>45027</c:v>
                </c:pt>
                <c:pt idx="698">
                  <c:v>45028</c:v>
                </c:pt>
                <c:pt idx="699">
                  <c:v>45029</c:v>
                </c:pt>
                <c:pt idx="700">
                  <c:v>45030</c:v>
                </c:pt>
                <c:pt idx="701">
                  <c:v>45033</c:v>
                </c:pt>
                <c:pt idx="702">
                  <c:v>45034</c:v>
                </c:pt>
                <c:pt idx="703">
                  <c:v>45035</c:v>
                </c:pt>
                <c:pt idx="704">
                  <c:v>45036</c:v>
                </c:pt>
                <c:pt idx="705">
                  <c:v>45037</c:v>
                </c:pt>
                <c:pt idx="706">
                  <c:v>45040</c:v>
                </c:pt>
                <c:pt idx="707">
                  <c:v>45041</c:v>
                </c:pt>
                <c:pt idx="708">
                  <c:v>45042</c:v>
                </c:pt>
                <c:pt idx="709">
                  <c:v>45043</c:v>
                </c:pt>
                <c:pt idx="710">
                  <c:v>45044</c:v>
                </c:pt>
                <c:pt idx="711">
                  <c:v>45047</c:v>
                </c:pt>
                <c:pt idx="712">
                  <c:v>45048</c:v>
                </c:pt>
                <c:pt idx="713">
                  <c:v>45049</c:v>
                </c:pt>
                <c:pt idx="714">
                  <c:v>45050</c:v>
                </c:pt>
                <c:pt idx="715">
                  <c:v>45051</c:v>
                </c:pt>
                <c:pt idx="716">
                  <c:v>45054</c:v>
                </c:pt>
                <c:pt idx="717">
                  <c:v>45055</c:v>
                </c:pt>
                <c:pt idx="718">
                  <c:v>45056</c:v>
                </c:pt>
                <c:pt idx="719">
                  <c:v>45057</c:v>
                </c:pt>
                <c:pt idx="720">
                  <c:v>45058</c:v>
                </c:pt>
                <c:pt idx="721">
                  <c:v>45061</c:v>
                </c:pt>
                <c:pt idx="722">
                  <c:v>45062</c:v>
                </c:pt>
                <c:pt idx="723">
                  <c:v>45063</c:v>
                </c:pt>
                <c:pt idx="724">
                  <c:v>45064</c:v>
                </c:pt>
                <c:pt idx="725">
                  <c:v>45065</c:v>
                </c:pt>
                <c:pt idx="726">
                  <c:v>45068</c:v>
                </c:pt>
                <c:pt idx="727">
                  <c:v>45069</c:v>
                </c:pt>
                <c:pt idx="728">
                  <c:v>45070</c:v>
                </c:pt>
                <c:pt idx="729">
                  <c:v>45071</c:v>
                </c:pt>
                <c:pt idx="730">
                  <c:v>45072</c:v>
                </c:pt>
                <c:pt idx="731">
                  <c:v>45076</c:v>
                </c:pt>
                <c:pt idx="732">
                  <c:v>45077</c:v>
                </c:pt>
                <c:pt idx="733">
                  <c:v>45078</c:v>
                </c:pt>
                <c:pt idx="734">
                  <c:v>45079</c:v>
                </c:pt>
                <c:pt idx="735">
                  <c:v>45082</c:v>
                </c:pt>
                <c:pt idx="736">
                  <c:v>45083</c:v>
                </c:pt>
                <c:pt idx="737">
                  <c:v>45084</c:v>
                </c:pt>
                <c:pt idx="738">
                  <c:v>45085</c:v>
                </c:pt>
                <c:pt idx="739">
                  <c:v>45086</c:v>
                </c:pt>
                <c:pt idx="740">
                  <c:v>45089</c:v>
                </c:pt>
                <c:pt idx="741">
                  <c:v>45090</c:v>
                </c:pt>
                <c:pt idx="742">
                  <c:v>45091</c:v>
                </c:pt>
                <c:pt idx="743">
                  <c:v>45092</c:v>
                </c:pt>
                <c:pt idx="744">
                  <c:v>45093</c:v>
                </c:pt>
                <c:pt idx="745">
                  <c:v>45097</c:v>
                </c:pt>
                <c:pt idx="746">
                  <c:v>45098</c:v>
                </c:pt>
                <c:pt idx="747">
                  <c:v>45099</c:v>
                </c:pt>
                <c:pt idx="748">
                  <c:v>45100</c:v>
                </c:pt>
                <c:pt idx="749">
                  <c:v>45103</c:v>
                </c:pt>
                <c:pt idx="750">
                  <c:v>45104</c:v>
                </c:pt>
                <c:pt idx="751">
                  <c:v>45105</c:v>
                </c:pt>
                <c:pt idx="752">
                  <c:v>45106</c:v>
                </c:pt>
                <c:pt idx="753">
                  <c:v>45107</c:v>
                </c:pt>
                <c:pt idx="754">
                  <c:v>45110</c:v>
                </c:pt>
                <c:pt idx="755">
                  <c:v>45112</c:v>
                </c:pt>
                <c:pt idx="756">
                  <c:v>45113</c:v>
                </c:pt>
                <c:pt idx="757">
                  <c:v>45114</c:v>
                </c:pt>
                <c:pt idx="758">
                  <c:v>45117</c:v>
                </c:pt>
                <c:pt idx="759">
                  <c:v>45118</c:v>
                </c:pt>
                <c:pt idx="760">
                  <c:v>45119</c:v>
                </c:pt>
                <c:pt idx="761">
                  <c:v>45120</c:v>
                </c:pt>
                <c:pt idx="762">
                  <c:v>45121</c:v>
                </c:pt>
                <c:pt idx="763">
                  <c:v>45124</c:v>
                </c:pt>
                <c:pt idx="764">
                  <c:v>45125</c:v>
                </c:pt>
                <c:pt idx="765">
                  <c:v>45126</c:v>
                </c:pt>
                <c:pt idx="766">
                  <c:v>45127</c:v>
                </c:pt>
                <c:pt idx="767">
                  <c:v>45128</c:v>
                </c:pt>
                <c:pt idx="768">
                  <c:v>45131</c:v>
                </c:pt>
                <c:pt idx="769">
                  <c:v>45132</c:v>
                </c:pt>
                <c:pt idx="770">
                  <c:v>45133</c:v>
                </c:pt>
                <c:pt idx="771">
                  <c:v>45134</c:v>
                </c:pt>
                <c:pt idx="772">
                  <c:v>45135</c:v>
                </c:pt>
                <c:pt idx="773">
                  <c:v>45138</c:v>
                </c:pt>
                <c:pt idx="774">
                  <c:v>45139</c:v>
                </c:pt>
                <c:pt idx="775">
                  <c:v>45140</c:v>
                </c:pt>
                <c:pt idx="776">
                  <c:v>45141</c:v>
                </c:pt>
                <c:pt idx="777">
                  <c:v>45142</c:v>
                </c:pt>
                <c:pt idx="778">
                  <c:v>45145</c:v>
                </c:pt>
                <c:pt idx="779">
                  <c:v>45146</c:v>
                </c:pt>
                <c:pt idx="780">
                  <c:v>45147</c:v>
                </c:pt>
                <c:pt idx="781">
                  <c:v>45148</c:v>
                </c:pt>
                <c:pt idx="782">
                  <c:v>45149</c:v>
                </c:pt>
                <c:pt idx="783">
                  <c:v>45152</c:v>
                </c:pt>
                <c:pt idx="784">
                  <c:v>45153</c:v>
                </c:pt>
                <c:pt idx="785">
                  <c:v>45154</c:v>
                </c:pt>
                <c:pt idx="786">
                  <c:v>45155</c:v>
                </c:pt>
                <c:pt idx="787">
                  <c:v>45156</c:v>
                </c:pt>
                <c:pt idx="788">
                  <c:v>45159</c:v>
                </c:pt>
                <c:pt idx="789">
                  <c:v>45160</c:v>
                </c:pt>
                <c:pt idx="790">
                  <c:v>45161</c:v>
                </c:pt>
                <c:pt idx="791">
                  <c:v>45162</c:v>
                </c:pt>
                <c:pt idx="792">
                  <c:v>45163</c:v>
                </c:pt>
                <c:pt idx="793">
                  <c:v>45166</c:v>
                </c:pt>
                <c:pt idx="794">
                  <c:v>45167</c:v>
                </c:pt>
                <c:pt idx="795">
                  <c:v>45168</c:v>
                </c:pt>
                <c:pt idx="796">
                  <c:v>45169</c:v>
                </c:pt>
                <c:pt idx="797">
                  <c:v>45170</c:v>
                </c:pt>
                <c:pt idx="798">
                  <c:v>45174</c:v>
                </c:pt>
                <c:pt idx="799">
                  <c:v>45175</c:v>
                </c:pt>
                <c:pt idx="800">
                  <c:v>45176</c:v>
                </c:pt>
                <c:pt idx="801">
                  <c:v>45177</c:v>
                </c:pt>
                <c:pt idx="802">
                  <c:v>45180</c:v>
                </c:pt>
                <c:pt idx="803">
                  <c:v>45181</c:v>
                </c:pt>
                <c:pt idx="804">
                  <c:v>45182</c:v>
                </c:pt>
                <c:pt idx="805">
                  <c:v>45183</c:v>
                </c:pt>
                <c:pt idx="806">
                  <c:v>45184</c:v>
                </c:pt>
                <c:pt idx="807">
                  <c:v>45187</c:v>
                </c:pt>
                <c:pt idx="808">
                  <c:v>45188</c:v>
                </c:pt>
                <c:pt idx="809">
                  <c:v>45189</c:v>
                </c:pt>
                <c:pt idx="810">
                  <c:v>45190</c:v>
                </c:pt>
                <c:pt idx="811">
                  <c:v>45191</c:v>
                </c:pt>
                <c:pt idx="812">
                  <c:v>45194</c:v>
                </c:pt>
                <c:pt idx="813">
                  <c:v>45195</c:v>
                </c:pt>
                <c:pt idx="814">
                  <c:v>45196</c:v>
                </c:pt>
                <c:pt idx="815">
                  <c:v>45197</c:v>
                </c:pt>
                <c:pt idx="816">
                  <c:v>45198</c:v>
                </c:pt>
                <c:pt idx="817">
                  <c:v>45201</c:v>
                </c:pt>
                <c:pt idx="818">
                  <c:v>45202</c:v>
                </c:pt>
                <c:pt idx="819">
                  <c:v>45203</c:v>
                </c:pt>
                <c:pt idx="820">
                  <c:v>45204</c:v>
                </c:pt>
                <c:pt idx="821">
                  <c:v>45205</c:v>
                </c:pt>
                <c:pt idx="822">
                  <c:v>45208</c:v>
                </c:pt>
                <c:pt idx="823">
                  <c:v>45209</c:v>
                </c:pt>
                <c:pt idx="824">
                  <c:v>45210</c:v>
                </c:pt>
                <c:pt idx="825">
                  <c:v>45211</c:v>
                </c:pt>
                <c:pt idx="826">
                  <c:v>45212</c:v>
                </c:pt>
                <c:pt idx="827">
                  <c:v>45215</c:v>
                </c:pt>
                <c:pt idx="828">
                  <c:v>45216</c:v>
                </c:pt>
                <c:pt idx="829">
                  <c:v>45217</c:v>
                </c:pt>
                <c:pt idx="830">
                  <c:v>45218</c:v>
                </c:pt>
                <c:pt idx="831">
                  <c:v>45219</c:v>
                </c:pt>
                <c:pt idx="832">
                  <c:v>45222</c:v>
                </c:pt>
                <c:pt idx="833">
                  <c:v>45223</c:v>
                </c:pt>
                <c:pt idx="834">
                  <c:v>45224</c:v>
                </c:pt>
                <c:pt idx="835">
                  <c:v>45225</c:v>
                </c:pt>
                <c:pt idx="836">
                  <c:v>45226</c:v>
                </c:pt>
                <c:pt idx="837">
                  <c:v>45229</c:v>
                </c:pt>
                <c:pt idx="838">
                  <c:v>45230</c:v>
                </c:pt>
                <c:pt idx="839">
                  <c:v>45231</c:v>
                </c:pt>
                <c:pt idx="840">
                  <c:v>45232</c:v>
                </c:pt>
                <c:pt idx="841">
                  <c:v>45233</c:v>
                </c:pt>
                <c:pt idx="842">
                  <c:v>45236</c:v>
                </c:pt>
                <c:pt idx="843">
                  <c:v>45237</c:v>
                </c:pt>
                <c:pt idx="844">
                  <c:v>45238</c:v>
                </c:pt>
                <c:pt idx="845">
                  <c:v>45239</c:v>
                </c:pt>
                <c:pt idx="846">
                  <c:v>45240</c:v>
                </c:pt>
                <c:pt idx="847">
                  <c:v>45243</c:v>
                </c:pt>
                <c:pt idx="848">
                  <c:v>45244</c:v>
                </c:pt>
                <c:pt idx="849">
                  <c:v>45245</c:v>
                </c:pt>
                <c:pt idx="850">
                  <c:v>45246</c:v>
                </c:pt>
                <c:pt idx="851">
                  <c:v>45247</c:v>
                </c:pt>
                <c:pt idx="852">
                  <c:v>45250</c:v>
                </c:pt>
                <c:pt idx="853">
                  <c:v>45251</c:v>
                </c:pt>
                <c:pt idx="854">
                  <c:v>45252</c:v>
                </c:pt>
                <c:pt idx="855">
                  <c:v>45254</c:v>
                </c:pt>
                <c:pt idx="856">
                  <c:v>45257</c:v>
                </c:pt>
                <c:pt idx="857">
                  <c:v>45258</c:v>
                </c:pt>
                <c:pt idx="858">
                  <c:v>45259</c:v>
                </c:pt>
                <c:pt idx="859">
                  <c:v>45260</c:v>
                </c:pt>
                <c:pt idx="860">
                  <c:v>45261</c:v>
                </c:pt>
                <c:pt idx="861">
                  <c:v>45264</c:v>
                </c:pt>
                <c:pt idx="862">
                  <c:v>45265</c:v>
                </c:pt>
                <c:pt idx="863">
                  <c:v>45266</c:v>
                </c:pt>
                <c:pt idx="864">
                  <c:v>45267</c:v>
                </c:pt>
                <c:pt idx="865">
                  <c:v>45268</c:v>
                </c:pt>
                <c:pt idx="866">
                  <c:v>45271</c:v>
                </c:pt>
                <c:pt idx="867">
                  <c:v>45272</c:v>
                </c:pt>
                <c:pt idx="868">
                  <c:v>45273</c:v>
                </c:pt>
                <c:pt idx="869">
                  <c:v>45274</c:v>
                </c:pt>
                <c:pt idx="870">
                  <c:v>45275</c:v>
                </c:pt>
                <c:pt idx="871">
                  <c:v>45278</c:v>
                </c:pt>
                <c:pt idx="872">
                  <c:v>45279</c:v>
                </c:pt>
                <c:pt idx="873">
                  <c:v>45280</c:v>
                </c:pt>
                <c:pt idx="874">
                  <c:v>45281</c:v>
                </c:pt>
                <c:pt idx="875">
                  <c:v>45282</c:v>
                </c:pt>
                <c:pt idx="876">
                  <c:v>45286</c:v>
                </c:pt>
                <c:pt idx="877">
                  <c:v>45287</c:v>
                </c:pt>
                <c:pt idx="878">
                  <c:v>45288</c:v>
                </c:pt>
                <c:pt idx="879">
                  <c:v>45289</c:v>
                </c:pt>
                <c:pt idx="880">
                  <c:v>45293</c:v>
                </c:pt>
                <c:pt idx="881">
                  <c:v>45294</c:v>
                </c:pt>
                <c:pt idx="882">
                  <c:v>45295</c:v>
                </c:pt>
                <c:pt idx="883">
                  <c:v>45296</c:v>
                </c:pt>
                <c:pt idx="884">
                  <c:v>45299</c:v>
                </c:pt>
                <c:pt idx="885">
                  <c:v>45300</c:v>
                </c:pt>
                <c:pt idx="886">
                  <c:v>45301</c:v>
                </c:pt>
                <c:pt idx="887">
                  <c:v>45302</c:v>
                </c:pt>
                <c:pt idx="888">
                  <c:v>45303</c:v>
                </c:pt>
                <c:pt idx="889">
                  <c:v>45307</c:v>
                </c:pt>
                <c:pt idx="890">
                  <c:v>45308</c:v>
                </c:pt>
                <c:pt idx="891">
                  <c:v>45309</c:v>
                </c:pt>
                <c:pt idx="892">
                  <c:v>45310</c:v>
                </c:pt>
                <c:pt idx="893">
                  <c:v>45313</c:v>
                </c:pt>
                <c:pt idx="894">
                  <c:v>45314</c:v>
                </c:pt>
                <c:pt idx="895">
                  <c:v>45315</c:v>
                </c:pt>
                <c:pt idx="896">
                  <c:v>45316</c:v>
                </c:pt>
                <c:pt idx="897">
                  <c:v>45317</c:v>
                </c:pt>
                <c:pt idx="898">
                  <c:v>45320</c:v>
                </c:pt>
                <c:pt idx="899">
                  <c:v>45321</c:v>
                </c:pt>
                <c:pt idx="900">
                  <c:v>45322</c:v>
                </c:pt>
                <c:pt idx="901">
                  <c:v>45323</c:v>
                </c:pt>
                <c:pt idx="902">
                  <c:v>45324</c:v>
                </c:pt>
                <c:pt idx="903">
                  <c:v>45327</c:v>
                </c:pt>
                <c:pt idx="904">
                  <c:v>45328</c:v>
                </c:pt>
                <c:pt idx="905">
                  <c:v>45329</c:v>
                </c:pt>
                <c:pt idx="906">
                  <c:v>45330</c:v>
                </c:pt>
                <c:pt idx="907">
                  <c:v>45331</c:v>
                </c:pt>
                <c:pt idx="908">
                  <c:v>45334</c:v>
                </c:pt>
                <c:pt idx="909">
                  <c:v>45335</c:v>
                </c:pt>
                <c:pt idx="910">
                  <c:v>45336</c:v>
                </c:pt>
                <c:pt idx="911">
                  <c:v>45337</c:v>
                </c:pt>
                <c:pt idx="912">
                  <c:v>45338</c:v>
                </c:pt>
                <c:pt idx="913">
                  <c:v>45342</c:v>
                </c:pt>
                <c:pt idx="914">
                  <c:v>45343</c:v>
                </c:pt>
                <c:pt idx="915">
                  <c:v>45344</c:v>
                </c:pt>
                <c:pt idx="916">
                  <c:v>45345</c:v>
                </c:pt>
                <c:pt idx="917">
                  <c:v>45348</c:v>
                </c:pt>
                <c:pt idx="918">
                  <c:v>45349</c:v>
                </c:pt>
                <c:pt idx="919">
                  <c:v>45350</c:v>
                </c:pt>
                <c:pt idx="920">
                  <c:v>45351</c:v>
                </c:pt>
                <c:pt idx="921">
                  <c:v>45352</c:v>
                </c:pt>
                <c:pt idx="922">
                  <c:v>45355</c:v>
                </c:pt>
                <c:pt idx="923">
                  <c:v>45356</c:v>
                </c:pt>
                <c:pt idx="924">
                  <c:v>45357</c:v>
                </c:pt>
                <c:pt idx="925">
                  <c:v>45358</c:v>
                </c:pt>
                <c:pt idx="926">
                  <c:v>45359</c:v>
                </c:pt>
                <c:pt idx="927">
                  <c:v>45362</c:v>
                </c:pt>
                <c:pt idx="928">
                  <c:v>45363</c:v>
                </c:pt>
                <c:pt idx="929">
                  <c:v>45364</c:v>
                </c:pt>
                <c:pt idx="930">
                  <c:v>45365</c:v>
                </c:pt>
                <c:pt idx="931">
                  <c:v>45366</c:v>
                </c:pt>
                <c:pt idx="932">
                  <c:v>45369</c:v>
                </c:pt>
                <c:pt idx="933">
                  <c:v>45370</c:v>
                </c:pt>
                <c:pt idx="934">
                  <c:v>45371</c:v>
                </c:pt>
                <c:pt idx="935">
                  <c:v>45372</c:v>
                </c:pt>
                <c:pt idx="936">
                  <c:v>45373</c:v>
                </c:pt>
                <c:pt idx="937">
                  <c:v>45376</c:v>
                </c:pt>
                <c:pt idx="938">
                  <c:v>45377</c:v>
                </c:pt>
                <c:pt idx="939">
                  <c:v>45378</c:v>
                </c:pt>
                <c:pt idx="940">
                  <c:v>45379</c:v>
                </c:pt>
                <c:pt idx="941">
                  <c:v>45383</c:v>
                </c:pt>
                <c:pt idx="942">
                  <c:v>45384</c:v>
                </c:pt>
                <c:pt idx="943">
                  <c:v>45385</c:v>
                </c:pt>
                <c:pt idx="944">
                  <c:v>45386</c:v>
                </c:pt>
                <c:pt idx="945">
                  <c:v>45387</c:v>
                </c:pt>
                <c:pt idx="946">
                  <c:v>45390</c:v>
                </c:pt>
                <c:pt idx="947">
                  <c:v>45391</c:v>
                </c:pt>
                <c:pt idx="948">
                  <c:v>45392</c:v>
                </c:pt>
                <c:pt idx="949">
                  <c:v>45393</c:v>
                </c:pt>
                <c:pt idx="950">
                  <c:v>45394</c:v>
                </c:pt>
                <c:pt idx="951">
                  <c:v>45397</c:v>
                </c:pt>
                <c:pt idx="952">
                  <c:v>45398</c:v>
                </c:pt>
                <c:pt idx="953">
                  <c:v>45399</c:v>
                </c:pt>
                <c:pt idx="954">
                  <c:v>45400</c:v>
                </c:pt>
                <c:pt idx="955">
                  <c:v>45401</c:v>
                </c:pt>
                <c:pt idx="956">
                  <c:v>45404</c:v>
                </c:pt>
                <c:pt idx="957">
                  <c:v>45405</c:v>
                </c:pt>
                <c:pt idx="958">
                  <c:v>45406</c:v>
                </c:pt>
                <c:pt idx="959">
                  <c:v>45407</c:v>
                </c:pt>
                <c:pt idx="960">
                  <c:v>45408</c:v>
                </c:pt>
                <c:pt idx="961">
                  <c:v>45411</c:v>
                </c:pt>
                <c:pt idx="962">
                  <c:v>45412</c:v>
                </c:pt>
                <c:pt idx="963">
                  <c:v>45413</c:v>
                </c:pt>
                <c:pt idx="964">
                  <c:v>45414</c:v>
                </c:pt>
                <c:pt idx="965">
                  <c:v>45415</c:v>
                </c:pt>
                <c:pt idx="966">
                  <c:v>45418</c:v>
                </c:pt>
                <c:pt idx="967">
                  <c:v>45419</c:v>
                </c:pt>
                <c:pt idx="968">
                  <c:v>45420</c:v>
                </c:pt>
                <c:pt idx="969">
                  <c:v>45421</c:v>
                </c:pt>
                <c:pt idx="970">
                  <c:v>45422</c:v>
                </c:pt>
                <c:pt idx="971">
                  <c:v>45425</c:v>
                </c:pt>
                <c:pt idx="972">
                  <c:v>45426</c:v>
                </c:pt>
                <c:pt idx="973">
                  <c:v>45427</c:v>
                </c:pt>
                <c:pt idx="974">
                  <c:v>45428</c:v>
                </c:pt>
                <c:pt idx="975">
                  <c:v>45429</c:v>
                </c:pt>
                <c:pt idx="976">
                  <c:v>45432</c:v>
                </c:pt>
                <c:pt idx="977">
                  <c:v>45433</c:v>
                </c:pt>
                <c:pt idx="978">
                  <c:v>45434</c:v>
                </c:pt>
                <c:pt idx="979">
                  <c:v>45435</c:v>
                </c:pt>
                <c:pt idx="980">
                  <c:v>45436</c:v>
                </c:pt>
                <c:pt idx="981">
                  <c:v>45440</c:v>
                </c:pt>
                <c:pt idx="982">
                  <c:v>45441</c:v>
                </c:pt>
                <c:pt idx="983">
                  <c:v>45442</c:v>
                </c:pt>
                <c:pt idx="984">
                  <c:v>45443</c:v>
                </c:pt>
                <c:pt idx="985">
                  <c:v>45446</c:v>
                </c:pt>
                <c:pt idx="986">
                  <c:v>45447</c:v>
                </c:pt>
                <c:pt idx="987">
                  <c:v>45448</c:v>
                </c:pt>
                <c:pt idx="988">
                  <c:v>45449</c:v>
                </c:pt>
                <c:pt idx="989">
                  <c:v>45450</c:v>
                </c:pt>
                <c:pt idx="990">
                  <c:v>45453</c:v>
                </c:pt>
                <c:pt idx="991">
                  <c:v>45454</c:v>
                </c:pt>
                <c:pt idx="992">
                  <c:v>45455</c:v>
                </c:pt>
                <c:pt idx="993">
                  <c:v>45456</c:v>
                </c:pt>
                <c:pt idx="994">
                  <c:v>45457</c:v>
                </c:pt>
                <c:pt idx="995">
                  <c:v>45460</c:v>
                </c:pt>
                <c:pt idx="996">
                  <c:v>45461</c:v>
                </c:pt>
                <c:pt idx="997">
                  <c:v>45463</c:v>
                </c:pt>
                <c:pt idx="998">
                  <c:v>45464</c:v>
                </c:pt>
                <c:pt idx="999">
                  <c:v>45467</c:v>
                </c:pt>
                <c:pt idx="1000">
                  <c:v>45468</c:v>
                </c:pt>
                <c:pt idx="1001">
                  <c:v>45469</c:v>
                </c:pt>
                <c:pt idx="1002">
                  <c:v>45470</c:v>
                </c:pt>
                <c:pt idx="1003">
                  <c:v>45471</c:v>
                </c:pt>
                <c:pt idx="1004">
                  <c:v>45474</c:v>
                </c:pt>
                <c:pt idx="1005">
                  <c:v>45475</c:v>
                </c:pt>
                <c:pt idx="1006">
                  <c:v>45476</c:v>
                </c:pt>
                <c:pt idx="1007">
                  <c:v>45478</c:v>
                </c:pt>
                <c:pt idx="1008">
                  <c:v>45481</c:v>
                </c:pt>
                <c:pt idx="1009">
                  <c:v>45482</c:v>
                </c:pt>
                <c:pt idx="1010">
                  <c:v>45483</c:v>
                </c:pt>
                <c:pt idx="1011">
                  <c:v>45484</c:v>
                </c:pt>
                <c:pt idx="1012">
                  <c:v>45485</c:v>
                </c:pt>
                <c:pt idx="1013">
                  <c:v>45488</c:v>
                </c:pt>
                <c:pt idx="1014">
                  <c:v>45489</c:v>
                </c:pt>
                <c:pt idx="1015">
                  <c:v>45490</c:v>
                </c:pt>
                <c:pt idx="1016">
                  <c:v>45491</c:v>
                </c:pt>
                <c:pt idx="1017">
                  <c:v>45492</c:v>
                </c:pt>
                <c:pt idx="1018">
                  <c:v>45495</c:v>
                </c:pt>
                <c:pt idx="1019">
                  <c:v>45496</c:v>
                </c:pt>
                <c:pt idx="1020">
                  <c:v>45497</c:v>
                </c:pt>
                <c:pt idx="1021">
                  <c:v>45498</c:v>
                </c:pt>
                <c:pt idx="1022">
                  <c:v>45499</c:v>
                </c:pt>
                <c:pt idx="1023">
                  <c:v>45502</c:v>
                </c:pt>
                <c:pt idx="1024">
                  <c:v>45503</c:v>
                </c:pt>
                <c:pt idx="1025">
                  <c:v>45504</c:v>
                </c:pt>
                <c:pt idx="1026">
                  <c:v>45505</c:v>
                </c:pt>
                <c:pt idx="1027">
                  <c:v>45506</c:v>
                </c:pt>
                <c:pt idx="1028">
                  <c:v>45509</c:v>
                </c:pt>
                <c:pt idx="1029">
                  <c:v>45510</c:v>
                </c:pt>
                <c:pt idx="1030">
                  <c:v>45511</c:v>
                </c:pt>
                <c:pt idx="1031">
                  <c:v>45512</c:v>
                </c:pt>
                <c:pt idx="1032">
                  <c:v>45513</c:v>
                </c:pt>
                <c:pt idx="1033">
                  <c:v>45516</c:v>
                </c:pt>
                <c:pt idx="1034">
                  <c:v>45517</c:v>
                </c:pt>
                <c:pt idx="1035">
                  <c:v>45518</c:v>
                </c:pt>
                <c:pt idx="1036">
                  <c:v>45519</c:v>
                </c:pt>
                <c:pt idx="1037">
                  <c:v>45520</c:v>
                </c:pt>
                <c:pt idx="1038">
                  <c:v>45523</c:v>
                </c:pt>
                <c:pt idx="1039">
                  <c:v>45524</c:v>
                </c:pt>
                <c:pt idx="1040">
                  <c:v>45525</c:v>
                </c:pt>
                <c:pt idx="1041">
                  <c:v>45526</c:v>
                </c:pt>
                <c:pt idx="1042">
                  <c:v>45527</c:v>
                </c:pt>
                <c:pt idx="1043">
                  <c:v>45530</c:v>
                </c:pt>
                <c:pt idx="1044">
                  <c:v>45531</c:v>
                </c:pt>
                <c:pt idx="1045">
                  <c:v>45532</c:v>
                </c:pt>
                <c:pt idx="1046">
                  <c:v>45533</c:v>
                </c:pt>
              </c:numCache>
            </c:numRef>
          </c:cat>
          <c:val>
            <c:numRef>
              <c:f>'Predictive Model'!$B$2:$B$1048</c:f>
              <c:numCache>
                <c:formatCode>#,##0.00</c:formatCode>
                <c:ptCount val="1047"/>
                <c:pt idx="0">
                  <c:v>0.45412823425956528</c:v>
                </c:pt>
                <c:pt idx="1">
                  <c:v>1.5881738397001792</c:v>
                </c:pt>
                <c:pt idx="2">
                  <c:v>-1.0818562640735547</c:v>
                </c:pt>
                <c:pt idx="3">
                  <c:v>0.78275024480815603</c:v>
                </c:pt>
                <c:pt idx="4">
                  <c:v>-0.56436399427118089</c:v>
                </c:pt>
                <c:pt idx="5">
                  <c:v>1.0466204533557457</c:v>
                </c:pt>
                <c:pt idx="6">
                  <c:v>-0.93625197799714166</c:v>
                </c:pt>
                <c:pt idx="7">
                  <c:v>1.3406355182839924</c:v>
                </c:pt>
                <c:pt idx="8">
                  <c:v>0.90820385798994108</c:v>
                </c:pt>
                <c:pt idx="9">
                  <c:v>-0.34061043340275038</c:v>
                </c:pt>
                <c:pt idx="10">
                  <c:v>0.28486395880045695</c:v>
                </c:pt>
                <c:pt idx="11">
                  <c:v>0.84069053843267905</c:v>
                </c:pt>
                <c:pt idx="12">
                  <c:v>0.16790493997244749</c:v>
                </c:pt>
                <c:pt idx="13">
                  <c:v>0.57470911491111654</c:v>
                </c:pt>
                <c:pt idx="14">
                  <c:v>-1.2319827107282657</c:v>
                </c:pt>
                <c:pt idx="15">
                  <c:v>-0.61903908321639933</c:v>
                </c:pt>
                <c:pt idx="16">
                  <c:v>0.73951294147646784</c:v>
                </c:pt>
                <c:pt idx="17">
                  <c:v>-0.6473401020556151</c:v>
                </c:pt>
                <c:pt idx="18">
                  <c:v>1.2428381451883521</c:v>
                </c:pt>
                <c:pt idx="19">
                  <c:v>-0.37502608610255994</c:v>
                </c:pt>
                <c:pt idx="20">
                  <c:v>0.76704597963169752</c:v>
                </c:pt>
                <c:pt idx="21">
                  <c:v>0.71810266819927848</c:v>
                </c:pt>
                <c:pt idx="22">
                  <c:v>0.36119601409575308</c:v>
                </c:pt>
                <c:pt idx="23">
                  <c:v>0.6429740118735392</c:v>
                </c:pt>
                <c:pt idx="24">
                  <c:v>0.64277278778280567</c:v>
                </c:pt>
                <c:pt idx="25">
                  <c:v>6.3299454191509077E-2</c:v>
                </c:pt>
                <c:pt idx="26">
                  <c:v>0.27422358024395455</c:v>
                </c:pt>
                <c:pt idx="27">
                  <c:v>-0.79691233666718486</c:v>
                </c:pt>
                <c:pt idx="28">
                  <c:v>1.3996502374245912</c:v>
                </c:pt>
                <c:pt idx="29">
                  <c:v>-0.20471252976762977</c:v>
                </c:pt>
                <c:pt idx="30">
                  <c:v>-1.7193183199293516E-2</c:v>
                </c:pt>
                <c:pt idx="31">
                  <c:v>0.27098744385311746</c:v>
                </c:pt>
                <c:pt idx="32">
                  <c:v>0.23033775972135986</c:v>
                </c:pt>
                <c:pt idx="33">
                  <c:v>-0.44044156257929096</c:v>
                </c:pt>
                <c:pt idx="34">
                  <c:v>0.31586589033587598</c:v>
                </c:pt>
                <c:pt idx="35">
                  <c:v>0.34411358997609326</c:v>
                </c:pt>
                <c:pt idx="36">
                  <c:v>1.0043683547433842</c:v>
                </c:pt>
                <c:pt idx="37">
                  <c:v>0.35963255694666973</c:v>
                </c:pt>
                <c:pt idx="38">
                  <c:v>1.0195666188487733</c:v>
                </c:pt>
                <c:pt idx="39">
                  <c:v>0.16730243508407275</c:v>
                </c:pt>
                <c:pt idx="40">
                  <c:v>0.67325766598269599</c:v>
                </c:pt>
                <c:pt idx="41">
                  <c:v>-0.21949766391772749</c:v>
                </c:pt>
                <c:pt idx="42">
                  <c:v>0.75250477814822525</c:v>
                </c:pt>
                <c:pt idx="43">
                  <c:v>1.5365857116527031</c:v>
                </c:pt>
                <c:pt idx="44">
                  <c:v>-3.5125836395929499</c:v>
                </c:pt>
                <c:pt idx="45">
                  <c:v>-0.81329991374968635</c:v>
                </c:pt>
                <c:pt idx="46">
                  <c:v>-2.7756378831384052</c:v>
                </c:pt>
                <c:pt idx="47">
                  <c:v>2.014502497118706</c:v>
                </c:pt>
                <c:pt idx="48">
                  <c:v>-1.7584790641843384</c:v>
                </c:pt>
                <c:pt idx="49">
                  <c:v>5.3306340759278308E-2</c:v>
                </c:pt>
                <c:pt idx="50">
                  <c:v>1.2741808516688318</c:v>
                </c:pt>
                <c:pt idx="51">
                  <c:v>0.52193856138836414</c:v>
                </c:pt>
                <c:pt idx="52">
                  <c:v>-0.46189580148183101</c:v>
                </c:pt>
                <c:pt idx="53">
                  <c:v>-0.84123716212422917</c:v>
                </c:pt>
                <c:pt idx="54">
                  <c:v>-1.1182570203842235</c:v>
                </c:pt>
                <c:pt idx="55">
                  <c:v>-1.1571124305988563</c:v>
                </c:pt>
                <c:pt idx="56">
                  <c:v>1.0517942372282196</c:v>
                </c:pt>
                <c:pt idx="57">
                  <c:v>-2.3721411401357861</c:v>
                </c:pt>
                <c:pt idx="58">
                  <c:v>0.29874077827070405</c:v>
                </c:pt>
                <c:pt idx="59">
                  <c:v>1.5976763311659277</c:v>
                </c:pt>
                <c:pt idx="60">
                  <c:v>1.6110548559024476</c:v>
                </c:pt>
                <c:pt idx="61">
                  <c:v>-0.48126268051080406</c:v>
                </c:pt>
                <c:pt idx="62">
                  <c:v>0.82537093722924204</c:v>
                </c:pt>
                <c:pt idx="63">
                  <c:v>0.5292893250074393</c:v>
                </c:pt>
                <c:pt idx="64">
                  <c:v>-0.95776147657359523</c:v>
                </c:pt>
                <c:pt idx="65">
                  <c:v>1.7972655760030054</c:v>
                </c:pt>
                <c:pt idx="66">
                  <c:v>-1.3973478847620755</c:v>
                </c:pt>
                <c:pt idx="67">
                  <c:v>1.7396763434365752</c:v>
                </c:pt>
                <c:pt idx="68">
                  <c:v>0.80100835224480826</c:v>
                </c:pt>
                <c:pt idx="69">
                  <c:v>0.87935871510924379</c:v>
                </c:pt>
                <c:pt idx="70">
                  <c:v>1.6415789988323719</c:v>
                </c:pt>
                <c:pt idx="71">
                  <c:v>-0.63069078891523345</c:v>
                </c:pt>
                <c:pt idx="72">
                  <c:v>-0.66231388438834959</c:v>
                </c:pt>
                <c:pt idx="73">
                  <c:v>-0.15278028589691564</c:v>
                </c:pt>
                <c:pt idx="74">
                  <c:v>1.3492797142966232E-2</c:v>
                </c:pt>
                <c:pt idx="75">
                  <c:v>-1.6329822808936159</c:v>
                </c:pt>
                <c:pt idx="76">
                  <c:v>0.47272769717413354</c:v>
                </c:pt>
                <c:pt idx="77">
                  <c:v>-0.21956829851994547</c:v>
                </c:pt>
                <c:pt idx="78">
                  <c:v>0.52189453829942822</c:v>
                </c:pt>
                <c:pt idx="79">
                  <c:v>0.34457896215133366</c:v>
                </c:pt>
                <c:pt idx="80">
                  <c:v>-1.8589538262648668</c:v>
                </c:pt>
                <c:pt idx="81">
                  <c:v>-0.30256074002416855</c:v>
                </c:pt>
                <c:pt idx="82">
                  <c:v>-3.5287906850543149</c:v>
                </c:pt>
                <c:pt idx="83">
                  <c:v>1.1947307117329993</c:v>
                </c:pt>
                <c:pt idx="84">
                  <c:v>-1.21295062701844</c:v>
                </c:pt>
                <c:pt idx="85">
                  <c:v>1.231819349472157</c:v>
                </c:pt>
                <c:pt idx="86">
                  <c:v>1.7799313644932111</c:v>
                </c:pt>
                <c:pt idx="87">
                  <c:v>2.204703843094427</c:v>
                </c:pt>
                <c:pt idx="88">
                  <c:v>1.9460190971818809</c:v>
                </c:pt>
                <c:pt idx="89">
                  <c:v>-2.8771240154389425E-2</c:v>
                </c:pt>
                <c:pt idx="90">
                  <c:v>1.1699872344305629</c:v>
                </c:pt>
                <c:pt idx="91">
                  <c:v>-0.13998028446697083</c:v>
                </c:pt>
                <c:pt idx="92">
                  <c:v>0.76518884341691229</c:v>
                </c:pt>
                <c:pt idx="93">
                  <c:v>-0.99785593927212879</c:v>
                </c:pt>
                <c:pt idx="94">
                  <c:v>1.3610365817455949</c:v>
                </c:pt>
                <c:pt idx="95">
                  <c:v>1.1648048198820067</c:v>
                </c:pt>
                <c:pt idx="96">
                  <c:v>-0.4791957892531013</c:v>
                </c:pt>
                <c:pt idx="97">
                  <c:v>-1.1563832410313872</c:v>
                </c:pt>
                <c:pt idx="98">
                  <c:v>0.39464206133208307</c:v>
                </c:pt>
                <c:pt idx="99">
                  <c:v>-0.67925413261787637</c:v>
                </c:pt>
                <c:pt idx="100">
                  <c:v>0.5635916953850183</c:v>
                </c:pt>
                <c:pt idx="101">
                  <c:v>1.6161717804443692</c:v>
                </c:pt>
                <c:pt idx="102">
                  <c:v>-0.15844155129682108</c:v>
                </c:pt>
                <c:pt idx="103">
                  <c:v>0.23969253233782367</c:v>
                </c:pt>
                <c:pt idx="104">
                  <c:v>-0.45954897137438128</c:v>
                </c:pt>
                <c:pt idx="105">
                  <c:v>1.1271167954760621</c:v>
                </c:pt>
                <c:pt idx="106">
                  <c:v>0.17911507324333167</c:v>
                </c:pt>
                <c:pt idx="107">
                  <c:v>-6.2414656814792496E-2</c:v>
                </c:pt>
                <c:pt idx="108">
                  <c:v>0.88362351093075264</c:v>
                </c:pt>
                <c:pt idx="109">
                  <c:v>-0.19355954929820754</c:v>
                </c:pt>
                <c:pt idx="110">
                  <c:v>0.27871374554437112</c:v>
                </c:pt>
                <c:pt idx="111">
                  <c:v>-0.7949220068876991</c:v>
                </c:pt>
                <c:pt idx="112">
                  <c:v>-0.12851160688517962</c:v>
                </c:pt>
                <c:pt idx="113">
                  <c:v>-0.12649600610670025</c:v>
                </c:pt>
                <c:pt idx="114">
                  <c:v>-0.4359266922526861</c:v>
                </c:pt>
                <c:pt idx="115">
                  <c:v>1.2921214314501237</c:v>
                </c:pt>
                <c:pt idx="116">
                  <c:v>0.17728480872187619</c:v>
                </c:pt>
                <c:pt idx="117">
                  <c:v>0.57576388007035462</c:v>
                </c:pt>
                <c:pt idx="118">
                  <c:v>-0.3511100126797233</c:v>
                </c:pt>
                <c:pt idx="119">
                  <c:v>-0.39062815919512217</c:v>
                </c:pt>
                <c:pt idx="120">
                  <c:v>-0.20731166033364332</c:v>
                </c:pt>
                <c:pt idx="121">
                  <c:v>7.4581125280018229E-2</c:v>
                </c:pt>
                <c:pt idx="122">
                  <c:v>0.35365757816373738</c:v>
                </c:pt>
                <c:pt idx="123">
                  <c:v>0.87225159732762048</c:v>
                </c:pt>
                <c:pt idx="124">
                  <c:v>-0.22273622890431347</c:v>
                </c:pt>
                <c:pt idx="125">
                  <c:v>0.13415471795312098</c:v>
                </c:pt>
                <c:pt idx="126">
                  <c:v>0.64388377402172003</c:v>
                </c:pt>
                <c:pt idx="127">
                  <c:v>-1.4754783590295193</c:v>
                </c:pt>
                <c:pt idx="128">
                  <c:v>0.70825395538621694</c:v>
                </c:pt>
                <c:pt idx="129">
                  <c:v>0.57099005597204466</c:v>
                </c:pt>
                <c:pt idx="130">
                  <c:v>1.48473642926892</c:v>
                </c:pt>
                <c:pt idx="131">
                  <c:v>0.54918909824148732</c:v>
                </c:pt>
                <c:pt idx="132">
                  <c:v>-0.65547967411651986</c:v>
                </c:pt>
                <c:pt idx="133">
                  <c:v>4.1583215119444551E-2</c:v>
                </c:pt>
                <c:pt idx="134">
                  <c:v>0.22756031663768692</c:v>
                </c:pt>
                <c:pt idx="135">
                  <c:v>-0.37534384646074853</c:v>
                </c:pt>
                <c:pt idx="136">
                  <c:v>-0.71900177576840096</c:v>
                </c:pt>
                <c:pt idx="137">
                  <c:v>0.81364028395143251</c:v>
                </c:pt>
                <c:pt idx="138">
                  <c:v>1.3935576257400164</c:v>
                </c:pt>
                <c:pt idx="139">
                  <c:v>3.1673092150531684E-2</c:v>
                </c:pt>
                <c:pt idx="140">
                  <c:v>-0.30105863636010671</c:v>
                </c:pt>
                <c:pt idx="141">
                  <c:v>0.36158033252896227</c:v>
                </c:pt>
                <c:pt idx="142">
                  <c:v>-0.14888363213812034</c:v>
                </c:pt>
                <c:pt idx="143">
                  <c:v>-2.567785911336701</c:v>
                </c:pt>
                <c:pt idx="144">
                  <c:v>0.97606624773046935</c:v>
                </c:pt>
                <c:pt idx="145">
                  <c:v>-1.9311502938707055</c:v>
                </c:pt>
                <c:pt idx="146">
                  <c:v>1.6051736021366509</c:v>
                </c:pt>
                <c:pt idx="147">
                  <c:v>1.3898236818535878</c:v>
                </c:pt>
                <c:pt idx="148">
                  <c:v>0.10088048276276954</c:v>
                </c:pt>
                <c:pt idx="149">
                  <c:v>1.0853304161434012</c:v>
                </c:pt>
                <c:pt idx="150">
                  <c:v>0.38974724542454159</c:v>
                </c:pt>
                <c:pt idx="151">
                  <c:v>0.7399345996609118</c:v>
                </c:pt>
                <c:pt idx="152">
                  <c:v>-0.11134975827397985</c:v>
                </c:pt>
                <c:pt idx="153">
                  <c:v>-3.4515996246702672E-2</c:v>
                </c:pt>
                <c:pt idx="154">
                  <c:v>0.16624551137119298</c:v>
                </c:pt>
                <c:pt idx="155">
                  <c:v>0.4710983101741868</c:v>
                </c:pt>
                <c:pt idx="156">
                  <c:v>-5.6927491149548565E-2</c:v>
                </c:pt>
                <c:pt idx="157">
                  <c:v>-3.2039953313216435E-2</c:v>
                </c:pt>
                <c:pt idx="158">
                  <c:v>-0.44158083905447076</c:v>
                </c:pt>
                <c:pt idx="159">
                  <c:v>-0.18548941356218276</c:v>
                </c:pt>
                <c:pt idx="160">
                  <c:v>-0.77328493796570608</c:v>
                </c:pt>
                <c:pt idx="161">
                  <c:v>0.12562878885592393</c:v>
                </c:pt>
                <c:pt idx="162">
                  <c:v>1.1351661913190432</c:v>
                </c:pt>
                <c:pt idx="163">
                  <c:v>-2.4478846903396492</c:v>
                </c:pt>
                <c:pt idx="164">
                  <c:v>-0.4750165824920235</c:v>
                </c:pt>
                <c:pt idx="165">
                  <c:v>2.3790719336683175</c:v>
                </c:pt>
                <c:pt idx="166">
                  <c:v>-0.80808443239309347</c:v>
                </c:pt>
                <c:pt idx="167">
                  <c:v>-1.3066204341276795</c:v>
                </c:pt>
                <c:pt idx="168">
                  <c:v>-1.3417213827191523</c:v>
                </c:pt>
                <c:pt idx="169">
                  <c:v>1.9495975820425864</c:v>
                </c:pt>
                <c:pt idx="170">
                  <c:v>-0.53592716179847022</c:v>
                </c:pt>
                <c:pt idx="171">
                  <c:v>1.4154683554241341</c:v>
                </c:pt>
                <c:pt idx="172">
                  <c:v>0.60302830130255891</c:v>
                </c:pt>
                <c:pt idx="173">
                  <c:v>1.0395479646353682</c:v>
                </c:pt>
                <c:pt idx="174">
                  <c:v>0.10153985185335614</c:v>
                </c:pt>
                <c:pt idx="175">
                  <c:v>0.64919585934765722</c:v>
                </c:pt>
                <c:pt idx="176">
                  <c:v>-0.15696886322292647</c:v>
                </c:pt>
                <c:pt idx="177">
                  <c:v>0.2879342672060245</c:v>
                </c:pt>
                <c:pt idx="178">
                  <c:v>-1.4760500437832742</c:v>
                </c:pt>
                <c:pt idx="179">
                  <c:v>-6.0273888636332068E-2</c:v>
                </c:pt>
                <c:pt idx="180">
                  <c:v>0.70251207482559197</c:v>
                </c:pt>
                <c:pt idx="181">
                  <c:v>-0.7630837006641179</c:v>
                </c:pt>
                <c:pt idx="182">
                  <c:v>-0.54673035811094461</c:v>
                </c:pt>
                <c:pt idx="183">
                  <c:v>0.52402330592367752</c:v>
                </c:pt>
                <c:pt idx="184">
                  <c:v>1.6631197691788244</c:v>
                </c:pt>
                <c:pt idx="185">
                  <c:v>-8.6802497899123365E-2</c:v>
                </c:pt>
                <c:pt idx="186">
                  <c:v>-0.31578231669390427</c:v>
                </c:pt>
                <c:pt idx="187">
                  <c:v>0.36225385557842366</c:v>
                </c:pt>
                <c:pt idx="188">
                  <c:v>1.1825144919693225</c:v>
                </c:pt>
                <c:pt idx="189">
                  <c:v>1.4438277854756489</c:v>
                </c:pt>
                <c:pt idx="190">
                  <c:v>-9.7353791525555983E-2</c:v>
                </c:pt>
                <c:pt idx="191">
                  <c:v>0.14752303666720087</c:v>
                </c:pt>
                <c:pt idx="192">
                  <c:v>0.42206399588230875</c:v>
                </c:pt>
                <c:pt idx="193">
                  <c:v>0.77199628035937262</c:v>
                </c:pt>
                <c:pt idx="194">
                  <c:v>-1.9618291028880065E-2</c:v>
                </c:pt>
                <c:pt idx="195">
                  <c:v>0.32945816244710779</c:v>
                </c:pt>
                <c:pt idx="196">
                  <c:v>-0.40878020277237226</c:v>
                </c:pt>
                <c:pt idx="197">
                  <c:v>1.1094247768300955</c:v>
                </c:pt>
                <c:pt idx="198">
                  <c:v>0.36087492386858355</c:v>
                </c:pt>
                <c:pt idx="199">
                  <c:v>-0.53064530387268416</c:v>
                </c:pt>
                <c:pt idx="200">
                  <c:v>-0.68023616108531815</c:v>
                </c:pt>
                <c:pt idx="201">
                  <c:v>0.93060600637495294</c:v>
                </c:pt>
                <c:pt idx="202">
                  <c:v>-0.92106713438859511</c:v>
                </c:pt>
                <c:pt idx="203">
                  <c:v>1.0928710658818306</c:v>
                </c:pt>
                <c:pt idx="204">
                  <c:v>0.17822241679165723</c:v>
                </c:pt>
                <c:pt idx="205">
                  <c:v>-2.149192142552658E-2</c:v>
                </c:pt>
                <c:pt idx="206">
                  <c:v>-8.4553063018304619E-2</c:v>
                </c:pt>
                <c:pt idx="207">
                  <c:v>0.67627976802336887</c:v>
                </c:pt>
                <c:pt idx="208">
                  <c:v>-0.7194637501869936</c:v>
                </c:pt>
                <c:pt idx="209">
                  <c:v>0.27480346410214801</c:v>
                </c:pt>
                <c:pt idx="210">
                  <c:v>-0.6678337857112191</c:v>
                </c:pt>
                <c:pt idx="211">
                  <c:v>7.0353882429785172E-2</c:v>
                </c:pt>
                <c:pt idx="212">
                  <c:v>0.81653905494541801</c:v>
                </c:pt>
                <c:pt idx="213">
                  <c:v>0.73733464711231556</c:v>
                </c:pt>
                <c:pt idx="214">
                  <c:v>-1.0435666020885523</c:v>
                </c:pt>
                <c:pt idx="215">
                  <c:v>-0.86738945141735502</c:v>
                </c:pt>
                <c:pt idx="216">
                  <c:v>-2.1449387057151896</c:v>
                </c:pt>
                <c:pt idx="217">
                  <c:v>1.217315113806412</c:v>
                </c:pt>
                <c:pt idx="218">
                  <c:v>1.4917933130699177</c:v>
                </c:pt>
                <c:pt idx="219">
                  <c:v>-0.25300382141189548</c:v>
                </c:pt>
                <c:pt idx="220">
                  <c:v>-0.85173024218827031</c:v>
                </c:pt>
                <c:pt idx="221">
                  <c:v>-0.29434351705374584</c:v>
                </c:pt>
                <c:pt idx="222">
                  <c:v>1.0554756443649556</c:v>
                </c:pt>
                <c:pt idx="223">
                  <c:v>-7.838196541576628E-2</c:v>
                </c:pt>
                <c:pt idx="224">
                  <c:v>0.99113059631461398</c:v>
                </c:pt>
                <c:pt idx="225">
                  <c:v>-0.2125302295660064</c:v>
                </c:pt>
                <c:pt idx="226">
                  <c:v>0.18767325751587635</c:v>
                </c:pt>
                <c:pt idx="227">
                  <c:v>0.1165398392274607</c:v>
                </c:pt>
                <c:pt idx="228">
                  <c:v>7.6888651901495964E-2</c:v>
                </c:pt>
                <c:pt idx="229">
                  <c:v>-4.9237531843831603E-2</c:v>
                </c:pt>
                <c:pt idx="230">
                  <c:v>0.14469162597214513</c:v>
                </c:pt>
                <c:pt idx="231">
                  <c:v>-0.3628698801364868</c:v>
                </c:pt>
                <c:pt idx="232">
                  <c:v>0.88340865998068041</c:v>
                </c:pt>
                <c:pt idx="233">
                  <c:v>-7.9671102558219964E-2</c:v>
                </c:pt>
                <c:pt idx="234">
                  <c:v>1.750849398559055E-2</c:v>
                </c:pt>
                <c:pt idx="235">
                  <c:v>-0.1823876458982896</c:v>
                </c:pt>
                <c:pt idx="236">
                  <c:v>0.46521548506357568</c:v>
                </c:pt>
                <c:pt idx="237">
                  <c:v>0.19484900381675957</c:v>
                </c:pt>
                <c:pt idx="238">
                  <c:v>0.18152110447705058</c:v>
                </c:pt>
                <c:pt idx="239">
                  <c:v>-0.20116799642784605</c:v>
                </c:pt>
                <c:pt idx="240">
                  <c:v>-0.53902072015429625</c:v>
                </c:pt>
                <c:pt idx="241">
                  <c:v>-4.3563700073398812E-2</c:v>
                </c:pt>
                <c:pt idx="242">
                  <c:v>-1.3124547000611073</c:v>
                </c:pt>
                <c:pt idx="243">
                  <c:v>1.4002328121062331</c:v>
                </c:pt>
                <c:pt idx="244">
                  <c:v>0.5124515064654015</c:v>
                </c:pt>
                <c:pt idx="245">
                  <c:v>-0.108326033100655</c:v>
                </c:pt>
                <c:pt idx="246">
                  <c:v>0.58111574222506357</c:v>
                </c:pt>
                <c:pt idx="247">
                  <c:v>0.33306066579319388</c:v>
                </c:pt>
                <c:pt idx="248">
                  <c:v>0.23150419323942009</c:v>
                </c:pt>
                <c:pt idx="249">
                  <c:v>2.7734984069876064E-2</c:v>
                </c:pt>
                <c:pt idx="250">
                  <c:v>0.13281140780091844</c:v>
                </c:pt>
                <c:pt idx="251">
                  <c:v>0.52216404886561019</c:v>
                </c:pt>
                <c:pt idx="252">
                  <c:v>0.75001041681135727</c:v>
                </c:pt>
                <c:pt idx="253">
                  <c:v>-0.20219008625245688</c:v>
                </c:pt>
                <c:pt idx="254">
                  <c:v>0.33590113133527366</c:v>
                </c:pt>
                <c:pt idx="255">
                  <c:v>-0.85610112594164001</c:v>
                </c:pt>
                <c:pt idx="256">
                  <c:v>1.1277951870246961</c:v>
                </c:pt>
                <c:pt idx="257">
                  <c:v>0.34511562975592286</c:v>
                </c:pt>
                <c:pt idx="258">
                  <c:v>-0.35168303824952329</c:v>
                </c:pt>
                <c:pt idx="259">
                  <c:v>0.11649703264434863</c:v>
                </c:pt>
                <c:pt idx="260">
                  <c:v>-0.32622362435133473</c:v>
                </c:pt>
                <c:pt idx="261">
                  <c:v>-0.75389389522548911</c:v>
                </c:pt>
                <c:pt idx="262">
                  <c:v>-1.5869531055010693</c:v>
                </c:pt>
                <c:pt idx="263">
                  <c:v>1.5162651550197517</c:v>
                </c:pt>
                <c:pt idx="264">
                  <c:v>0.82418472100778617</c:v>
                </c:pt>
                <c:pt idx="265">
                  <c:v>0.20166609692361614</c:v>
                </c:pt>
                <c:pt idx="266">
                  <c:v>1.0145438559535569</c:v>
                </c:pt>
                <c:pt idx="267">
                  <c:v>0.23822530084161345</c:v>
                </c:pt>
                <c:pt idx="268">
                  <c:v>-0.47124799312575227</c:v>
                </c:pt>
                <c:pt idx="269">
                  <c:v>-1.8630181803304106E-2</c:v>
                </c:pt>
                <c:pt idx="270">
                  <c:v>0.42062063699823909</c:v>
                </c:pt>
                <c:pt idx="271">
                  <c:v>-0.54060169942182146</c:v>
                </c:pt>
                <c:pt idx="272">
                  <c:v>-0.18428943907755999</c:v>
                </c:pt>
                <c:pt idx="273">
                  <c:v>0.82034847144849476</c:v>
                </c:pt>
                <c:pt idx="274">
                  <c:v>-0.4632445203079204</c:v>
                </c:pt>
                <c:pt idx="275">
                  <c:v>0.60054603353428404</c:v>
                </c:pt>
                <c:pt idx="276">
                  <c:v>0.16752839177259651</c:v>
                </c:pt>
                <c:pt idx="277">
                  <c:v>-9.3992588785806727E-2</c:v>
                </c:pt>
                <c:pt idx="278">
                  <c:v>9.927013886537922E-2</c:v>
                </c:pt>
                <c:pt idx="279">
                  <c:v>0.12757085704625806</c:v>
                </c:pt>
                <c:pt idx="280">
                  <c:v>0.41463980136907835</c:v>
                </c:pt>
                <c:pt idx="281">
                  <c:v>0.16073241975148286</c:v>
                </c:pt>
                <c:pt idx="282">
                  <c:v>0.26208594449418166</c:v>
                </c:pt>
                <c:pt idx="283">
                  <c:v>-0.70607249129966243</c:v>
                </c:pt>
                <c:pt idx="284">
                  <c:v>-1.0748457761550936</c:v>
                </c:pt>
                <c:pt idx="285">
                  <c:v>0.12567410636164927</c:v>
                </c:pt>
                <c:pt idx="286">
                  <c:v>0.81415406963547798</c:v>
                </c:pt>
                <c:pt idx="287">
                  <c:v>0.85238209952562161</c:v>
                </c:pt>
                <c:pt idx="288">
                  <c:v>0.1495692628467678</c:v>
                </c:pt>
                <c:pt idx="289">
                  <c:v>0.22201269217137859</c:v>
                </c:pt>
                <c:pt idx="290">
                  <c:v>-0.58249317755698937</c:v>
                </c:pt>
                <c:pt idx="291">
                  <c:v>0.88076062639820785</c:v>
                </c:pt>
                <c:pt idx="292">
                  <c:v>0.4306588281733385</c:v>
                </c:pt>
                <c:pt idx="293">
                  <c:v>-0.13491462399448137</c:v>
                </c:pt>
                <c:pt idx="294">
                  <c:v>3.1176205258825616E-2</c:v>
                </c:pt>
                <c:pt idx="295">
                  <c:v>0.28425606033477835</c:v>
                </c:pt>
                <c:pt idx="296">
                  <c:v>-3.350268352085712E-2</c:v>
                </c:pt>
                <c:pt idx="297">
                  <c:v>-0.33954884101398419</c:v>
                </c:pt>
                <c:pt idx="298">
                  <c:v>-0.13185753191903676</c:v>
                </c:pt>
                <c:pt idx="299">
                  <c:v>-0.46055998245485702</c:v>
                </c:pt>
                <c:pt idx="300">
                  <c:v>-0.77226435922087688</c:v>
                </c:pt>
                <c:pt idx="301">
                  <c:v>0.2276509561340076</c:v>
                </c:pt>
                <c:pt idx="302">
                  <c:v>-0.57465991456184151</c:v>
                </c:pt>
                <c:pt idx="303">
                  <c:v>0.8473908688851044</c:v>
                </c:pt>
                <c:pt idx="304">
                  <c:v>-0.15510969268194297</c:v>
                </c:pt>
                <c:pt idx="305">
                  <c:v>-0.91109248393406472</c:v>
                </c:pt>
                <c:pt idx="306">
                  <c:v>-1.6977254629493912</c:v>
                </c:pt>
                <c:pt idx="307">
                  <c:v>-8.1234954896241024E-2</c:v>
                </c:pt>
                <c:pt idx="308">
                  <c:v>0.95195662109372192</c:v>
                </c:pt>
                <c:pt idx="309">
                  <c:v>1.2134751708510987</c:v>
                </c:pt>
                <c:pt idx="310">
                  <c:v>0.14610090402744003</c:v>
                </c:pt>
                <c:pt idx="311">
                  <c:v>-0.27763563072889769</c:v>
                </c:pt>
                <c:pt idx="312">
                  <c:v>-2.0364114325326081</c:v>
                </c:pt>
                <c:pt idx="313">
                  <c:v>0.15691662282344068</c:v>
                </c:pt>
                <c:pt idx="314">
                  <c:v>-1.19097319392769</c:v>
                </c:pt>
                <c:pt idx="315">
                  <c:v>1.1491477734391324</c:v>
                </c:pt>
                <c:pt idx="316">
                  <c:v>-1.2985880322420711</c:v>
                </c:pt>
                <c:pt idx="317">
                  <c:v>1.0524455523362668</c:v>
                </c:pt>
                <c:pt idx="318">
                  <c:v>0.41028874386752773</c:v>
                </c:pt>
                <c:pt idx="319">
                  <c:v>0.82982892369744887</c:v>
                </c:pt>
                <c:pt idx="320">
                  <c:v>-0.19137407494954434</c:v>
                </c:pt>
                <c:pt idx="321">
                  <c:v>-0.68657858421348705</c:v>
                </c:pt>
                <c:pt idx="322">
                  <c:v>-0.24167715692276567</c:v>
                </c:pt>
                <c:pt idx="323">
                  <c:v>0.30225368623080567</c:v>
                </c:pt>
                <c:pt idx="324">
                  <c:v>1.7063110133370005</c:v>
                </c:pt>
                <c:pt idx="325">
                  <c:v>0.74601307719691212</c:v>
                </c:pt>
                <c:pt idx="326">
                  <c:v>0.33748045900921075</c:v>
                </c:pt>
                <c:pt idx="327">
                  <c:v>0.7393356900540754</c:v>
                </c:pt>
                <c:pt idx="328">
                  <c:v>0.36640167447334165</c:v>
                </c:pt>
                <c:pt idx="329">
                  <c:v>0.29959062561312788</c:v>
                </c:pt>
                <c:pt idx="330">
                  <c:v>-0.10725793335062594</c:v>
                </c:pt>
                <c:pt idx="331">
                  <c:v>0.47481792778718851</c:v>
                </c:pt>
                <c:pt idx="332">
                  <c:v>0.18197824144637445</c:v>
                </c:pt>
                <c:pt idx="333">
                  <c:v>-0.50515979968478708</c:v>
                </c:pt>
                <c:pt idx="334">
                  <c:v>0.9829337739032572</c:v>
                </c:pt>
                <c:pt idx="335">
                  <c:v>0.19493431844783629</c:v>
                </c:pt>
                <c:pt idx="336">
                  <c:v>0.18000686154019785</c:v>
                </c:pt>
                <c:pt idx="337">
                  <c:v>0.3680367256435671</c:v>
                </c:pt>
                <c:pt idx="338">
                  <c:v>0.64612959303769613</c:v>
                </c:pt>
                <c:pt idx="339">
                  <c:v>0.41818919145084593</c:v>
                </c:pt>
                <c:pt idx="340">
                  <c:v>0.37328581257503846</c:v>
                </c:pt>
                <c:pt idx="341">
                  <c:v>8.8770055752705634E-2</c:v>
                </c:pt>
                <c:pt idx="342">
                  <c:v>-0.34987345002870918</c:v>
                </c:pt>
                <c:pt idx="343">
                  <c:v>-0.82258150578944489</c:v>
                </c:pt>
                <c:pt idx="344">
                  <c:v>5.5092743037555604E-2</c:v>
                </c:pt>
                <c:pt idx="345">
                  <c:v>0.72226392530440098</c:v>
                </c:pt>
                <c:pt idx="346">
                  <c:v>-1.067725850714456E-3</c:v>
                </c:pt>
                <c:pt idx="347">
                  <c:v>0.38652088494062214</c:v>
                </c:pt>
                <c:pt idx="348">
                  <c:v>-0.26016294752067826</c:v>
                </c:pt>
                <c:pt idx="349">
                  <c:v>0.33847551651107649</c:v>
                </c:pt>
                <c:pt idx="350">
                  <c:v>-0.13986489646171416</c:v>
                </c:pt>
                <c:pt idx="351">
                  <c:v>-0.3197132372348942</c:v>
                </c:pt>
                <c:pt idx="352">
                  <c:v>0.16570786727996129</c:v>
                </c:pt>
                <c:pt idx="353">
                  <c:v>0.22939006971241432</c:v>
                </c:pt>
                <c:pt idx="354">
                  <c:v>-2.2724855683128249</c:v>
                </c:pt>
                <c:pt idx="355">
                  <c:v>1.3200221128189173</c:v>
                </c:pt>
                <c:pt idx="356">
                  <c:v>-1.8961306218543805</c:v>
                </c:pt>
                <c:pt idx="357">
                  <c:v>-1.181519597109701</c:v>
                </c:pt>
                <c:pt idx="358">
                  <c:v>1.4194423271231897</c:v>
                </c:pt>
                <c:pt idx="359">
                  <c:v>-0.84485809792226674</c:v>
                </c:pt>
                <c:pt idx="360">
                  <c:v>1.1730928977641999</c:v>
                </c:pt>
                <c:pt idx="361">
                  <c:v>2.0707063007576751</c:v>
                </c:pt>
                <c:pt idx="362">
                  <c:v>0.30852936469835252</c:v>
                </c:pt>
                <c:pt idx="363">
                  <c:v>-0.71811299644134641</c:v>
                </c:pt>
                <c:pt idx="364">
                  <c:v>0.95491113991581311</c:v>
                </c:pt>
                <c:pt idx="365">
                  <c:v>-0.91362090992822986</c:v>
                </c:pt>
                <c:pt idx="366">
                  <c:v>-0.74705984403412551</c:v>
                </c:pt>
                <c:pt idx="367">
                  <c:v>1.6348409288555081</c:v>
                </c:pt>
                <c:pt idx="368">
                  <c:v>-0.87433782392221171</c:v>
                </c:pt>
                <c:pt idx="369">
                  <c:v>-1.0287726483131117</c:v>
                </c:pt>
                <c:pt idx="370">
                  <c:v>-1.1388032826621395</c:v>
                </c:pt>
                <c:pt idx="371">
                  <c:v>1.7777943178882563</c:v>
                </c:pt>
                <c:pt idx="372">
                  <c:v>1.0180180373954577</c:v>
                </c:pt>
                <c:pt idx="373">
                  <c:v>0.62237041579367791</c:v>
                </c:pt>
                <c:pt idx="374">
                  <c:v>1.383895602639974</c:v>
                </c:pt>
                <c:pt idx="375">
                  <c:v>-0.10101874482120801</c:v>
                </c:pt>
                <c:pt idx="376">
                  <c:v>0.14019033292592553</c:v>
                </c:pt>
                <c:pt idx="377">
                  <c:v>-0.29897393314502291</c:v>
                </c:pt>
                <c:pt idx="378">
                  <c:v>-0.26262207741385835</c:v>
                </c:pt>
                <c:pt idx="379">
                  <c:v>0.63740773533521833</c:v>
                </c:pt>
                <c:pt idx="380">
                  <c:v>-6.2961789282328082E-2</c:v>
                </c:pt>
                <c:pt idx="381">
                  <c:v>-1.9392766097706504</c:v>
                </c:pt>
                <c:pt idx="382">
                  <c:v>-9.6371086121281743E-2</c:v>
                </c:pt>
                <c:pt idx="383">
                  <c:v>-0.40502124125595845</c:v>
                </c:pt>
                <c:pt idx="384">
                  <c:v>-0.1441085475183991</c:v>
                </c:pt>
                <c:pt idx="385">
                  <c:v>0.91600307475552356</c:v>
                </c:pt>
                <c:pt idx="386">
                  <c:v>0.28176963210817269</c:v>
                </c:pt>
                <c:pt idx="387">
                  <c:v>-1.4243549462058589</c:v>
                </c:pt>
                <c:pt idx="388">
                  <c:v>8.1991315788922131E-2</c:v>
                </c:pt>
                <c:pt idx="389">
                  <c:v>-1.8387895814791531</c:v>
                </c:pt>
                <c:pt idx="390">
                  <c:v>-0.96895202431227256</c:v>
                </c:pt>
                <c:pt idx="391">
                  <c:v>-1.1037425321437855</c:v>
                </c:pt>
                <c:pt idx="392">
                  <c:v>-1.8914813071498833</c:v>
                </c:pt>
                <c:pt idx="393">
                  <c:v>0.27717522294529962</c:v>
                </c:pt>
                <c:pt idx="394">
                  <c:v>-1.2171976789799912</c:v>
                </c:pt>
                <c:pt idx="395">
                  <c:v>-0.14966314315554013</c:v>
                </c:pt>
                <c:pt idx="396">
                  <c:v>-0.53839946849719578</c:v>
                </c:pt>
                <c:pt idx="397">
                  <c:v>2.4347568825681702</c:v>
                </c:pt>
                <c:pt idx="398">
                  <c:v>1.8886018254227877</c:v>
                </c:pt>
                <c:pt idx="399">
                  <c:v>0.68629513569775069</c:v>
                </c:pt>
                <c:pt idx="400">
                  <c:v>0.94225498950850861</c:v>
                </c:pt>
                <c:pt idx="401">
                  <c:v>-2.4391094221877574</c:v>
                </c:pt>
                <c:pt idx="402">
                  <c:v>0.51569646941109537</c:v>
                </c:pt>
                <c:pt idx="403">
                  <c:v>-0.37017862340657331</c:v>
                </c:pt>
                <c:pt idx="404">
                  <c:v>0.84012248347967422</c:v>
                </c:pt>
                <c:pt idx="405">
                  <c:v>1.4517177775713657</c:v>
                </c:pt>
                <c:pt idx="406">
                  <c:v>-1.8115705073705493</c:v>
                </c:pt>
                <c:pt idx="407">
                  <c:v>-1.8969467682634324</c:v>
                </c:pt>
                <c:pt idx="408">
                  <c:v>-0.38405482229826943</c:v>
                </c:pt>
                <c:pt idx="409">
                  <c:v>1.5766743077059306</c:v>
                </c:pt>
                <c:pt idx="410">
                  <c:v>8.8122082633474971E-2</c:v>
                </c:pt>
                <c:pt idx="411">
                  <c:v>-2.1173137043269175</c:v>
                </c:pt>
                <c:pt idx="412">
                  <c:v>-0.71662412733491443</c:v>
                </c:pt>
                <c:pt idx="413">
                  <c:v>-1.0142864698185892</c:v>
                </c:pt>
                <c:pt idx="414">
                  <c:v>-1.841217628857363</c:v>
                </c:pt>
                <c:pt idx="415">
                  <c:v>1.4956809844988717</c:v>
                </c:pt>
                <c:pt idx="416">
                  <c:v>2.2372746986266194</c:v>
                </c:pt>
                <c:pt idx="417">
                  <c:v>-0.24426122951660992</c:v>
                </c:pt>
                <c:pt idx="418">
                  <c:v>-1.5473463284818583</c:v>
                </c:pt>
                <c:pt idx="419">
                  <c:v>1.8642627244987469</c:v>
                </c:pt>
                <c:pt idx="420">
                  <c:v>-0.52547110022934207</c:v>
                </c:pt>
                <c:pt idx="421">
                  <c:v>-0.79340161201240045</c:v>
                </c:pt>
                <c:pt idx="422">
                  <c:v>-2.9518095946517162</c:v>
                </c:pt>
                <c:pt idx="423">
                  <c:v>-0.72338369327960894</c:v>
                </c:pt>
                <c:pt idx="424">
                  <c:v>2.5698324022346437</c:v>
                </c:pt>
                <c:pt idx="425">
                  <c:v>-0.42918454935621553</c:v>
                </c:pt>
                <c:pt idx="426">
                  <c:v>-1.2961554353542191</c:v>
                </c:pt>
                <c:pt idx="427">
                  <c:v>-0.74209561140831015</c:v>
                </c:pt>
                <c:pt idx="428">
                  <c:v>2.1408493905025305</c:v>
                </c:pt>
                <c:pt idx="429">
                  <c:v>2.2383840279651341</c:v>
                </c:pt>
                <c:pt idx="430">
                  <c:v>1.2347803738532308</c:v>
                </c:pt>
                <c:pt idx="431">
                  <c:v>1.1662250349640797</c:v>
                </c:pt>
                <c:pt idx="432">
                  <c:v>-4.3467350194473814E-2</c:v>
                </c:pt>
                <c:pt idx="433">
                  <c:v>1.1304184094790926</c:v>
                </c:pt>
                <c:pt idx="434">
                  <c:v>-1.2272780670315009</c:v>
                </c:pt>
                <c:pt idx="435">
                  <c:v>1.4343931206577758</c:v>
                </c:pt>
                <c:pt idx="436">
                  <c:v>0.50661923471736725</c:v>
                </c:pt>
                <c:pt idx="437">
                  <c:v>0.71449639670178322</c:v>
                </c:pt>
                <c:pt idx="438">
                  <c:v>1.2256530405287251</c:v>
                </c:pt>
                <c:pt idx="439">
                  <c:v>-0.62937213921756074</c:v>
                </c:pt>
                <c:pt idx="440">
                  <c:v>-1.565253289009114</c:v>
                </c:pt>
                <c:pt idx="441">
                  <c:v>0.34102873691343211</c:v>
                </c:pt>
                <c:pt idx="442">
                  <c:v>0.80908782936563506</c:v>
                </c:pt>
                <c:pt idx="443">
                  <c:v>-1.2551716914267854</c:v>
                </c:pt>
                <c:pt idx="444">
                  <c:v>-0.97168693868892442</c:v>
                </c:pt>
                <c:pt idx="445">
                  <c:v>0.42533724601944589</c:v>
                </c:pt>
                <c:pt idx="446">
                  <c:v>-0.26509873983659188</c:v>
                </c:pt>
                <c:pt idx="447">
                  <c:v>-1.6877289295676741</c:v>
                </c:pt>
                <c:pt idx="448">
                  <c:v>-0.34175405039738943</c:v>
                </c:pt>
                <c:pt idx="449">
                  <c:v>1.1174658040455339</c:v>
                </c:pt>
                <c:pt idx="450">
                  <c:v>-1.2144137417661622</c:v>
                </c:pt>
                <c:pt idx="451">
                  <c:v>-2.0489050878878878E-2</c:v>
                </c:pt>
                <c:pt idx="452">
                  <c:v>1.605759969396757</c:v>
                </c:pt>
                <c:pt idx="453">
                  <c:v>-6.1852759058856892E-2</c:v>
                </c:pt>
                <c:pt idx="454">
                  <c:v>-1.4752940385025051</c:v>
                </c:pt>
                <c:pt idx="455">
                  <c:v>-2.7739970776072824</c:v>
                </c:pt>
                <c:pt idx="456">
                  <c:v>0.56978589721381123</c:v>
                </c:pt>
                <c:pt idx="457">
                  <c:v>-2.8146327383778869</c:v>
                </c:pt>
                <c:pt idx="458">
                  <c:v>0.20981030848822138</c:v>
                </c:pt>
                <c:pt idx="459">
                  <c:v>2.4746890505645358</c:v>
                </c:pt>
                <c:pt idx="460">
                  <c:v>-3.6284548104956205</c:v>
                </c:pt>
                <c:pt idx="461">
                  <c:v>0.56753139574000089</c:v>
                </c:pt>
                <c:pt idx="462">
                  <c:v>0.48371027439125791</c:v>
                </c:pt>
                <c:pt idx="463">
                  <c:v>2.9862434977535641</c:v>
                </c:pt>
                <c:pt idx="464">
                  <c:v>-3.5649753381843086</c:v>
                </c:pt>
                <c:pt idx="465">
                  <c:v>-0.56741590645474171</c:v>
                </c:pt>
                <c:pt idx="466">
                  <c:v>-3.2037134944001795</c:v>
                </c:pt>
                <c:pt idx="467">
                  <c:v>0.24578827632516215</c:v>
                </c:pt>
                <c:pt idx="468">
                  <c:v>-1.6463178415665973</c:v>
                </c:pt>
                <c:pt idx="469">
                  <c:v>-0.12960017076728153</c:v>
                </c:pt>
                <c:pt idx="470">
                  <c:v>2.3869743109555008</c:v>
                </c:pt>
                <c:pt idx="471">
                  <c:v>-0.39464299471406161</c:v>
                </c:pt>
                <c:pt idx="472">
                  <c:v>2.0169610355263505</c:v>
                </c:pt>
                <c:pt idx="473">
                  <c:v>-4.0395221150201177</c:v>
                </c:pt>
                <c:pt idx="474">
                  <c:v>-0.58338090771928075</c:v>
                </c:pt>
                <c:pt idx="475">
                  <c:v>1.4612424662700728E-2</c:v>
                </c:pt>
                <c:pt idx="476">
                  <c:v>1.8555067976295414</c:v>
                </c:pt>
                <c:pt idx="477">
                  <c:v>-0.81207927021075765</c:v>
                </c:pt>
                <c:pt idx="478">
                  <c:v>0.94507646873763163</c:v>
                </c:pt>
                <c:pt idx="479">
                  <c:v>1.9883229070582857</c:v>
                </c:pt>
                <c:pt idx="480">
                  <c:v>2.4742227391912848</c:v>
                </c:pt>
                <c:pt idx="481">
                  <c:v>-0.62742891223210173</c:v>
                </c:pt>
                <c:pt idx="482">
                  <c:v>-0.74827874109120129</c:v>
                </c:pt>
                <c:pt idx="483">
                  <c:v>1.8431056049038985</c:v>
                </c:pt>
                <c:pt idx="484">
                  <c:v>-1.6347364741597616</c:v>
                </c:pt>
                <c:pt idx="485">
                  <c:v>0.31373675320187533</c:v>
                </c:pt>
                <c:pt idx="486">
                  <c:v>0.95233935794129709</c:v>
                </c:pt>
                <c:pt idx="487">
                  <c:v>-1.0793908688002887</c:v>
                </c:pt>
                <c:pt idx="488">
                  <c:v>-2.379870595295662</c:v>
                </c:pt>
                <c:pt idx="489">
                  <c:v>-2.9110313553120855</c:v>
                </c:pt>
                <c:pt idx="490">
                  <c:v>-3.8768374153391822</c:v>
                </c:pt>
                <c:pt idx="491">
                  <c:v>-0.3773705672293024</c:v>
                </c:pt>
                <c:pt idx="492">
                  <c:v>1.4592502168395967</c:v>
                </c:pt>
                <c:pt idx="493">
                  <c:v>-3.2511959134456765</c:v>
                </c:pt>
                <c:pt idx="494">
                  <c:v>0.22008470670372465</c:v>
                </c:pt>
                <c:pt idx="495">
                  <c:v>2.447725615264877</c:v>
                </c:pt>
                <c:pt idx="496">
                  <c:v>-0.13015334188626965</c:v>
                </c:pt>
                <c:pt idx="497">
                  <c:v>0.95321937609877272</c:v>
                </c:pt>
                <c:pt idx="498">
                  <c:v>3.056329085577735</c:v>
                </c:pt>
                <c:pt idx="499">
                  <c:v>-0.29731014842498876</c:v>
                </c:pt>
                <c:pt idx="500">
                  <c:v>-2.0143021607082865</c:v>
                </c:pt>
                <c:pt idx="501">
                  <c:v>-7.1175308448149427E-2</c:v>
                </c:pt>
                <c:pt idx="502">
                  <c:v>-0.87592273026031053</c:v>
                </c:pt>
                <c:pt idx="503">
                  <c:v>1.0553762105785898</c:v>
                </c:pt>
                <c:pt idx="504">
                  <c:v>0.15841770513916306</c:v>
                </c:pt>
                <c:pt idx="505">
                  <c:v>0.35731157621646592</c:v>
                </c:pt>
                <c:pt idx="506">
                  <c:v>1.496457811020836</c:v>
                </c:pt>
                <c:pt idx="507">
                  <c:v>-8.3021149894168075E-2</c:v>
                </c:pt>
                <c:pt idx="508">
                  <c:v>-1.1527473598366988</c:v>
                </c:pt>
                <c:pt idx="509">
                  <c:v>-0.92439089567068689</c:v>
                </c:pt>
                <c:pt idx="510">
                  <c:v>-0.44568974546978057</c:v>
                </c:pt>
                <c:pt idx="511">
                  <c:v>-0.29985953947887806</c:v>
                </c:pt>
                <c:pt idx="512">
                  <c:v>1.9201241036518699</c:v>
                </c:pt>
                <c:pt idx="513">
                  <c:v>-0.83636194203708747</c:v>
                </c:pt>
                <c:pt idx="514">
                  <c:v>2.7628333137554368</c:v>
                </c:pt>
                <c:pt idx="515">
                  <c:v>0.58958160281861249</c:v>
                </c:pt>
                <c:pt idx="516">
                  <c:v>0.98613601353568847</c:v>
                </c:pt>
                <c:pt idx="517">
                  <c:v>-0.93324497680640439</c:v>
                </c:pt>
                <c:pt idx="518">
                  <c:v>0.13151152429681814</c:v>
                </c:pt>
                <c:pt idx="519">
                  <c:v>-1.1543193070554891</c:v>
                </c:pt>
                <c:pt idx="520">
                  <c:v>2.6156259165274593</c:v>
                </c:pt>
                <c:pt idx="521">
                  <c:v>1.2133382708562634</c:v>
                </c:pt>
                <c:pt idx="522">
                  <c:v>1.4207733466259733</c:v>
                </c:pt>
                <c:pt idx="523">
                  <c:v>-0.28230463236237296</c:v>
                </c:pt>
                <c:pt idx="524">
                  <c:v>-0.666240958765416</c:v>
                </c:pt>
                <c:pt idx="525">
                  <c:v>1.5638481713144592</c:v>
                </c:pt>
                <c:pt idx="526">
                  <c:v>-7.7734484990998512E-2</c:v>
                </c:pt>
                <c:pt idx="527">
                  <c:v>-0.16257460367924392</c:v>
                </c:pt>
                <c:pt idx="528">
                  <c:v>-0.12375789770792654</c:v>
                </c:pt>
                <c:pt idx="529">
                  <c:v>-0.42487306947242659</c:v>
                </c:pt>
                <c:pt idx="530">
                  <c:v>2.1290634013103675</c:v>
                </c:pt>
                <c:pt idx="531">
                  <c:v>-7.0542296876172028E-2</c:v>
                </c:pt>
                <c:pt idx="532">
                  <c:v>1.7322396708554284</c:v>
                </c:pt>
                <c:pt idx="533">
                  <c:v>0.39694870506876379</c:v>
                </c:pt>
                <c:pt idx="534">
                  <c:v>0.18756661407353473</c:v>
                </c:pt>
                <c:pt idx="535">
                  <c:v>-0.72377589891293914</c:v>
                </c:pt>
                <c:pt idx="536">
                  <c:v>0.22695154935376874</c:v>
                </c:pt>
                <c:pt idx="537">
                  <c:v>-1.2899942573545597</c:v>
                </c:pt>
                <c:pt idx="538">
                  <c:v>-2.1400124867564654</c:v>
                </c:pt>
                <c:pt idx="539">
                  <c:v>-0.22378014446627997</c:v>
                </c:pt>
                <c:pt idx="540">
                  <c:v>0.29161509713642875</c:v>
                </c:pt>
                <c:pt idx="541">
                  <c:v>1.4091582000449059</c:v>
                </c:pt>
                <c:pt idx="542">
                  <c:v>-3.3688010821314949</c:v>
                </c:pt>
                <c:pt idx="543">
                  <c:v>-0.66664037893760764</c:v>
                </c:pt>
                <c:pt idx="544">
                  <c:v>-1.1028107408059891</c:v>
                </c:pt>
                <c:pt idx="545">
                  <c:v>-0.781704698255962</c:v>
                </c:pt>
                <c:pt idx="546">
                  <c:v>0.29962073324904953</c:v>
                </c:pt>
                <c:pt idx="547">
                  <c:v>-1.0736478566116614</c:v>
                </c:pt>
                <c:pt idx="548">
                  <c:v>-0.40950395743401719</c:v>
                </c:pt>
                <c:pt idx="549">
                  <c:v>1.8340971140092941</c:v>
                </c:pt>
                <c:pt idx="550">
                  <c:v>0.66107686934497734</c:v>
                </c:pt>
                <c:pt idx="551">
                  <c:v>1.5271405678227212</c:v>
                </c:pt>
                <c:pt idx="552">
                  <c:v>1.0584261044018657</c:v>
                </c:pt>
                <c:pt idx="553">
                  <c:v>-4.3236562775976077</c:v>
                </c:pt>
                <c:pt idx="554">
                  <c:v>0.33869946525152411</c:v>
                </c:pt>
                <c:pt idx="555">
                  <c:v>-1.1317761485652673</c:v>
                </c:pt>
                <c:pt idx="556">
                  <c:v>-0.71821292629474365</c:v>
                </c:pt>
                <c:pt idx="557">
                  <c:v>0.6857148758303564</c:v>
                </c:pt>
                <c:pt idx="558">
                  <c:v>-1.1272112803181638</c:v>
                </c:pt>
                <c:pt idx="559">
                  <c:v>-1.7116493297336828</c:v>
                </c:pt>
                <c:pt idx="560">
                  <c:v>-0.84275962880581057</c:v>
                </c:pt>
                <c:pt idx="561">
                  <c:v>-1.7232616372049889</c:v>
                </c:pt>
                <c:pt idx="562">
                  <c:v>-1.0340542018774908</c:v>
                </c:pt>
                <c:pt idx="563">
                  <c:v>-0.21203598319033445</c:v>
                </c:pt>
                <c:pt idx="564">
                  <c:v>1.9672140136923577</c:v>
                </c:pt>
                <c:pt idx="565">
                  <c:v>-2.1126419721218421</c:v>
                </c:pt>
                <c:pt idx="566">
                  <c:v>-1.5066735888497889</c:v>
                </c:pt>
                <c:pt idx="567">
                  <c:v>2.5883947546031076</c:v>
                </c:pt>
                <c:pt idx="568">
                  <c:v>3.0583700111188739</c:v>
                </c:pt>
                <c:pt idx="569">
                  <c:v>-0.20179744811958111</c:v>
                </c:pt>
                <c:pt idx="570">
                  <c:v>-1.0245078344716809</c:v>
                </c:pt>
                <c:pt idx="571">
                  <c:v>-2.8003589245083513</c:v>
                </c:pt>
                <c:pt idx="572">
                  <c:v>-0.74924580867443613</c:v>
                </c:pt>
                <c:pt idx="573">
                  <c:v>-0.65192296512834247</c:v>
                </c:pt>
                <c:pt idx="574">
                  <c:v>-0.32907569019515903</c:v>
                </c:pt>
                <c:pt idx="575">
                  <c:v>2.5965675434648201</c:v>
                </c:pt>
                <c:pt idx="576">
                  <c:v>-2.3662705624933498</c:v>
                </c:pt>
                <c:pt idx="577">
                  <c:v>2.6480085513260874</c:v>
                </c:pt>
                <c:pt idx="578">
                  <c:v>1.1427561549232643</c:v>
                </c:pt>
                <c:pt idx="579">
                  <c:v>-0.6672078882144572</c:v>
                </c:pt>
                <c:pt idx="580">
                  <c:v>-0.79509412312321126</c:v>
                </c:pt>
                <c:pt idx="581">
                  <c:v>2.3724828003862695</c:v>
                </c:pt>
                <c:pt idx="582">
                  <c:v>1.1881953234294889</c:v>
                </c:pt>
                <c:pt idx="583">
                  <c:v>1.6266649812763667</c:v>
                </c:pt>
                <c:pt idx="584">
                  <c:v>-0.73877137474703281</c:v>
                </c:pt>
                <c:pt idx="585">
                  <c:v>-0.60825980264187662</c:v>
                </c:pt>
                <c:pt idx="586">
                  <c:v>2.4626375646783747</c:v>
                </c:pt>
                <c:pt idx="587">
                  <c:v>-0.74543841930141874</c:v>
                </c:pt>
                <c:pt idx="588">
                  <c:v>-0.41012608536201395</c:v>
                </c:pt>
                <c:pt idx="589">
                  <c:v>-2.5001944970306749</c:v>
                </c:pt>
                <c:pt idx="590">
                  <c:v>-1.0585979163175736</c:v>
                </c:pt>
                <c:pt idx="591">
                  <c:v>1.3618682272862992</c:v>
                </c:pt>
                <c:pt idx="592">
                  <c:v>0.96139820450597391</c:v>
                </c:pt>
                <c:pt idx="593">
                  <c:v>0.55978774823999011</c:v>
                </c:pt>
                <c:pt idx="594">
                  <c:v>-2.0777877333723422</c:v>
                </c:pt>
                <c:pt idx="595">
                  <c:v>5.5434472345454324</c:v>
                </c:pt>
                <c:pt idx="596">
                  <c:v>0.92407939601199962</c:v>
                </c:pt>
                <c:pt idx="597">
                  <c:v>-0.89357940159231031</c:v>
                </c:pt>
                <c:pt idx="598">
                  <c:v>0.87131214858803507</c:v>
                </c:pt>
                <c:pt idx="599">
                  <c:v>-0.825206113639952</c:v>
                </c:pt>
                <c:pt idx="600">
                  <c:v>-0.30893277996559604</c:v>
                </c:pt>
                <c:pt idx="601">
                  <c:v>0.47585745560691339</c:v>
                </c:pt>
                <c:pt idx="602">
                  <c:v>-0.38836518432215372</c:v>
                </c:pt>
                <c:pt idx="603">
                  <c:v>1.3579953113211813</c:v>
                </c:pt>
                <c:pt idx="604">
                  <c:v>0.59147063378277165</c:v>
                </c:pt>
                <c:pt idx="605">
                  <c:v>-2.8307087200735177E-2</c:v>
                </c:pt>
                <c:pt idx="606">
                  <c:v>-1.5444149702443006</c:v>
                </c:pt>
                <c:pt idx="607">
                  <c:v>-0.1591850532550933</c:v>
                </c:pt>
                <c:pt idx="608">
                  <c:v>3.094781472750106</c:v>
                </c:pt>
                <c:pt idx="609">
                  <c:v>-8.6762366700896876E-2</c:v>
                </c:pt>
                <c:pt idx="610">
                  <c:v>-0.11946317615054679</c:v>
                </c:pt>
                <c:pt idx="611">
                  <c:v>-1.7894245646781364</c:v>
                </c:pt>
                <c:pt idx="612">
                  <c:v>-1.4399175760970664</c:v>
                </c:pt>
                <c:pt idx="613">
                  <c:v>-0.1862348589029941</c:v>
                </c:pt>
                <c:pt idx="614">
                  <c:v>0.7521759466384712</c:v>
                </c:pt>
                <c:pt idx="615">
                  <c:v>-0.73495462355336827</c:v>
                </c:pt>
                <c:pt idx="616">
                  <c:v>1.4279251114533886</c:v>
                </c:pt>
                <c:pt idx="617">
                  <c:v>0.72897037007337684</c:v>
                </c:pt>
                <c:pt idx="618">
                  <c:v>-0.60527657880661068</c:v>
                </c:pt>
                <c:pt idx="619">
                  <c:v>-2.4921658340258142</c:v>
                </c:pt>
                <c:pt idx="620">
                  <c:v>-1.1137778348199929</c:v>
                </c:pt>
                <c:pt idx="621">
                  <c:v>-0.90074655535828085</c:v>
                </c:pt>
                <c:pt idx="622">
                  <c:v>0.10372846193741811</c:v>
                </c:pt>
                <c:pt idx="623">
                  <c:v>1.4868040255179784</c:v>
                </c:pt>
                <c:pt idx="624">
                  <c:v>-1.4451686760656395</c:v>
                </c:pt>
                <c:pt idx="625">
                  <c:v>0.58680563731069546</c:v>
                </c:pt>
                <c:pt idx="626">
                  <c:v>-0.40496044028069356</c:v>
                </c:pt>
                <c:pt idx="627">
                  <c:v>-1.2020630671802626</c:v>
                </c:pt>
                <c:pt idx="628">
                  <c:v>1.7461316021801641</c:v>
                </c:pt>
                <c:pt idx="629">
                  <c:v>-0.25407348906809063</c:v>
                </c:pt>
                <c:pt idx="630">
                  <c:v>-0.40005209011590387</c:v>
                </c:pt>
                <c:pt idx="631">
                  <c:v>0.75389499338413157</c:v>
                </c:pt>
                <c:pt idx="632">
                  <c:v>-1.1645561735492334</c:v>
                </c:pt>
                <c:pt idx="633">
                  <c:v>2.2840786744045589</c:v>
                </c:pt>
                <c:pt idx="634">
                  <c:v>-7.6763506782910287E-2</c:v>
                </c:pt>
                <c:pt idx="635">
                  <c:v>0.69782558985017951</c:v>
                </c:pt>
                <c:pt idx="636">
                  <c:v>1.2849397206098139</c:v>
                </c:pt>
                <c:pt idx="637">
                  <c:v>0.34159527006431223</c:v>
                </c:pt>
                <c:pt idx="638">
                  <c:v>0.39968166058692128</c:v>
                </c:pt>
                <c:pt idx="639">
                  <c:v>-0.20304619300891819</c:v>
                </c:pt>
                <c:pt idx="640">
                  <c:v>-1.5562632643191925</c:v>
                </c:pt>
                <c:pt idx="641">
                  <c:v>-0.76383480195273479</c:v>
                </c:pt>
                <c:pt idx="642">
                  <c:v>1.8918399015094252</c:v>
                </c:pt>
                <c:pt idx="643">
                  <c:v>1.1881357596139519</c:v>
                </c:pt>
                <c:pt idx="644">
                  <c:v>-7.1147641306433071E-2</c:v>
                </c:pt>
                <c:pt idx="645">
                  <c:v>-1.8172991946626624E-2</c:v>
                </c:pt>
                <c:pt idx="646">
                  <c:v>1.1007863115068408</c:v>
                </c:pt>
                <c:pt idx="647">
                  <c:v>0.2494809663016013</c:v>
                </c:pt>
                <c:pt idx="648">
                  <c:v>-1.2968731575016696</c:v>
                </c:pt>
                <c:pt idx="649">
                  <c:v>1.4642450911824203</c:v>
                </c:pt>
                <c:pt idx="650">
                  <c:v>1.0452337732424111</c:v>
                </c:pt>
                <c:pt idx="651">
                  <c:v>1.4699420519954112</c:v>
                </c:pt>
                <c:pt idx="652">
                  <c:v>-1.0354661511665899</c:v>
                </c:pt>
                <c:pt idx="653">
                  <c:v>-0.61404865973000333</c:v>
                </c:pt>
                <c:pt idx="654">
                  <c:v>1.2872529846171827</c:v>
                </c:pt>
                <c:pt idx="655">
                  <c:v>-1.1080691642651375</c:v>
                </c:pt>
                <c:pt idx="656">
                  <c:v>-0.88298290859814743</c:v>
                </c:pt>
                <c:pt idx="657">
                  <c:v>0.21952713463187645</c:v>
                </c:pt>
                <c:pt idx="658">
                  <c:v>1.1448590134116927</c:v>
                </c:pt>
                <c:pt idx="659">
                  <c:v>-2.8037676836766445E-2</c:v>
                </c:pt>
                <c:pt idx="660">
                  <c:v>0.27731236687435484</c:v>
                </c:pt>
                <c:pt idx="661">
                  <c:v>-1.3788697077828265</c:v>
                </c:pt>
                <c:pt idx="662">
                  <c:v>-0.27674487398573028</c:v>
                </c:pt>
                <c:pt idx="663">
                  <c:v>-2.0041234687148357</c:v>
                </c:pt>
                <c:pt idx="664">
                  <c:v>-0.15735464083615514</c:v>
                </c:pt>
                <c:pt idx="665">
                  <c:v>0.53294245875145585</c:v>
                </c:pt>
                <c:pt idx="666">
                  <c:v>-1.0537544363360898</c:v>
                </c:pt>
                <c:pt idx="667">
                  <c:v>0.30730168965551524</c:v>
                </c:pt>
                <c:pt idx="668">
                  <c:v>-0.30359797500903241</c:v>
                </c:pt>
                <c:pt idx="669">
                  <c:v>-0.47252622696875979</c:v>
                </c:pt>
                <c:pt idx="670">
                  <c:v>0.75821419804170276</c:v>
                </c:pt>
                <c:pt idx="671">
                  <c:v>1.6147789066522655</c:v>
                </c:pt>
                <c:pt idx="672">
                  <c:v>6.8715950999105213E-2</c:v>
                </c:pt>
                <c:pt idx="673">
                  <c:v>-1.532696706369403</c:v>
                </c:pt>
                <c:pt idx="674">
                  <c:v>0.14148210025663266</c:v>
                </c:pt>
                <c:pt idx="675">
                  <c:v>-1.8459372596762045</c:v>
                </c:pt>
                <c:pt idx="676">
                  <c:v>-1.447814369423631</c:v>
                </c:pt>
                <c:pt idx="677">
                  <c:v>-0.15097408062481846</c:v>
                </c:pt>
                <c:pt idx="678">
                  <c:v>1.6476647924144587</c:v>
                </c:pt>
                <c:pt idx="679">
                  <c:v>-0.69808562265104468</c:v>
                </c:pt>
                <c:pt idx="680">
                  <c:v>1.7561980816715708</c:v>
                </c:pt>
                <c:pt idx="681">
                  <c:v>-1.1019422869090145</c:v>
                </c:pt>
                <c:pt idx="682">
                  <c:v>0.8918358593079857</c:v>
                </c:pt>
                <c:pt idx="683">
                  <c:v>1.2982181765728489</c:v>
                </c:pt>
                <c:pt idx="684">
                  <c:v>-1.6463187662851926</c:v>
                </c:pt>
                <c:pt idx="685">
                  <c:v>0.29845287111662017</c:v>
                </c:pt>
                <c:pt idx="686">
                  <c:v>0.56398022650377799</c:v>
                </c:pt>
                <c:pt idx="687">
                  <c:v>0.16469444647305631</c:v>
                </c:pt>
                <c:pt idx="688">
                  <c:v>-0.15738410521102841</c:v>
                </c:pt>
                <c:pt idx="689">
                  <c:v>1.4237259113583303</c:v>
                </c:pt>
                <c:pt idx="690">
                  <c:v>0.57152646227106008</c:v>
                </c:pt>
                <c:pt idx="691">
                  <c:v>1.443654757173233</c:v>
                </c:pt>
                <c:pt idx="692">
                  <c:v>0.36989178231868164</c:v>
                </c:pt>
                <c:pt idx="693">
                  <c:v>-0.57970522559043025</c:v>
                </c:pt>
                <c:pt idx="694">
                  <c:v>-0.24923181973370367</c:v>
                </c:pt>
                <c:pt idx="695">
                  <c:v>0.35791295674241336</c:v>
                </c:pt>
                <c:pt idx="696">
                  <c:v>9.9634106532958067E-2</c:v>
                </c:pt>
                <c:pt idx="697">
                  <c:v>-4.1371489203275835E-3</c:v>
                </c:pt>
                <c:pt idx="698">
                  <c:v>-0.41348863697206045</c:v>
                </c:pt>
                <c:pt idx="699">
                  <c:v>1.3262625398648673</c:v>
                </c:pt>
                <c:pt idx="700">
                  <c:v>-0.2069354737568177</c:v>
                </c:pt>
                <c:pt idx="701">
                  <c:v>0.33062325383550478</c:v>
                </c:pt>
                <c:pt idx="702">
                  <c:v>8.5514968732841173E-2</c:v>
                </c:pt>
                <c:pt idx="703">
                  <c:v>-8.4238496029828691E-3</c:v>
                </c:pt>
                <c:pt idx="704">
                  <c:v>-0.5952552882162192</c:v>
                </c:pt>
                <c:pt idx="705">
                  <c:v>9.0319362485755283E-2</c:v>
                </c:pt>
                <c:pt idx="706">
                  <c:v>8.5157444502494892E-2</c:v>
                </c:pt>
                <c:pt idx="707">
                  <c:v>-1.581082126351204</c:v>
                </c:pt>
                <c:pt idx="708">
                  <c:v>-0.38412134697898204</c:v>
                </c:pt>
                <c:pt idx="709">
                  <c:v>1.9566123190639175</c:v>
                </c:pt>
                <c:pt idx="710">
                  <c:v>0.82532312863479984</c:v>
                </c:pt>
                <c:pt idx="711">
                  <c:v>-3.8613927875890346E-2</c:v>
                </c:pt>
                <c:pt idx="712">
                  <c:v>-1.1586253889876597</c:v>
                </c:pt>
                <c:pt idx="713">
                  <c:v>-0.69982862330625761</c:v>
                </c:pt>
                <c:pt idx="714">
                  <c:v>-0.72187251726456514</c:v>
                </c:pt>
                <c:pt idx="715">
                  <c:v>1.8474744042430651</c:v>
                </c:pt>
                <c:pt idx="716">
                  <c:v>4.5210033242668868E-2</c:v>
                </c:pt>
                <c:pt idx="717">
                  <c:v>-0.45793742085777644</c:v>
                </c:pt>
                <c:pt idx="718">
                  <c:v>0.44839130213126077</c:v>
                </c:pt>
                <c:pt idx="719">
                  <c:v>-0.16966193288929041</c:v>
                </c:pt>
                <c:pt idx="720">
                  <c:v>-0.15832974226629329</c:v>
                </c:pt>
                <c:pt idx="721">
                  <c:v>0.29582355337432392</c:v>
                </c:pt>
                <c:pt idx="722">
                  <c:v>-0.63777113735047219</c:v>
                </c:pt>
                <c:pt idx="723">
                  <c:v>1.1890800262780312</c:v>
                </c:pt>
                <c:pt idx="724">
                  <c:v>0.94451003541912004</c:v>
                </c:pt>
                <c:pt idx="725">
                  <c:v>-0.14459094103216061</c:v>
                </c:pt>
                <c:pt idx="726">
                  <c:v>1.5505799168902185E-2</c:v>
                </c:pt>
                <c:pt idx="727">
                  <c:v>-1.1222073018606502</c:v>
                </c:pt>
                <c:pt idx="728">
                  <c:v>-0.731863816402051</c:v>
                </c:pt>
                <c:pt idx="729">
                  <c:v>0.87576909244661216</c:v>
                </c:pt>
                <c:pt idx="730">
                  <c:v>1.3048987300302577</c:v>
                </c:pt>
                <c:pt idx="731">
                  <c:v>1.664506770990464E-3</c:v>
                </c:pt>
                <c:pt idx="732">
                  <c:v>-0.61086381707851845</c:v>
                </c:pt>
                <c:pt idx="733">
                  <c:v>0.98544677654355595</c:v>
                </c:pt>
                <c:pt idx="734">
                  <c:v>1.4534401637518761</c:v>
                </c:pt>
                <c:pt idx="735">
                  <c:v>-0.20035634473433936</c:v>
                </c:pt>
                <c:pt idx="736">
                  <c:v>0.235388261940816</c:v>
                </c:pt>
                <c:pt idx="737">
                  <c:v>-0.38119915496574169</c:v>
                </c:pt>
                <c:pt idx="738">
                  <c:v>0.61886060287942068</c:v>
                </c:pt>
                <c:pt idx="739">
                  <c:v>0.11481323635921827</c:v>
                </c:pt>
                <c:pt idx="740">
                  <c:v>0.93210758201012867</c:v>
                </c:pt>
                <c:pt idx="741">
                  <c:v>0.69325847616808578</c:v>
                </c:pt>
                <c:pt idx="742">
                  <c:v>8.1940760034880378E-2</c:v>
                </c:pt>
                <c:pt idx="743">
                  <c:v>1.2178136985173547</c:v>
                </c:pt>
                <c:pt idx="744">
                  <c:v>-0.36716193988033913</c:v>
                </c:pt>
                <c:pt idx="745">
                  <c:v>-0.47351341054383989</c:v>
                </c:pt>
                <c:pt idx="746">
                  <c:v>-0.52452770859775277</c:v>
                </c:pt>
                <c:pt idx="747">
                  <c:v>0.37107536265746605</c:v>
                </c:pt>
                <c:pt idx="748">
                  <c:v>-0.7658795633847586</c:v>
                </c:pt>
                <c:pt idx="749">
                  <c:v>-0.44867799822001136</c:v>
                </c:pt>
                <c:pt idx="750">
                  <c:v>1.1455777787018206</c:v>
                </c:pt>
                <c:pt idx="751">
                  <c:v>-3.5400978894168933E-2</c:v>
                </c:pt>
                <c:pt idx="752">
                  <c:v>0.44735266835128223</c:v>
                </c:pt>
                <c:pt idx="753">
                  <c:v>1.2269017659743</c:v>
                </c:pt>
                <c:pt idx="754">
                  <c:v>0.11706865481150007</c:v>
                </c:pt>
                <c:pt idx="755">
                  <c:v>-0.19683139606652397</c:v>
                </c:pt>
                <c:pt idx="756">
                  <c:v>-0.79225154155103117</c:v>
                </c:pt>
                <c:pt idx="757">
                  <c:v>-0.28651801277998018</c:v>
                </c:pt>
                <c:pt idx="758">
                  <c:v>0.24051194034939993</c:v>
                </c:pt>
                <c:pt idx="759">
                  <c:v>0.67422151567174904</c:v>
                </c:pt>
                <c:pt idx="760">
                  <c:v>0.74111451007599538</c:v>
                </c:pt>
                <c:pt idx="761">
                  <c:v>0.84701799577832881</c:v>
                </c:pt>
                <c:pt idx="762">
                  <c:v>-0.10243811584819404</c:v>
                </c:pt>
                <c:pt idx="763">
                  <c:v>0.38553564373576471</c:v>
                </c:pt>
                <c:pt idx="764">
                  <c:v>0.71172882225351164</c:v>
                </c:pt>
                <c:pt idx="765">
                  <c:v>0.23578588709501891</c:v>
                </c:pt>
                <c:pt idx="766">
                  <c:v>-0.67568751478409461</c:v>
                </c:pt>
                <c:pt idx="767">
                  <c:v>3.2415482693004531E-2</c:v>
                </c:pt>
                <c:pt idx="768">
                  <c:v>0.40340891555747982</c:v>
                </c:pt>
                <c:pt idx="769">
                  <c:v>0.28147120299298534</c:v>
                </c:pt>
                <c:pt idx="770">
                  <c:v>-1.554474478156429E-2</c:v>
                </c:pt>
                <c:pt idx="771">
                  <c:v>-0.64247002791920182</c:v>
                </c:pt>
                <c:pt idx="772">
                  <c:v>0.98778818753429176</c:v>
                </c:pt>
                <c:pt idx="773">
                  <c:v>0.14687171966488966</c:v>
                </c:pt>
                <c:pt idx="774">
                  <c:v>-0.26650918726684203</c:v>
                </c:pt>
                <c:pt idx="775">
                  <c:v>-1.3839575417382988</c:v>
                </c:pt>
                <c:pt idx="776">
                  <c:v>-0.25479739176096017</c:v>
                </c:pt>
                <c:pt idx="777">
                  <c:v>-0.5299996223808352</c:v>
                </c:pt>
                <c:pt idx="778">
                  <c:v>0.90240574538356955</c:v>
                </c:pt>
                <c:pt idx="779">
                  <c:v>-0.42182700223969982</c:v>
                </c:pt>
                <c:pt idx="780">
                  <c:v>-0.7038747560775056</c:v>
                </c:pt>
                <c:pt idx="781">
                  <c:v>2.5068771249698186E-2</c:v>
                </c:pt>
                <c:pt idx="782">
                  <c:v>-0.10696312010078132</c:v>
                </c:pt>
                <c:pt idx="783">
                  <c:v>0.5750383620255165</c:v>
                </c:pt>
                <c:pt idx="784">
                  <c:v>-1.1550831677699407</c:v>
                </c:pt>
                <c:pt idx="785">
                  <c:v>-0.75554433893813111</c:v>
                </c:pt>
                <c:pt idx="786">
                  <c:v>-0.77128643857295553</c:v>
                </c:pt>
                <c:pt idx="787">
                  <c:v>-1.48729166475905E-2</c:v>
                </c:pt>
                <c:pt idx="788">
                  <c:v>0.68791750482298364</c:v>
                </c:pt>
                <c:pt idx="789">
                  <c:v>-0.2777417910481742</c:v>
                </c:pt>
                <c:pt idx="790">
                  <c:v>1.1044888377340438</c:v>
                </c:pt>
                <c:pt idx="791">
                  <c:v>-1.3458039995401232</c:v>
                </c:pt>
                <c:pt idx="792">
                  <c:v>0.67179884423177594</c:v>
                </c:pt>
                <c:pt idx="793">
                  <c:v>0.62645975336552717</c:v>
                </c:pt>
                <c:pt idx="794">
                  <c:v>1.4508347036412907</c:v>
                </c:pt>
                <c:pt idx="795">
                  <c:v>0.38331298928546326</c:v>
                </c:pt>
                <c:pt idx="796">
                  <c:v>-0.15969452055098013</c:v>
                </c:pt>
                <c:pt idx="797">
                  <c:v>0.17991596526802336</c:v>
                </c:pt>
                <c:pt idx="798">
                  <c:v>-0.41941905810084457</c:v>
                </c:pt>
                <c:pt idx="799">
                  <c:v>-0.69715777558858938</c:v>
                </c:pt>
                <c:pt idx="800">
                  <c:v>-0.32113009127796427</c:v>
                </c:pt>
                <c:pt idx="801">
                  <c:v>0.14266008258557256</c:v>
                </c:pt>
                <c:pt idx="802">
                  <c:v>0.6723514803174041</c:v>
                </c:pt>
                <c:pt idx="803">
                  <c:v>-0.56958724980279263</c:v>
                </c:pt>
                <c:pt idx="804">
                  <c:v>0.12416235236110097</c:v>
                </c:pt>
                <c:pt idx="805">
                  <c:v>0.84298837813156446</c:v>
                </c:pt>
                <c:pt idx="806">
                  <c:v>-1.2159552507158697</c:v>
                </c:pt>
                <c:pt idx="807">
                  <c:v>7.212964460982664E-2</c:v>
                </c:pt>
                <c:pt idx="808">
                  <c:v>-0.2151102608492573</c:v>
                </c:pt>
                <c:pt idx="809">
                  <c:v>-0.93947951709627686</c:v>
                </c:pt>
                <c:pt idx="810">
                  <c:v>-1.6400890463858939</c:v>
                </c:pt>
                <c:pt idx="811">
                  <c:v>-0.22956120092377827</c:v>
                </c:pt>
                <c:pt idx="812">
                  <c:v>0.40230922718664086</c:v>
                </c:pt>
                <c:pt idx="813">
                  <c:v>-1.4734497768268808</c:v>
                </c:pt>
                <c:pt idx="814">
                  <c:v>2.2931861950202127E-2</c:v>
                </c:pt>
                <c:pt idx="815">
                  <c:v>0.58930731241708645</c:v>
                </c:pt>
                <c:pt idx="816">
                  <c:v>-0.27094913598622317</c:v>
                </c:pt>
                <c:pt idx="817">
                  <c:v>7.9290120217848561E-3</c:v>
                </c:pt>
                <c:pt idx="818">
                  <c:v>-1.3744085775780772</c:v>
                </c:pt>
                <c:pt idx="819">
                  <c:v>0.81098015108347854</c:v>
                </c:pt>
                <c:pt idx="820">
                  <c:v>-0.13040164174729757</c:v>
                </c:pt>
                <c:pt idx="821">
                  <c:v>1.1814879091820798</c:v>
                </c:pt>
                <c:pt idx="822">
                  <c:v>0.6303818034118569</c:v>
                </c:pt>
                <c:pt idx="823">
                  <c:v>0.52079729499084171</c:v>
                </c:pt>
                <c:pt idx="824">
                  <c:v>0.42930173648078207</c:v>
                </c:pt>
                <c:pt idx="825">
                  <c:v>-0.62463587658072739</c:v>
                </c:pt>
                <c:pt idx="826">
                  <c:v>-0.50188407696322035</c:v>
                </c:pt>
                <c:pt idx="827">
                  <c:v>1.0594346293018677</c:v>
                </c:pt>
                <c:pt idx="828">
                  <c:v>-9.8316501395932215E-3</c:v>
                </c:pt>
                <c:pt idx="829">
                  <c:v>-1.3399798774352754</c:v>
                </c:pt>
                <c:pt idx="830">
                  <c:v>-0.84828257544153252</c:v>
                </c:pt>
                <c:pt idx="831">
                  <c:v>-1.258532024310429</c:v>
                </c:pt>
                <c:pt idx="832">
                  <c:v>-0.16855422143100382</c:v>
                </c:pt>
                <c:pt idx="833">
                  <c:v>0.72657598694819892</c:v>
                </c:pt>
                <c:pt idx="834">
                  <c:v>-1.4339592436341686</c:v>
                </c:pt>
                <c:pt idx="835">
                  <c:v>-1.1832510503323772</c:v>
                </c:pt>
                <c:pt idx="836">
                  <c:v>-0.48003132530702119</c:v>
                </c:pt>
                <c:pt idx="837">
                  <c:v>1.2010093822027124</c:v>
                </c:pt>
                <c:pt idx="838">
                  <c:v>0.64749617214087662</c:v>
                </c:pt>
                <c:pt idx="839">
                  <c:v>1.0505985025513733</c:v>
                </c:pt>
                <c:pt idx="840">
                  <c:v>1.8858574846738703</c:v>
                </c:pt>
                <c:pt idx="841">
                  <c:v>0.93937162152773879</c:v>
                </c:pt>
                <c:pt idx="842">
                  <c:v>0.175296098973449</c:v>
                </c:pt>
                <c:pt idx="843">
                  <c:v>0.28401412741241477</c:v>
                </c:pt>
                <c:pt idx="844">
                  <c:v>0.10049378994056331</c:v>
                </c:pt>
                <c:pt idx="845">
                  <c:v>-0.80839102122395801</c:v>
                </c:pt>
                <c:pt idx="846">
                  <c:v>1.5616409996894525</c:v>
                </c:pt>
                <c:pt idx="847">
                  <c:v>-8.3574165843750284E-2</c:v>
                </c:pt>
                <c:pt idx="848">
                  <c:v>1.9074928313177826</c:v>
                </c:pt>
                <c:pt idx="849">
                  <c:v>0.15970816558045001</c:v>
                </c:pt>
                <c:pt idx="850">
                  <c:v>0.11903492875669955</c:v>
                </c:pt>
                <c:pt idx="851">
                  <c:v>0.12820967827801213</c:v>
                </c:pt>
                <c:pt idx="852">
                  <c:v>0.73903084168877564</c:v>
                </c:pt>
                <c:pt idx="853">
                  <c:v>-0.20209439281521466</c:v>
                </c:pt>
                <c:pt idx="854">
                  <c:v>0.40610904347328547</c:v>
                </c:pt>
                <c:pt idx="855">
                  <c:v>5.9693369207883359E-2</c:v>
                </c:pt>
                <c:pt idx="856">
                  <c:v>-0.1954230217531453</c:v>
                </c:pt>
                <c:pt idx="857">
                  <c:v>9.8012715281853263E-2</c:v>
                </c:pt>
                <c:pt idx="858">
                  <c:v>-9.4623580371872865E-2</c:v>
                </c:pt>
                <c:pt idx="859">
                  <c:v>0.37841330116161576</c:v>
                </c:pt>
                <c:pt idx="860">
                  <c:v>0.58737247690354055</c:v>
                </c:pt>
                <c:pt idx="861">
                  <c:v>-0.54084877345945948</c:v>
                </c:pt>
                <c:pt idx="862">
                  <c:v>-5.6895517946147403E-2</c:v>
                </c:pt>
                <c:pt idx="863">
                  <c:v>-0.39061302598102426</c:v>
                </c:pt>
                <c:pt idx="864">
                  <c:v>0.79681887922204098</c:v>
                </c:pt>
                <c:pt idx="865">
                  <c:v>0.4095438100658747</c:v>
                </c:pt>
                <c:pt idx="866">
                  <c:v>0.39245325636297057</c:v>
                </c:pt>
                <c:pt idx="867">
                  <c:v>0.45993025328614801</c:v>
                </c:pt>
                <c:pt idx="868">
                  <c:v>1.3650752632599077</c:v>
                </c:pt>
                <c:pt idx="869">
                  <c:v>0.26470706954827794</c:v>
                </c:pt>
                <c:pt idx="870">
                  <c:v>-7.6278458751487333E-3</c:v>
                </c:pt>
                <c:pt idx="871">
                  <c:v>0.45283194785547526</c:v>
                </c:pt>
                <c:pt idx="872">
                  <c:v>0.58663955313295235</c:v>
                </c:pt>
                <c:pt idx="873">
                  <c:v>-1.4684263175886001</c:v>
                </c:pt>
                <c:pt idx="874">
                  <c:v>1.0301488820543305</c:v>
                </c:pt>
                <c:pt idx="875">
                  <c:v>0.16600832148312233</c:v>
                </c:pt>
                <c:pt idx="876">
                  <c:v>0.42316647141838359</c:v>
                </c:pt>
                <c:pt idx="877">
                  <c:v>0.14304413843656583</c:v>
                </c:pt>
                <c:pt idx="878">
                  <c:v>3.7017052940668912E-2</c:v>
                </c:pt>
                <c:pt idx="879">
                  <c:v>-0.28264709879060568</c:v>
                </c:pt>
                <c:pt idx="880">
                  <c:v>-0.56605790982068549</c:v>
                </c:pt>
                <c:pt idx="881">
                  <c:v>-0.80163109367191154</c:v>
                </c:pt>
                <c:pt idx="882">
                  <c:v>-0.34284062480738026</c:v>
                </c:pt>
                <c:pt idx="883">
                  <c:v>0.18256737503944587</c:v>
                </c:pt>
                <c:pt idx="884">
                  <c:v>1.4114671594383124</c:v>
                </c:pt>
                <c:pt idx="885">
                  <c:v>-0.14778924917183364</c:v>
                </c:pt>
                <c:pt idx="886">
                  <c:v>0.56659308314937062</c:v>
                </c:pt>
                <c:pt idx="887">
                  <c:v>-6.7106377196375758E-2</c:v>
                </c:pt>
                <c:pt idx="888">
                  <c:v>7.5100831757404354E-2</c:v>
                </c:pt>
                <c:pt idx="889">
                  <c:v>-0.37313198838588252</c:v>
                </c:pt>
                <c:pt idx="890">
                  <c:v>-0.5616893062916658</c:v>
                </c:pt>
                <c:pt idx="891">
                  <c:v>0.88052650125230914</c:v>
                </c:pt>
                <c:pt idx="892">
                  <c:v>1.2313478102632704</c:v>
                </c:pt>
                <c:pt idx="893">
                  <c:v>0.21943010159489507</c:v>
                </c:pt>
                <c:pt idx="894">
                  <c:v>0.29213904746589625</c:v>
                </c:pt>
                <c:pt idx="895">
                  <c:v>8.119886527154993E-2</c:v>
                </c:pt>
                <c:pt idx="896">
                  <c:v>0.52602931057501046</c:v>
                </c:pt>
                <c:pt idx="897">
                  <c:v>-6.5179724406222925E-2</c:v>
                </c:pt>
                <c:pt idx="898">
                  <c:v>0.75567832147815328</c:v>
                </c:pt>
                <c:pt idx="899">
                  <c:v>-6.0065788272155578E-2</c:v>
                </c:pt>
                <c:pt idx="900">
                  <c:v>-1.6105681862021621</c:v>
                </c:pt>
                <c:pt idx="901">
                  <c:v>1.2493679898465626</c:v>
                </c:pt>
                <c:pt idx="902">
                  <c:v>1.0684461873673885</c:v>
                </c:pt>
                <c:pt idx="903">
                  <c:v>-0.31863768273768805</c:v>
                </c:pt>
                <c:pt idx="904">
                  <c:v>0.23104266601384968</c:v>
                </c:pt>
                <c:pt idx="905">
                  <c:v>0.8241442161546968</c:v>
                </c:pt>
                <c:pt idx="906">
                  <c:v>5.7056371695223963E-2</c:v>
                </c:pt>
                <c:pt idx="907">
                  <c:v>0.57424003233351184</c:v>
                </c:pt>
                <c:pt idx="908">
                  <c:v>-9.4894968975105035E-2</c:v>
                </c:pt>
                <c:pt idx="909">
                  <c:v>-1.3674270785210214</c:v>
                </c:pt>
                <c:pt idx="910">
                  <c:v>0.95797236921001738</c:v>
                </c:pt>
                <c:pt idx="911">
                  <c:v>0.58212781615079079</c:v>
                </c:pt>
                <c:pt idx="912">
                  <c:v>-0.48034387531736011</c:v>
                </c:pt>
                <c:pt idx="913">
                  <c:v>-0.60053100845656915</c:v>
                </c:pt>
                <c:pt idx="914">
                  <c:v>0.12641920124771056</c:v>
                </c:pt>
                <c:pt idx="915">
                  <c:v>2.1122887309807612</c:v>
                </c:pt>
                <c:pt idx="916">
                  <c:v>3.479436920954735E-2</c:v>
                </c:pt>
                <c:pt idx="917">
                  <c:v>-0.37867473667663176</c:v>
                </c:pt>
                <c:pt idx="918">
                  <c:v>0.17062725735917425</c:v>
                </c:pt>
                <c:pt idx="919">
                  <c:v>-0.16580743494716754</c:v>
                </c:pt>
                <c:pt idx="920">
                  <c:v>0.5229044372909214</c:v>
                </c:pt>
                <c:pt idx="921">
                  <c:v>0.80078174821976644</c:v>
                </c:pt>
                <c:pt idx="922">
                  <c:v>-0.11932849011500909</c:v>
                </c:pt>
                <c:pt idx="923">
                  <c:v>-1.019304417310638</c:v>
                </c:pt>
                <c:pt idx="924">
                  <c:v>0.51411300247114067</c:v>
                </c:pt>
                <c:pt idx="925">
                  <c:v>1.0304108322428371</c:v>
                </c:pt>
                <c:pt idx="926">
                  <c:v>-0.65285339786247376</c:v>
                </c:pt>
                <c:pt idx="927">
                  <c:v>-0.11222380745127049</c:v>
                </c:pt>
                <c:pt idx="928">
                  <c:v>1.1201772588189944</c:v>
                </c:pt>
                <c:pt idx="929">
                  <c:v>-0.19245372705192262</c:v>
                </c:pt>
                <c:pt idx="930">
                  <c:v>-0.28710764697570595</c:v>
                </c:pt>
                <c:pt idx="931">
                  <c:v>-0.64828909150214009</c:v>
                </c:pt>
                <c:pt idx="932">
                  <c:v>0.63180440445643771</c:v>
                </c:pt>
                <c:pt idx="933">
                  <c:v>0.56491799076401117</c:v>
                </c:pt>
                <c:pt idx="934">
                  <c:v>0.89041056211148906</c:v>
                </c:pt>
                <c:pt idx="935">
                  <c:v>0.32365990253836363</c:v>
                </c:pt>
                <c:pt idx="936">
                  <c:v>-0.14022623165372428</c:v>
                </c:pt>
                <c:pt idx="937">
                  <c:v>-0.3054919777310045</c:v>
                </c:pt>
                <c:pt idx="938">
                  <c:v>-0.27998213940082045</c:v>
                </c:pt>
                <c:pt idx="939">
                  <c:v>0.86305966277062818</c:v>
                </c:pt>
                <c:pt idx="940">
                  <c:v>0.11165116061954167</c:v>
                </c:pt>
                <c:pt idx="941">
                  <c:v>-0.20135697089078433</c:v>
                </c:pt>
                <c:pt idx="942">
                  <c:v>-0.72390665494482087</c:v>
                </c:pt>
                <c:pt idx="943">
                  <c:v>0.10910886106099496</c:v>
                </c:pt>
                <c:pt idx="944">
                  <c:v>-1.2334284436888443</c:v>
                </c:pt>
                <c:pt idx="945">
                  <c:v>1.1099216857287755</c:v>
                </c:pt>
                <c:pt idx="946">
                  <c:v>-3.7468728023146415E-2</c:v>
                </c:pt>
                <c:pt idx="947">
                  <c:v>0.14454894769518484</c:v>
                </c:pt>
                <c:pt idx="948">
                  <c:v>-0.94569771838668093</c:v>
                </c:pt>
                <c:pt idx="949">
                  <c:v>0.74448130464438655</c:v>
                </c:pt>
                <c:pt idx="950">
                  <c:v>-1.4550707243232535</c:v>
                </c:pt>
                <c:pt idx="951">
                  <c:v>-1.2021290507689244</c:v>
                </c:pt>
                <c:pt idx="952">
                  <c:v>-0.20565725371506405</c:v>
                </c:pt>
                <c:pt idx="953">
                  <c:v>-0.57805642384997102</c:v>
                </c:pt>
                <c:pt idx="954">
                  <c:v>-0.22081912146246666</c:v>
                </c:pt>
                <c:pt idx="955">
                  <c:v>-0.87585210491866738</c:v>
                </c:pt>
                <c:pt idx="956">
                  <c:v>0.87312244450127741</c:v>
                </c:pt>
                <c:pt idx="957">
                  <c:v>1.1964634973855388</c:v>
                </c:pt>
                <c:pt idx="958">
                  <c:v>2.129946455512572E-2</c:v>
                </c:pt>
                <c:pt idx="959">
                  <c:v>-0.45764379499293201</c:v>
                </c:pt>
                <c:pt idx="960">
                  <c:v>1.0209134739185717</c:v>
                </c:pt>
                <c:pt idx="961">
                  <c:v>0.31784563016180589</c:v>
                </c:pt>
                <c:pt idx="962">
                  <c:v>-1.5730517164206912</c:v>
                </c:pt>
                <c:pt idx="963">
                  <c:v>-0.34354775611682359</c:v>
                </c:pt>
                <c:pt idx="964">
                  <c:v>0.91284256504575145</c:v>
                </c:pt>
                <c:pt idx="965">
                  <c:v>1.2556771059594831</c:v>
                </c:pt>
                <c:pt idx="966">
                  <c:v>1.0326085896653299</c:v>
                </c:pt>
                <c:pt idx="967">
                  <c:v>0.13434374239973512</c:v>
                </c:pt>
                <c:pt idx="968">
                  <c:v>-5.7829095745215301E-4</c:v>
                </c:pt>
                <c:pt idx="969">
                  <c:v>0.50909175024625419</c:v>
                </c:pt>
                <c:pt idx="970">
                  <c:v>0.16493801399288779</c:v>
                </c:pt>
                <c:pt idx="971">
                  <c:v>-2.4125544739486589E-2</c:v>
                </c:pt>
                <c:pt idx="972">
                  <c:v>0.48377644395586294</c:v>
                </c:pt>
                <c:pt idx="973">
                  <c:v>1.17159803914093</c:v>
                </c:pt>
                <c:pt idx="974">
                  <c:v>-0.20817045486655941</c:v>
                </c:pt>
                <c:pt idx="975">
                  <c:v>0.1164788280379844</c:v>
                </c:pt>
                <c:pt idx="976">
                  <c:v>9.1641572086649789E-2</c:v>
                </c:pt>
                <c:pt idx="977">
                  <c:v>0.25018226757821954</c:v>
                </c:pt>
                <c:pt idx="978">
                  <c:v>-0.27060497123881894</c:v>
                </c:pt>
                <c:pt idx="979">
                  <c:v>-0.73808038801509834</c:v>
                </c:pt>
                <c:pt idx="980">
                  <c:v>0.70009719353663191</c:v>
                </c:pt>
                <c:pt idx="981">
                  <c:v>2.4883499977373148E-2</c:v>
                </c:pt>
                <c:pt idx="982">
                  <c:v>-0.73670760114888212</c:v>
                </c:pt>
                <c:pt idx="983">
                  <c:v>-0.59749950160909548</c:v>
                </c:pt>
                <c:pt idx="984">
                  <c:v>0.80279172110294861</c:v>
                </c:pt>
                <c:pt idx="985">
                  <c:v>0.11160566251886624</c:v>
                </c:pt>
                <c:pt idx="986">
                  <c:v>0.1502820153689009</c:v>
                </c:pt>
                <c:pt idx="987">
                  <c:v>1.184766051699562</c:v>
                </c:pt>
                <c:pt idx="988">
                  <c:v>-1.9984945919236705E-2</c:v>
                </c:pt>
                <c:pt idx="989">
                  <c:v>-0.11152708034433761</c:v>
                </c:pt>
                <c:pt idx="990">
                  <c:v>0.25808913052016524</c:v>
                </c:pt>
                <c:pt idx="991">
                  <c:v>0.27104214117694864</c:v>
                </c:pt>
                <c:pt idx="992">
                  <c:v>0.85036797809246778</c:v>
                </c:pt>
                <c:pt idx="993">
                  <c:v>0.23445728948188882</c:v>
                </c:pt>
                <c:pt idx="994">
                  <c:v>-3.9383555341245956E-2</c:v>
                </c:pt>
                <c:pt idx="995">
                  <c:v>0.76644082774871491</c:v>
                </c:pt>
                <c:pt idx="996">
                  <c:v>0.25213630708010049</c:v>
                </c:pt>
                <c:pt idx="997">
                  <c:v>-0.252595666508105</c:v>
                </c:pt>
                <c:pt idx="998">
                  <c:v>-0.15621659842468227</c:v>
                </c:pt>
                <c:pt idx="999">
                  <c:v>-0.30651719607218797</c:v>
                </c:pt>
                <c:pt idx="1000">
                  <c:v>0.39336474622192324</c:v>
                </c:pt>
                <c:pt idx="1001">
                  <c:v>0.15724132887205775</c:v>
                </c:pt>
                <c:pt idx="1002">
                  <c:v>9.0728198762304077E-2</c:v>
                </c:pt>
                <c:pt idx="1003">
                  <c:v>-0.40836277351095918</c:v>
                </c:pt>
                <c:pt idx="1004">
                  <c:v>0.26755889592124837</c:v>
                </c:pt>
                <c:pt idx="1005">
                  <c:v>0.61953319488812186</c:v>
                </c:pt>
                <c:pt idx="1006">
                  <c:v>0.50843981041966191</c:v>
                </c:pt>
                <c:pt idx="1007">
                  <c:v>0.54487793072806601</c:v>
                </c:pt>
                <c:pt idx="1008">
                  <c:v>0.10166708878268506</c:v>
                </c:pt>
                <c:pt idx="1009">
                  <c:v>7.4109297756070946E-2</c:v>
                </c:pt>
                <c:pt idx="1010">
                  <c:v>1.0208033738690168</c:v>
                </c:pt>
                <c:pt idx="1011">
                  <c:v>-0.87630082837673817</c:v>
                </c:pt>
                <c:pt idx="1012">
                  <c:v>0.55170166208855886</c:v>
                </c:pt>
                <c:pt idx="1013">
                  <c:v>0.28261818052302867</c:v>
                </c:pt>
                <c:pt idx="1014">
                  <c:v>0.63893792108991587</c:v>
                </c:pt>
                <c:pt idx="1015">
                  <c:v>-1.3927512704686509</c:v>
                </c:pt>
                <c:pt idx="1016">
                  <c:v>-0.78163725088444702</c:v>
                </c:pt>
                <c:pt idx="1017">
                  <c:v>-0.71402935113326949</c:v>
                </c:pt>
                <c:pt idx="1018">
                  <c:v>1.0792007266121681</c:v>
                </c:pt>
                <c:pt idx="1019">
                  <c:v>-0.15581166736455568</c:v>
                </c:pt>
                <c:pt idx="1020">
                  <c:v>-2.3149031452155731</c:v>
                </c:pt>
                <c:pt idx="1021">
                  <c:v>-0.51426813066943033</c:v>
                </c:pt>
                <c:pt idx="1022">
                  <c:v>1.1090490848678163</c:v>
                </c:pt>
                <c:pt idx="1023">
                  <c:v>8.1332087706757511E-2</c:v>
                </c:pt>
                <c:pt idx="1024">
                  <c:v>-0.49601540393225568</c:v>
                </c:pt>
                <c:pt idx="1025">
                  <c:v>1.5793423637527608</c:v>
                </c:pt>
                <c:pt idx="1026">
                  <c:v>-1.3693569708273707</c:v>
                </c:pt>
                <c:pt idx="1027">
                  <c:v>-1.8381839946536218</c:v>
                </c:pt>
                <c:pt idx="1028">
                  <c:v>-2.9968802370122183</c:v>
                </c:pt>
                <c:pt idx="1029">
                  <c:v>1.0354142524675409</c:v>
                </c:pt>
                <c:pt idx="1030">
                  <c:v>-0.77346885418594458</c:v>
                </c:pt>
                <c:pt idx="1031">
                  <c:v>2.3042600250024119</c:v>
                </c:pt>
                <c:pt idx="1032">
                  <c:v>0.467165854217924</c:v>
                </c:pt>
                <c:pt idx="1033">
                  <c:v>4.3037633603872812E-3</c:v>
                </c:pt>
                <c:pt idx="1034">
                  <c:v>1.6847572875482508</c:v>
                </c:pt>
                <c:pt idx="1035">
                  <c:v>0.38237680860733775</c:v>
                </c:pt>
                <c:pt idx="1036">
                  <c:v>1.6133201104998749</c:v>
                </c:pt>
                <c:pt idx="1037">
                  <c:v>0.19898181923141683</c:v>
                </c:pt>
                <c:pt idx="1038">
                  <c:v>0.97222847369131737</c:v>
                </c:pt>
                <c:pt idx="1039">
                  <c:v>-0.19845762938528258</c:v>
                </c:pt>
                <c:pt idx="1040">
                  <c:v>0.42396804070665756</c:v>
                </c:pt>
                <c:pt idx="1041">
                  <c:v>-0.89328126528905838</c:v>
                </c:pt>
                <c:pt idx="1042">
                  <c:v>1.1483420217425528</c:v>
                </c:pt>
                <c:pt idx="1043">
                  <c:v>-0.31537231503155549</c:v>
                </c:pt>
                <c:pt idx="1044">
                  <c:v>0.15952029967027789</c:v>
                </c:pt>
                <c:pt idx="1045">
                  <c:v>-0.59760389633474154</c:v>
                </c:pt>
                <c:pt idx="1046">
                  <c:v>-3.9340650694408025E-3</c:v>
                </c:pt>
              </c:numCache>
            </c:numRef>
          </c:val>
          <c:smooth val="0"/>
          <c:extLst>
            <c:ext xmlns:c16="http://schemas.microsoft.com/office/drawing/2014/chart" uri="{C3380CC4-5D6E-409C-BE32-E72D297353CC}">
              <c16:uniqueId val="{00000000-7014-4F01-8102-1E2EA0776847}"/>
            </c:ext>
          </c:extLst>
        </c:ser>
        <c:dLbls>
          <c:showLegendKey val="0"/>
          <c:showVal val="0"/>
          <c:showCatName val="0"/>
          <c:showSerName val="0"/>
          <c:showPercent val="0"/>
          <c:showBubbleSize val="0"/>
        </c:dLbls>
        <c:marker val="1"/>
        <c:smooth val="0"/>
        <c:axId val="1972266031"/>
        <c:axId val="1972265071"/>
      </c:lineChart>
      <c:dateAx>
        <c:axId val="1541568591"/>
        <c:scaling>
          <c:orientation val="minMax"/>
        </c:scaling>
        <c:delete val="0"/>
        <c:axPos val="b"/>
        <c:numFmt formatCode="m/d/yyyy" sourceLinked="1"/>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576271"/>
        <c:crosses val="autoZero"/>
        <c:auto val="0"/>
        <c:lblOffset val="100"/>
        <c:baseTimeUnit val="days"/>
      </c:dateAx>
      <c:valAx>
        <c:axId val="15415762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568591"/>
        <c:crosses val="autoZero"/>
        <c:crossBetween val="between"/>
      </c:valAx>
      <c:valAx>
        <c:axId val="1972265071"/>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2266031"/>
        <c:crosses val="max"/>
        <c:crossBetween val="between"/>
      </c:valAx>
      <c:dateAx>
        <c:axId val="1972266031"/>
        <c:scaling>
          <c:orientation val="minMax"/>
        </c:scaling>
        <c:delete val="1"/>
        <c:axPos val="b"/>
        <c:numFmt formatCode="m/d/yyyy" sourceLinked="1"/>
        <c:majorTickMark val="out"/>
        <c:minorTickMark val="none"/>
        <c:tickLblPos val="nextTo"/>
        <c:crossAx val="1972265071"/>
        <c:crosses val="autoZero"/>
        <c:auto val="1"/>
        <c:lblOffset val="100"/>
        <c:baseTimeUnit val="day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47625</xdr:rowOff>
    </xdr:from>
    <xdr:to>
      <xdr:col>5</xdr:col>
      <xdr:colOff>352425</xdr:colOff>
      <xdr:row>24</xdr:row>
      <xdr:rowOff>28575</xdr:rowOff>
    </xdr:to>
    <xdr:sp macro="" textlink="">
      <xdr:nvSpPr>
        <xdr:cNvPr id="2" name="TextBox 1">
          <a:extLst>
            <a:ext uri="{FF2B5EF4-FFF2-40B4-BE49-F238E27FC236}">
              <a16:creationId xmlns:a16="http://schemas.microsoft.com/office/drawing/2014/main" id="{B87E9D63-6523-D651-CC3C-D8C7C28ED562}"/>
            </a:ext>
          </a:extLst>
        </xdr:cNvPr>
        <xdr:cNvSpPr txBox="1"/>
      </xdr:nvSpPr>
      <xdr:spPr>
        <a:xfrm>
          <a:off x="0" y="47625"/>
          <a:ext cx="10858500" cy="455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endParaRPr lang="en-US" sz="1100" b="0"/>
        </a:p>
        <a:p>
          <a:endParaRPr lang="en-US" sz="1200" b="1"/>
        </a:p>
        <a:p>
          <a:r>
            <a:rPr lang="en-US" sz="1200" b="1"/>
            <a:t>Microsoft Corporation</a:t>
          </a:r>
          <a:r>
            <a:rPr lang="en-US" sz="1200"/>
            <a:t> </a:t>
          </a:r>
          <a:r>
            <a:rPr lang="en-US" sz="1100"/>
            <a:t>is an American multinational corporation and technology company headquartered in Redmond, Washington. </a:t>
          </a:r>
        </a:p>
        <a:p>
          <a:r>
            <a:rPr lang="en-US" sz="1100"/>
            <a:t>Its flagship hardware products are the Xbox video game consoles and the Microsoft Surface lineup of touchscreen personal computers. Microsoft ranked No. 14 in the 2022 Fortune 500 rankings of the largest United States corporations by total revenue;[3] and it was the world's largest software maker by revenue in 2022 according to Forbes Global 2000. It is considered one of the Big Five American information technology companies, alongside Alphabet (parent company of Google), Amazon, Apple, and Meta (parent company of Facebook).</a:t>
          </a:r>
        </a:p>
        <a:p>
          <a:endParaRPr lang="en-US" sz="1100" b="1"/>
        </a:p>
        <a:p>
          <a:r>
            <a:rPr lang="en-US" sz="1200" b="1"/>
            <a:t>Core Offering</a:t>
          </a:r>
          <a:r>
            <a:rPr lang="en-US" sz="1100" b="1"/>
            <a:t>: </a:t>
          </a:r>
          <a:r>
            <a:rPr lang="en-US" sz="1100"/>
            <a:t>Its best-known software products are the Windows line of operating systems, the Microsoft 365 suite of productivity applications, the Azure cloud computing platform and the Edge web browser.</a:t>
          </a:r>
        </a:p>
        <a:p>
          <a:endParaRPr lang="en-US" sz="1100" b="1"/>
        </a:p>
        <a:p>
          <a:r>
            <a:rPr lang="en-US" sz="1200" b="1"/>
            <a:t>Operating Segments</a:t>
          </a:r>
          <a:r>
            <a:rPr lang="en-US" sz="1100" b="1"/>
            <a:t>: </a:t>
          </a:r>
          <a:r>
            <a:rPr lang="en-US" sz="1100"/>
            <a:t>They operate our business in five segments: Windows &amp; Windows Live Division, Server and Tools, Online Services Division, Microsoft Business Division, and Entertainment and Devices Division.</a:t>
          </a:r>
        </a:p>
        <a:p>
          <a:endParaRPr lang="en-US" sz="1100" b="1"/>
        </a:p>
        <a:p>
          <a:r>
            <a:rPr lang="en-US" sz="1200" b="1"/>
            <a:t>Alternatives</a:t>
          </a:r>
          <a:r>
            <a:rPr lang="en-US" sz="1100" b="1"/>
            <a:t>: </a:t>
          </a:r>
          <a:r>
            <a:rPr lang="en-US" sz="1100"/>
            <a:t>Major competitors are companies like IBM, Google, Apple, SAP and Oracle</a:t>
          </a:r>
        </a:p>
        <a:p>
          <a:endParaRPr lang="en-US" sz="1100" b="1"/>
        </a:p>
        <a:p>
          <a:r>
            <a:rPr lang="en-US" sz="1100" b="1"/>
            <a:t>Basis of competition:  </a:t>
          </a:r>
          <a:r>
            <a:rPr lang="en-US" sz="1100">
              <a:solidFill>
                <a:schemeClr val="dk1"/>
              </a:solidFill>
              <a:latin typeface="+mn-lt"/>
              <a:ea typeface="+mn-ea"/>
              <a:cs typeface="+mn-cs"/>
            </a:rPr>
            <a:t>Microsoft got its start by focusing on software, and although the company has branched out into other areas, it still has a strong emphasis in this field. Some of the most successful software corporations in the world, </a:t>
          </a:r>
          <a:r>
            <a:rPr lang="en-US" sz="1100">
              <a:solidFill>
                <a:schemeClr val="dk1"/>
              </a:solidFill>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such as Oracle</a:t>
          </a:r>
          <a:r>
            <a:rPr lang="en-US" sz="1100">
              <a:solidFill>
                <a:schemeClr val="dk1"/>
              </a:solidFill>
              <a:latin typeface="+mn-lt"/>
              <a:ea typeface="+mn-ea"/>
              <a:cs typeface="+mn-cs"/>
            </a:rPr>
            <a:t> and the German firm SAP SE, compete directly with Microsoft for the lucrative business services market. The Windows operating system is perhaps the best-known Microsoft product. Though Windows dominates the global OS field, the company competes with a number of smaller firms, such as Red Hat, that distribute </a:t>
          </a:r>
          <a:r>
            <a:rPr lang="en-US" sz="1100">
              <a:solidFill>
                <a:schemeClr val="dk1"/>
              </a:solidFill>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open-source</a:t>
          </a:r>
          <a:r>
            <a:rPr lang="en-US" sz="1100">
              <a:solidFill>
                <a:schemeClr val="dk1"/>
              </a:solidFill>
              <a:latin typeface="+mn-lt"/>
              <a:ea typeface="+mn-ea"/>
              <a:cs typeface="+mn-cs"/>
            </a:rPr>
            <a:t> operating systems such as Linux.</a:t>
          </a:r>
        </a:p>
        <a:p>
          <a:r>
            <a:rPr lang="en-US" sz="1100">
              <a:solidFill>
                <a:schemeClr val="dk1"/>
              </a:solidFill>
              <a:latin typeface="+mn-lt"/>
              <a:ea typeface="+mn-ea"/>
              <a:cs typeface="+mn-cs"/>
            </a:rPr>
            <a:t>     Microsoft is also </a:t>
          </a:r>
          <a:r>
            <a:rPr lang="en-US" sz="1100">
              <a:solidFill>
                <a:schemeClr val="dk1"/>
              </a:solidFill>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an important player in the hardware field</a:t>
          </a:r>
          <a:r>
            <a:rPr lang="en-US" sz="1100">
              <a:solidFill>
                <a:schemeClr val="dk1"/>
              </a:solidFill>
              <a:latin typeface="+mn-lt"/>
              <a:ea typeface="+mn-ea"/>
              <a:cs typeface="+mn-cs"/>
            </a:rPr>
            <a:t>. Its products include tablets designed to compete with similar devices made by other companies, such as Apple. </a:t>
          </a:r>
        </a:p>
        <a:p>
          <a:r>
            <a:rPr lang="en-US" sz="1100">
              <a:solidFill>
                <a:schemeClr val="dk1"/>
              </a:solidFill>
              <a:latin typeface="+mn-lt"/>
              <a:ea typeface="+mn-ea"/>
              <a:cs typeface="+mn-cs"/>
            </a:rPr>
            <a:t>The company makes a variety of computer accessories as well, which brings it in direct competition with several firms that specialize in this area, such as Logitech.</a:t>
          </a:r>
        </a:p>
        <a:p>
          <a:r>
            <a:rPr lang="en-US" sz="1100">
              <a:solidFill>
                <a:schemeClr val="dk1"/>
              </a:solidFill>
              <a:latin typeface="+mn-lt"/>
              <a:ea typeface="+mn-ea"/>
              <a:cs typeface="+mn-cs"/>
            </a:rPr>
            <a:t>Although Google's eponymous search engine dominates the field in the U.S., Microsoft is also a major force in online search with its Bing search engine. </a:t>
          </a:r>
        </a:p>
        <a:p>
          <a:r>
            <a:rPr lang="en-US" sz="1100">
              <a:solidFill>
                <a:schemeClr val="dk1"/>
              </a:solidFill>
              <a:latin typeface="+mn-lt"/>
              <a:ea typeface="+mn-ea"/>
              <a:cs typeface="+mn-cs"/>
            </a:rPr>
            <a:t>Microsoft faces competitive pressures in all areas of its operations. The pressure comes from a diverse mix of technology companies, both large and small.</a:t>
          </a:r>
        </a:p>
      </xdr:txBody>
    </xdr:sp>
    <xdr:clientData/>
  </xdr:twoCellAnchor>
  <xdr:twoCellAnchor editAs="oneCell">
    <xdr:from>
      <xdr:col>0</xdr:col>
      <xdr:colOff>85724</xdr:colOff>
      <xdr:row>0</xdr:row>
      <xdr:rowOff>57150</xdr:rowOff>
    </xdr:from>
    <xdr:to>
      <xdr:col>0</xdr:col>
      <xdr:colOff>1657349</xdr:colOff>
      <xdr:row>3</xdr:row>
      <xdr:rowOff>152400</xdr:rowOff>
    </xdr:to>
    <xdr:pic>
      <xdr:nvPicPr>
        <xdr:cNvPr id="3" name="Picture 2" descr="Microsoft logo 2012">
          <a:extLst>
            <a:ext uri="{FF2B5EF4-FFF2-40B4-BE49-F238E27FC236}">
              <a16:creationId xmlns:a16="http://schemas.microsoft.com/office/drawing/2014/main" id="{657190C7-8887-E301-8B51-E94F4CD00AD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4" y="57150"/>
          <a:ext cx="1571625"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38101</xdr:colOff>
      <xdr:row>34</xdr:row>
      <xdr:rowOff>66675</xdr:rowOff>
    </xdr:from>
    <xdr:to>
      <xdr:col>6</xdr:col>
      <xdr:colOff>381001</xdr:colOff>
      <xdr:row>35</xdr:row>
      <xdr:rowOff>161924</xdr:rowOff>
    </xdr:to>
    <xdr:sp macro="" textlink="">
      <xdr:nvSpPr>
        <xdr:cNvPr id="2" name="TextBox 1">
          <a:extLst>
            <a:ext uri="{FF2B5EF4-FFF2-40B4-BE49-F238E27FC236}">
              <a16:creationId xmlns:a16="http://schemas.microsoft.com/office/drawing/2014/main" id="{1ADAC022-2B52-4831-B406-5EBE74E0D30B}"/>
            </a:ext>
          </a:extLst>
        </xdr:cNvPr>
        <xdr:cNvSpPr txBox="1"/>
      </xdr:nvSpPr>
      <xdr:spPr>
        <a:xfrm>
          <a:off x="219076" y="6543675"/>
          <a:ext cx="6229350" cy="285749"/>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1">
            <a:solidFill>
              <a:schemeClr val="bg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95250</xdr:colOff>
      <xdr:row>0</xdr:row>
      <xdr:rowOff>0</xdr:rowOff>
    </xdr:from>
    <xdr:to>
      <xdr:col>19</xdr:col>
      <xdr:colOff>485775</xdr:colOff>
      <xdr:row>12</xdr:row>
      <xdr:rowOff>171450</xdr:rowOff>
    </xdr:to>
    <xdr:sp macro="" textlink="">
      <xdr:nvSpPr>
        <xdr:cNvPr id="11" name="TextBox 10">
          <a:extLst>
            <a:ext uri="{FF2B5EF4-FFF2-40B4-BE49-F238E27FC236}">
              <a16:creationId xmlns:a16="http://schemas.microsoft.com/office/drawing/2014/main" id="{27B4EB08-FE93-3CA1-6A0F-E9E0A06CA1C8}"/>
            </a:ext>
          </a:extLst>
        </xdr:cNvPr>
        <xdr:cNvSpPr txBox="1"/>
      </xdr:nvSpPr>
      <xdr:spPr>
        <a:xfrm>
          <a:off x="6410325" y="0"/>
          <a:ext cx="7115175" cy="247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FINANCIAL</a:t>
          </a:r>
          <a:r>
            <a:rPr lang="en-US" sz="1100" b="1" baseline="0"/>
            <a:t> MODELING MICROSOFT CORP</a:t>
          </a:r>
          <a:endParaRPr lang="en-US" sz="1100" b="1"/>
        </a:p>
        <a:p>
          <a:endParaRPr lang="en-US" sz="1100" b="1"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MSFT</a:t>
          </a:r>
          <a:r>
            <a:rPr lang="en-US" sz="1100" b="0" i="0" u="none" strike="noStrike">
              <a:solidFill>
                <a:schemeClr val="dk1"/>
              </a:solidFill>
              <a:effectLst/>
              <a:latin typeface="+mn-lt"/>
              <a:ea typeface="+mn-ea"/>
              <a:cs typeface="+mn-cs"/>
            </a:rPr>
            <a:t>: The dependent variable representing Microsoft's stock return</a:t>
          </a:r>
          <a:r>
            <a:rPr lang="en-US"/>
            <a:t> </a:t>
          </a:r>
          <a:r>
            <a:rPr lang="en-US" sz="1100" b="1" i="0" u="none" strike="noStrike">
              <a:solidFill>
                <a:schemeClr val="dk1"/>
              </a:solidFill>
              <a:effectLst/>
              <a:latin typeface="+mn-lt"/>
              <a:ea typeface="+mn-ea"/>
              <a:cs typeface="+mn-cs"/>
            </a:rPr>
            <a:t>S&amp;P 500</a:t>
          </a:r>
          <a:r>
            <a:rPr lang="en-US" sz="1100" b="0" i="0" u="none" strike="noStrike">
              <a:solidFill>
                <a:schemeClr val="dk1"/>
              </a:solidFill>
              <a:effectLst/>
              <a:latin typeface="+mn-lt"/>
              <a:ea typeface="+mn-ea"/>
              <a:cs typeface="+mn-cs"/>
            </a:rPr>
            <a:t>: The independent variable representing the value of the S&amp;P 500 index return</a:t>
          </a:r>
          <a:r>
            <a:rPr lang="en-US"/>
            <a:t> </a:t>
          </a:r>
        </a:p>
        <a:p>
          <a:endParaRPr lang="en-US" sz="1100"/>
        </a:p>
        <a:p>
          <a:endParaRPr lang="en-US" sz="1100" b="0"/>
        </a:p>
        <a:p>
          <a:r>
            <a:rPr lang="en-US" b="1"/>
            <a:t>Hypothesis for this Model:</a:t>
          </a:r>
        </a:p>
        <a:p>
          <a:r>
            <a:rPr lang="en-US" b="1"/>
            <a:t>Null Hypothesis (H0​)</a:t>
          </a:r>
          <a:r>
            <a:rPr lang="en-US"/>
            <a:t>:  </a:t>
          </a:r>
          <a:r>
            <a:rPr lang="el-GR"/>
            <a:t>β=</a:t>
          </a:r>
          <a:r>
            <a:rPr lang="en-US"/>
            <a:t>0</a:t>
          </a:r>
          <a:endParaRPr lang="el-GR"/>
        </a:p>
        <a:p>
          <a:pPr lvl="1"/>
          <a:r>
            <a:rPr lang="en-US"/>
            <a:t>This implies that the return of Microsoft stock is not influenced by the return of the S&amp;P 500 index. In other words, there is no relationship between the market's return and Microsoft's return.</a:t>
          </a:r>
        </a:p>
        <a:p>
          <a:r>
            <a:rPr lang="en-US" b="1"/>
            <a:t>Alternative Hypothesis (H1)</a:t>
          </a:r>
          <a:r>
            <a:rPr lang="en-US"/>
            <a:t>: </a:t>
          </a:r>
          <a:r>
            <a:rPr lang="el-GR"/>
            <a:t>β≠0</a:t>
          </a:r>
        </a:p>
        <a:p>
          <a:pPr lvl="1"/>
          <a:r>
            <a:rPr lang="en-US"/>
            <a:t>This implies that the return of Microsoft stock is influenced by the return of the S&amp;P 500 index. A non-zero beta would indicate a relationship between the market's return and Microsoft's return.</a:t>
          </a:r>
        </a:p>
        <a:p>
          <a:endParaRPr lang="en-US" sz="1100"/>
        </a:p>
      </xdr:txBody>
    </xdr:sp>
    <xdr:clientData/>
  </xdr:twoCellAnchor>
  <xdr:twoCellAnchor editAs="oneCell">
    <xdr:from>
      <xdr:col>9</xdr:col>
      <xdr:colOff>238125</xdr:colOff>
      <xdr:row>3</xdr:row>
      <xdr:rowOff>180975</xdr:rowOff>
    </xdr:from>
    <xdr:to>
      <xdr:col>13</xdr:col>
      <xdr:colOff>161923</xdr:colOff>
      <xdr:row>5</xdr:row>
      <xdr:rowOff>49212</xdr:rowOff>
    </xdr:to>
    <xdr:pic>
      <xdr:nvPicPr>
        <xdr:cNvPr id="12" name="Picture 11">
          <a:extLst>
            <a:ext uri="{FF2B5EF4-FFF2-40B4-BE49-F238E27FC236}">
              <a16:creationId xmlns:a16="http://schemas.microsoft.com/office/drawing/2014/main" id="{816D30CE-A5AA-4F94-B768-78A5C2A515DC}"/>
            </a:ext>
          </a:extLst>
        </xdr:cNvPr>
        <xdr:cNvPicPr>
          <a:picLocks noChangeAspect="1"/>
        </xdr:cNvPicPr>
      </xdr:nvPicPr>
      <xdr:blipFill>
        <a:blip xmlns:r="http://schemas.openxmlformats.org/officeDocument/2006/relationships" r:embed="rId1"/>
        <a:stretch>
          <a:fillRect/>
        </a:stretch>
      </xdr:blipFill>
      <xdr:spPr>
        <a:xfrm>
          <a:off x="6553200" y="752475"/>
          <a:ext cx="2990848" cy="249237"/>
        </a:xfrm>
        <a:prstGeom prst="rect">
          <a:avLst/>
        </a:prstGeom>
      </xdr:spPr>
    </xdr:pic>
    <xdr:clientData/>
  </xdr:twoCellAnchor>
  <xdr:twoCellAnchor>
    <xdr:from>
      <xdr:col>0</xdr:col>
      <xdr:colOff>657225</xdr:colOff>
      <xdr:row>2</xdr:row>
      <xdr:rowOff>76200</xdr:rowOff>
    </xdr:from>
    <xdr:to>
      <xdr:col>6</xdr:col>
      <xdr:colOff>266700</xdr:colOff>
      <xdr:row>15</xdr:row>
      <xdr:rowOff>38100</xdr:rowOff>
    </xdr:to>
    <xdr:graphicFrame macro="">
      <xdr:nvGraphicFramePr>
        <xdr:cNvPr id="2" name="Chart 1">
          <a:extLst>
            <a:ext uri="{FF2B5EF4-FFF2-40B4-BE49-F238E27FC236}">
              <a16:creationId xmlns:a16="http://schemas.microsoft.com/office/drawing/2014/main" id="{71665747-C8AD-6D16-E04D-2DCFB9D62C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yushi%20Sharma/Desktop/Corporate%20Financial%20Analysis/Tesla%20-%20Valuation%20Model%20(Fall%202022,%20FY%202021).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ladga\OneDrive%20-%20Case%20Western%20Reserve%20University\Desktop\Projects\FNCE%20421%20-%20Group%20Assign%201%20-%20Group%2010%20(1).xlsx" TargetMode="External"/><Relationship Id="rId1" Type="http://schemas.openxmlformats.org/officeDocument/2006/relationships/externalLinkPath" Target="FNCE%20421%20-%20Group%20Assign%201%20-%20Group%2010%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amp; Stock Performance"/>
      <sheetName val="Financial Statements"/>
      <sheetName val="Deliveries (Alternative)"/>
      <sheetName val="Revenues Analysis"/>
      <sheetName val="Assumptions"/>
      <sheetName val="Supporting Schedules"/>
      <sheetName val="Trading Comps"/>
      <sheetName val="Mid-Term DCF"/>
      <sheetName val="Sheet1"/>
      <sheetName val="WACC"/>
      <sheetName val="Financial Overview"/>
      <sheetName val="In-Class Exercises --&gt;"/>
      <sheetName val="Depreciation Waterfall"/>
    </sheetNames>
    <sheetDataSet>
      <sheetData sheetId="0"/>
      <sheetData sheetId="1"/>
      <sheetData sheetId="2"/>
      <sheetData sheetId="3">
        <row r="7">
          <cell r="M7">
            <v>1</v>
          </cell>
        </row>
      </sheetData>
      <sheetData sheetId="4"/>
      <sheetData sheetId="5"/>
      <sheetData sheetId="6"/>
      <sheetData sheetId="7"/>
      <sheetData sheetId="8" refreshError="1"/>
      <sheetData sheetId="9"/>
      <sheetData sheetId="10"/>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roup-10"/>
      <sheetName val="Grading Sheet"/>
      <sheetName val="Part-1"/>
      <sheetName val="Summary Stock Performance"/>
      <sheetName val="Comm Size &amp; Hor Analysis"/>
      <sheetName val="Financial Statements"/>
      <sheetName val="Supporting Schedules"/>
      <sheetName val="Mid-term DCF"/>
      <sheetName val="WACC"/>
      <sheetName val="Revenue Analysis"/>
      <sheetName val="Assumptions"/>
      <sheetName val="Depreciation"/>
      <sheetName val="Trading Comps"/>
    </sheetNames>
    <sheetDataSet>
      <sheetData sheetId="0"/>
      <sheetData sheetId="1"/>
      <sheetData sheetId="2"/>
      <sheetData sheetId="3"/>
      <sheetData sheetId="4"/>
      <sheetData sheetId="5">
        <row r="21">
          <cell r="G21">
            <v>-2645</v>
          </cell>
        </row>
        <row r="54">
          <cell r="E54">
            <v>37378</v>
          </cell>
          <cell r="F54">
            <v>36766</v>
          </cell>
          <cell r="G54">
            <v>39440</v>
          </cell>
        </row>
        <row r="68">
          <cell r="G68">
            <v>109106</v>
          </cell>
        </row>
      </sheetData>
      <sheetData sheetId="6"/>
      <sheetData sheetId="7"/>
      <sheetData sheetId="8"/>
      <sheetData sheetId="9"/>
      <sheetData sheetId="10"/>
      <sheetData sheetId="11"/>
      <sheetData sheetId="12"/>
    </sheetDataSet>
  </externalBook>
</externalLink>
</file>

<file path=xl/persons/person.xml><?xml version="1.0" encoding="utf-8"?>
<personList xmlns="http://schemas.microsoft.com/office/spreadsheetml/2018/threadedcomments" xmlns:x="http://schemas.openxmlformats.org/spreadsheetml/2006/main">
  <person displayName="Ayushi Sharma" id="{501C71A4-9F27-49B4-A027-E6E2B034D5B5}" userId="S::ars410@case.edu::24764c96-1162-4afb-8cd5-993976b23d1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G30" dT="2022-10-11T04:59:29.82" personId="{501C71A4-9F27-49B4-A027-E6E2B034D5B5}" id="{8CF5D4D4-D43F-4D80-9D9D-3EBB289B666D}">
    <text>the company is continuing to invest in r&amp;d , and their employees with risk factors that have been steady overtime (I.e. political events, macroeconomic and industry risk, Covid)</text>
  </threadedComment>
  <threadedComment ref="G35" dT="2022-10-11T04:47:12.13" personId="{501C71A4-9F27-49B4-A027-E6E2B034D5B5}" id="{C3C4C629-D361-4D79-9318-612E513FEC8B}">
    <text>Although there is rise in MAC revenue before COVID, which is declining in later years, that may be effect of covid.</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317F-AA11-4D19-ADD7-79E8D2507B5E}">
  <dimension ref="A1"/>
  <sheetViews>
    <sheetView workbookViewId="0">
      <selection sqref="A1:XFD1048576"/>
    </sheetView>
  </sheetViews>
  <sheetFormatPr defaultRowHeight="15" x14ac:dyDescent="0.25"/>
  <cols>
    <col min="1" max="1" width="121"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426A7-4D72-4C08-A33F-8FB9B4C36AE2}">
  <sheetPr>
    <tabColor theme="3" tint="-0.249977111117893"/>
  </sheetPr>
  <dimension ref="A1:N49"/>
  <sheetViews>
    <sheetView showGridLines="0" view="pageBreakPreview" zoomScaleNormal="100" zoomScaleSheetLayoutView="100" workbookViewId="0">
      <selection activeCell="L34" sqref="L34"/>
    </sheetView>
  </sheetViews>
  <sheetFormatPr defaultColWidth="8.7109375" defaultRowHeight="15" x14ac:dyDescent="0.25"/>
  <cols>
    <col min="1" max="1" width="2.7109375" style="2" customWidth="1"/>
    <col min="2" max="2" width="33.140625" style="2" customWidth="1"/>
    <col min="3" max="3" width="17.7109375" style="2" bestFit="1" customWidth="1"/>
    <col min="4" max="4" width="6" style="2" customWidth="1"/>
    <col min="5" max="5" width="18.7109375" style="2" customWidth="1"/>
    <col min="6" max="7" width="12.7109375" style="2" customWidth="1"/>
    <col min="8" max="13" width="8.7109375" style="2"/>
    <col min="14" max="14" width="9.7109375" style="2" bestFit="1" customWidth="1"/>
    <col min="15" max="16384" width="8.7109375" style="2"/>
  </cols>
  <sheetData>
    <row r="1" spans="1:14" ht="18.75" x14ac:dyDescent="0.3">
      <c r="B1" s="3" t="str">
        <f>"Valuation Analysis of "&amp;$C$6</f>
        <v>Valuation Analysis of MICROSOFT CORP</v>
      </c>
      <c r="C1" s="4"/>
      <c r="D1" s="4"/>
      <c r="E1" s="4"/>
      <c r="F1" s="4"/>
      <c r="G1" s="4"/>
      <c r="H1" s="4"/>
      <c r="I1" s="4"/>
    </row>
    <row r="2" spans="1:14" x14ac:dyDescent="0.25">
      <c r="B2" s="5" t="s">
        <v>4</v>
      </c>
    </row>
    <row r="3" spans="1:14" x14ac:dyDescent="0.25">
      <c r="B3" s="5"/>
    </row>
    <row r="4" spans="1:14" x14ac:dyDescent="0.25">
      <c r="B4" s="6"/>
    </row>
    <row r="5" spans="1:14" ht="10.15" customHeight="1" x14ac:dyDescent="0.25"/>
    <row r="6" spans="1:14" x14ac:dyDescent="0.25">
      <c r="A6" s="2" t="s">
        <v>5</v>
      </c>
      <c r="B6" s="7" t="s">
        <v>6</v>
      </c>
      <c r="C6" s="8" t="s">
        <v>7</v>
      </c>
      <c r="E6" s="6" t="s">
        <v>8</v>
      </c>
    </row>
    <row r="7" spans="1:14" x14ac:dyDescent="0.25">
      <c r="B7" s="9" t="s">
        <v>9</v>
      </c>
      <c r="C7" s="10" t="s">
        <v>10</v>
      </c>
      <c r="E7" s="11" t="s">
        <v>11</v>
      </c>
      <c r="F7" s="11" t="s">
        <v>12</v>
      </c>
    </row>
    <row r="8" spans="1:14" x14ac:dyDescent="0.25">
      <c r="B8" s="9" t="s">
        <v>13</v>
      </c>
      <c r="C8" s="12">
        <v>424.14</v>
      </c>
      <c r="E8" s="2" t="s">
        <v>14</v>
      </c>
      <c r="F8" s="2" t="s">
        <v>15</v>
      </c>
    </row>
    <row r="9" spans="1:14" x14ac:dyDescent="0.25">
      <c r="B9" s="9" t="s">
        <v>16</v>
      </c>
      <c r="C9" s="12">
        <v>468.35</v>
      </c>
      <c r="E9" s="13" t="s">
        <v>17</v>
      </c>
      <c r="F9" s="13" t="s">
        <v>18</v>
      </c>
    </row>
    <row r="10" spans="1:14" x14ac:dyDescent="0.25">
      <c r="B10" s="9" t="s">
        <v>19</v>
      </c>
      <c r="C10" s="12">
        <v>309.45</v>
      </c>
    </row>
    <row r="11" spans="1:14" ht="15.75" thickBot="1" x14ac:dyDescent="0.3">
      <c r="B11" s="9" t="s">
        <v>20</v>
      </c>
      <c r="C11" s="14">
        <f>C8/C9</f>
        <v>0.90560478274794487</v>
      </c>
      <c r="E11" s="15" t="s">
        <v>21</v>
      </c>
      <c r="F11" s="16" t="s">
        <v>22</v>
      </c>
      <c r="G11" s="16"/>
    </row>
    <row r="12" spans="1:14" x14ac:dyDescent="0.25">
      <c r="B12" s="9" t="s">
        <v>23</v>
      </c>
      <c r="C12" s="17">
        <v>45525</v>
      </c>
      <c r="E12" s="2" t="s">
        <v>24</v>
      </c>
      <c r="F12" s="18">
        <f>(F23/F24)-1</f>
        <v>0.4822295998602133</v>
      </c>
      <c r="G12" s="19"/>
    </row>
    <row r="13" spans="1:14" x14ac:dyDescent="0.25">
      <c r="B13" s="9" t="s">
        <v>25</v>
      </c>
      <c r="C13" s="20">
        <v>45473</v>
      </c>
      <c r="E13" s="2" t="s">
        <v>26</v>
      </c>
      <c r="F13" s="18">
        <f>(F23/F25)^(1/3)-1</f>
        <v>0.25804531253402407</v>
      </c>
      <c r="G13" s="19"/>
    </row>
    <row r="14" spans="1:14" x14ac:dyDescent="0.25">
      <c r="B14" s="9" t="s">
        <v>27</v>
      </c>
      <c r="C14" s="21" t="s">
        <v>28</v>
      </c>
      <c r="E14" s="2" t="s">
        <v>29</v>
      </c>
      <c r="F14" s="18">
        <f>(F23/F26)^(1/5)-1</f>
        <v>0.3169715664455055</v>
      </c>
      <c r="G14" s="19"/>
      <c r="J14" s="22"/>
      <c r="K14" s="22"/>
      <c r="L14" s="22"/>
      <c r="M14" s="22"/>
    </row>
    <row r="15" spans="1:14" x14ac:dyDescent="0.25">
      <c r="A15" s="2" t="s">
        <v>5</v>
      </c>
      <c r="B15" s="23" t="s">
        <v>30</v>
      </c>
      <c r="C15" s="24">
        <v>1</v>
      </c>
      <c r="J15" s="25"/>
      <c r="K15" s="25"/>
      <c r="L15" s="25"/>
      <c r="M15" s="25"/>
      <c r="N15" s="25"/>
    </row>
    <row r="16" spans="1:14" x14ac:dyDescent="0.25">
      <c r="B16" s="26" t="s">
        <v>31</v>
      </c>
      <c r="E16" s="27"/>
      <c r="F16" s="28" t="str">
        <f>C6</f>
        <v>MICROSOFT CORP</v>
      </c>
      <c r="G16" s="28" t="s">
        <v>32</v>
      </c>
      <c r="J16" s="29"/>
      <c r="K16" s="29"/>
      <c r="L16" s="29"/>
      <c r="M16" s="29"/>
      <c r="N16" s="29"/>
    </row>
    <row r="17" spans="1:10" x14ac:dyDescent="0.25">
      <c r="A17" s="2" t="s">
        <v>5</v>
      </c>
      <c r="E17" s="2" t="s">
        <v>33</v>
      </c>
      <c r="F17" s="30">
        <f>'Trading Comps'!C23</f>
        <v>24</v>
      </c>
      <c r="G17" s="30">
        <f>'Trading Comps'!H23</f>
        <v>23.080000000000002</v>
      </c>
    </row>
    <row r="18" spans="1:10" x14ac:dyDescent="0.25">
      <c r="E18" s="2" t="s">
        <v>34</v>
      </c>
      <c r="F18" s="30">
        <f>'Trading Comps'!C24</f>
        <v>34.83</v>
      </c>
      <c r="G18" s="30">
        <f>'Trading Comps'!H24</f>
        <v>30.545999999999999</v>
      </c>
    </row>
    <row r="19" spans="1:10" x14ac:dyDescent="0.25">
      <c r="B19" s="27"/>
      <c r="C19" s="31" t="s">
        <v>35</v>
      </c>
      <c r="E19" s="2" t="s">
        <v>36</v>
      </c>
      <c r="F19" s="30">
        <f>'Trading Comps'!C25</f>
        <v>21.4</v>
      </c>
      <c r="G19" s="30">
        <f>'Trading Comps'!H25</f>
        <v>17.54</v>
      </c>
    </row>
    <row r="20" spans="1:10" x14ac:dyDescent="0.25">
      <c r="B20" s="32" t="s">
        <v>37</v>
      </c>
      <c r="C20" s="33" t="s">
        <v>38</v>
      </c>
      <c r="E20" s="2" t="s">
        <v>39</v>
      </c>
      <c r="F20" s="30">
        <f>'Trading Comps'!C26</f>
        <v>30.96</v>
      </c>
      <c r="G20" s="30">
        <f>'Trading Comps'!H26</f>
        <v>24.972000000000001</v>
      </c>
    </row>
    <row r="21" spans="1:10" x14ac:dyDescent="0.25">
      <c r="B21" s="32" t="s">
        <v>40</v>
      </c>
      <c r="C21" s="34">
        <f>'Mid-term DCF'!C32</f>
        <v>400</v>
      </c>
    </row>
    <row r="22" spans="1:10" ht="15.75" thickBot="1" x14ac:dyDescent="0.3">
      <c r="B22" s="32" t="s">
        <v>41</v>
      </c>
      <c r="C22" s="34">
        <f>'Mid-term DCF'!C33</f>
        <v>415</v>
      </c>
      <c r="E22" s="15" t="s">
        <v>42</v>
      </c>
      <c r="F22" s="35"/>
    </row>
    <row r="23" spans="1:10" x14ac:dyDescent="0.25">
      <c r="B23" s="32" t="s">
        <v>43</v>
      </c>
      <c r="C23" s="34">
        <f>'Mid-term DCF'!C34</f>
        <v>385</v>
      </c>
      <c r="E23" s="36">
        <v>45525</v>
      </c>
      <c r="F23" s="37">
        <v>424.14</v>
      </c>
      <c r="G23" s="29"/>
    </row>
    <row r="24" spans="1:10" x14ac:dyDescent="0.25">
      <c r="B24" s="32" t="s">
        <v>44</v>
      </c>
      <c r="C24" s="34">
        <f>'Mid-term DCF'!C35</f>
        <v>400</v>
      </c>
      <c r="E24" s="36">
        <v>44792</v>
      </c>
      <c r="F24" s="37">
        <v>286.14999999999998</v>
      </c>
      <c r="G24" s="29"/>
    </row>
    <row r="25" spans="1:10" x14ac:dyDescent="0.25">
      <c r="B25" s="32" t="s">
        <v>45</v>
      </c>
      <c r="C25" s="425">
        <f>($C$8/C24)-1</f>
        <v>6.0349999999999904E-2</v>
      </c>
      <c r="E25" s="36">
        <v>44064</v>
      </c>
      <c r="F25" s="37">
        <v>213.02</v>
      </c>
      <c r="G25" s="29"/>
    </row>
    <row r="26" spans="1:10" x14ac:dyDescent="0.25">
      <c r="A26" s="525"/>
      <c r="B26" s="525"/>
      <c r="C26" s="526"/>
      <c r="D26" s="525"/>
      <c r="E26" s="527">
        <v>43334</v>
      </c>
      <c r="F26" s="278">
        <v>107.06</v>
      </c>
      <c r="G26" s="525"/>
      <c r="H26" s="525"/>
      <c r="I26" s="525"/>
      <c r="J26" s="525"/>
    </row>
    <row r="27" spans="1:10" x14ac:dyDescent="0.25">
      <c r="A27" s="525"/>
      <c r="B27" s="525"/>
      <c r="C27" s="525"/>
      <c r="D27" s="525"/>
      <c r="E27" s="525"/>
      <c r="F27" s="525"/>
      <c r="G27" s="525"/>
      <c r="H27" s="525"/>
      <c r="I27" s="525"/>
      <c r="J27" s="525"/>
    </row>
    <row r="28" spans="1:10" x14ac:dyDescent="0.25">
      <c r="A28" s="525"/>
      <c r="B28" s="525"/>
      <c r="C28" s="525"/>
      <c r="D28" s="525"/>
      <c r="E28" s="525"/>
      <c r="F28" s="525"/>
      <c r="G28" s="525"/>
      <c r="H28" s="525"/>
      <c r="I28" s="525"/>
      <c r="J28" s="525"/>
    </row>
    <row r="29" spans="1:10" x14ac:dyDescent="0.25">
      <c r="A29" s="525"/>
      <c r="B29" s="525"/>
      <c r="C29" s="525"/>
      <c r="D29" s="525"/>
      <c r="E29" s="525"/>
      <c r="F29" s="525"/>
      <c r="G29" s="525"/>
      <c r="H29" s="525"/>
      <c r="I29" s="525"/>
      <c r="J29" s="525"/>
    </row>
    <row r="30" spans="1:10" x14ac:dyDescent="0.25">
      <c r="A30" s="525"/>
      <c r="B30" s="525"/>
      <c r="C30" s="525"/>
      <c r="D30" s="525"/>
      <c r="E30" s="525"/>
      <c r="F30" s="525"/>
      <c r="G30" s="525"/>
      <c r="H30" s="525"/>
      <c r="I30" s="525"/>
      <c r="J30" s="525"/>
    </row>
    <row r="31" spans="1:10" x14ac:dyDescent="0.25">
      <c r="A31" s="525"/>
      <c r="B31" s="525"/>
      <c r="C31" s="525"/>
      <c r="D31" s="525"/>
      <c r="E31" s="525"/>
      <c r="F31" s="525"/>
      <c r="G31" s="525"/>
      <c r="H31" s="525"/>
      <c r="I31" s="525"/>
      <c r="J31" s="525"/>
    </row>
    <row r="32" spans="1:10" x14ac:dyDescent="0.25">
      <c r="A32" s="525"/>
      <c r="B32" s="525"/>
      <c r="C32" s="525"/>
      <c r="D32" s="525"/>
      <c r="E32" s="525"/>
      <c r="F32" s="525"/>
      <c r="G32" s="525"/>
      <c r="H32" s="525"/>
      <c r="I32" s="525"/>
      <c r="J32" s="525"/>
    </row>
    <row r="33" spans="1:10" x14ac:dyDescent="0.25">
      <c r="A33" s="525"/>
      <c r="B33" s="528"/>
      <c r="C33" s="525"/>
      <c r="D33" s="525"/>
      <c r="E33" s="525"/>
      <c r="F33" s="525"/>
      <c r="G33" s="525"/>
      <c r="H33" s="525"/>
      <c r="I33" s="525"/>
      <c r="J33" s="525"/>
    </row>
    <row r="34" spans="1:10" x14ac:dyDescent="0.25">
      <c r="A34" s="525"/>
      <c r="B34" s="525"/>
      <c r="C34" s="525"/>
      <c r="D34" s="525"/>
      <c r="E34" s="525"/>
      <c r="F34" s="525"/>
      <c r="G34" s="525"/>
      <c r="H34" s="525"/>
      <c r="I34" s="525"/>
      <c r="J34" s="525"/>
    </row>
    <row r="48" spans="1:10" x14ac:dyDescent="0.25">
      <c r="B48" s="529"/>
    </row>
    <row r="49" spans="2:2" x14ac:dyDescent="0.25">
      <c r="B49" s="530"/>
    </row>
  </sheetData>
  <dataValidations count="2">
    <dataValidation type="list" allowBlank="1" showInputMessage="1" showErrorMessage="1" sqref="C14" xr:uid="{0AB84028-0C7F-4D63-A3BF-CC174F39F80B}">
      <formula1>"USD, USD in M, USD in mm"</formula1>
    </dataValidation>
    <dataValidation type="list" allowBlank="1" showInputMessage="1" showErrorMessage="1" sqref="C15" xr:uid="{A466739F-14E6-4A2F-BB66-CAC1851AC81A}">
      <formula1>"1,0"</formula1>
    </dataValidation>
  </dataValidations>
  <pageMargins left="0.7" right="0.7" top="0.75" bottom="0.75" header="0.3" footer="0.3"/>
  <pageSetup scale="6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75F6D-76D3-4D6B-B593-D0937900AE0C}">
  <sheetPr>
    <tabColor theme="5" tint="0.59999389629810485"/>
  </sheetPr>
  <dimension ref="A1:XFD133"/>
  <sheetViews>
    <sheetView showGridLines="0" zoomScale="80" zoomScaleNormal="80" zoomScaleSheetLayoutView="100" workbookViewId="0">
      <selection activeCell="K29" sqref="K29"/>
    </sheetView>
  </sheetViews>
  <sheetFormatPr defaultColWidth="8.7109375" defaultRowHeight="15" outlineLevelRow="1" x14ac:dyDescent="0.25"/>
  <cols>
    <col min="1" max="1" width="2.7109375" style="4" customWidth="1"/>
    <col min="2" max="2" width="65.7109375" style="4" bestFit="1" customWidth="1"/>
    <col min="3" max="4" width="11.7109375" style="4" customWidth="1"/>
    <col min="5" max="5" width="11.5703125" style="4" bestFit="1" customWidth="1"/>
    <col min="6" max="6" width="12.7109375" style="4" bestFit="1" customWidth="1"/>
    <col min="7" max="7" width="12.28515625" style="4" bestFit="1" customWidth="1"/>
    <col min="8" max="8" width="3.7109375" style="4" customWidth="1"/>
    <col min="9" max="12" width="11.7109375" style="4" customWidth="1"/>
    <col min="13" max="13" width="3.7109375" style="4" customWidth="1"/>
    <col min="14" max="18" width="11.7109375" style="38" customWidth="1"/>
    <col min="19" max="20" width="8.7109375" style="38"/>
    <col min="21" max="16384" width="8.7109375" style="4"/>
  </cols>
  <sheetData>
    <row r="1" spans="1:20" ht="18.75" x14ac:dyDescent="0.3">
      <c r="B1" s="3" t="str">
        <f>"Valuation Analysis of "&amp;'Summary Stock Performance'!C6</f>
        <v>Valuation Analysis of MICROSOFT CORP</v>
      </c>
    </row>
    <row r="2" spans="1:20" x14ac:dyDescent="0.25">
      <c r="B2" s="5" t="s">
        <v>4</v>
      </c>
      <c r="N2" s="4"/>
      <c r="O2" s="4"/>
      <c r="P2" s="4"/>
      <c r="Q2" s="4"/>
      <c r="R2" s="4"/>
    </row>
    <row r="3" spans="1:20" ht="16.5" x14ac:dyDescent="0.3">
      <c r="I3" s="539" t="s">
        <v>46</v>
      </c>
      <c r="J3" s="540"/>
      <c r="K3" s="540"/>
      <c r="L3" s="541"/>
      <c r="M3" s="39"/>
      <c r="N3" s="542" t="s">
        <v>47</v>
      </c>
      <c r="O3" s="543"/>
      <c r="P3" s="543"/>
      <c r="Q3" s="543"/>
      <c r="R3" s="544"/>
    </row>
    <row r="4" spans="1:20" ht="16.5" x14ac:dyDescent="0.25">
      <c r="B4" s="140"/>
      <c r="C4" s="533" t="s">
        <v>48</v>
      </c>
      <c r="D4" s="533"/>
      <c r="E4" s="533"/>
      <c r="F4" s="533"/>
      <c r="G4" s="533"/>
      <c r="I4" s="145" t="s">
        <v>49</v>
      </c>
      <c r="J4" s="146"/>
      <c r="K4" s="146"/>
      <c r="L4" s="147"/>
      <c r="M4" s="2"/>
      <c r="N4" s="152" t="s">
        <v>50</v>
      </c>
      <c r="O4" s="153"/>
      <c r="P4" s="153"/>
      <c r="Q4" s="153"/>
      <c r="R4" s="154"/>
    </row>
    <row r="5" spans="1:20" ht="16.5" x14ac:dyDescent="0.3">
      <c r="A5" s="4" t="s">
        <v>139</v>
      </c>
      <c r="B5" s="141" t="s">
        <v>49</v>
      </c>
      <c r="C5" s="142">
        <v>2020</v>
      </c>
      <c r="D5" s="142">
        <f>C5+1</f>
        <v>2021</v>
      </c>
      <c r="E5" s="142">
        <f t="shared" ref="E5:G5" si="0">D5+1</f>
        <v>2022</v>
      </c>
      <c r="F5" s="142">
        <f t="shared" si="0"/>
        <v>2023</v>
      </c>
      <c r="G5" s="142">
        <f t="shared" si="0"/>
        <v>2024</v>
      </c>
      <c r="H5" s="40"/>
      <c r="I5" s="148">
        <v>2021</v>
      </c>
      <c r="J5" s="149">
        <f>I5+1</f>
        <v>2022</v>
      </c>
      <c r="K5" s="149">
        <f>J5+1</f>
        <v>2023</v>
      </c>
      <c r="L5" s="149">
        <f>K5+1</f>
        <v>2024</v>
      </c>
      <c r="M5" s="22"/>
      <c r="N5" s="148">
        <v>2020</v>
      </c>
      <c r="O5" s="149">
        <f>N5+1</f>
        <v>2021</v>
      </c>
      <c r="P5" s="149">
        <f t="shared" ref="P5:R5" si="1">O5+1</f>
        <v>2022</v>
      </c>
      <c r="Q5" s="149">
        <f t="shared" si="1"/>
        <v>2023</v>
      </c>
      <c r="R5" s="149">
        <f t="shared" si="1"/>
        <v>2024</v>
      </c>
    </row>
    <row r="6" spans="1:20" outlineLevel="1" x14ac:dyDescent="0.25">
      <c r="B6" s="41" t="s">
        <v>51</v>
      </c>
      <c r="C6" s="42"/>
      <c r="D6" s="42"/>
      <c r="E6" s="43"/>
      <c r="F6" s="43"/>
      <c r="G6" s="44"/>
      <c r="I6" s="45"/>
      <c r="L6" s="46"/>
      <c r="N6" s="47"/>
      <c r="R6" s="48"/>
    </row>
    <row r="7" spans="1:20" outlineLevel="1" x14ac:dyDescent="0.25">
      <c r="B7" s="49" t="s">
        <v>52</v>
      </c>
      <c r="C7" s="50">
        <v>68041</v>
      </c>
      <c r="D7" s="50">
        <v>71074</v>
      </c>
      <c r="E7" s="50">
        <v>72732</v>
      </c>
      <c r="F7" s="50">
        <v>64699</v>
      </c>
      <c r="G7" s="51">
        <v>64773</v>
      </c>
      <c r="I7" s="47">
        <f t="shared" ref="I7:L8" si="2">+D7/C7-1</f>
        <v>4.457606443173967E-2</v>
      </c>
      <c r="J7" s="38">
        <f t="shared" si="2"/>
        <v>2.3327799195205001E-2</v>
      </c>
      <c r="K7" s="38">
        <f t="shared" si="2"/>
        <v>-0.11044657097288679</v>
      </c>
      <c r="L7" s="48">
        <f t="shared" si="2"/>
        <v>1.1437580178983442E-3</v>
      </c>
      <c r="N7" s="52">
        <f>C7/C$9</f>
        <v>0.47576128378142152</v>
      </c>
      <c r="O7" s="53">
        <f t="shared" ref="O7:R9" si="3">D7/D$9</f>
        <v>0.4228380372185998</v>
      </c>
      <c r="P7" s="53">
        <f t="shared" ref="P7:R8" si="4">E7/E$9</f>
        <v>0.36683310637010136</v>
      </c>
      <c r="Q7" s="53">
        <f t="shared" si="4"/>
        <v>0.30530637283816625</v>
      </c>
      <c r="R7" s="54">
        <f t="shared" si="4"/>
        <v>0.26424800711482443</v>
      </c>
    </row>
    <row r="8" spans="1:20" outlineLevel="1" x14ac:dyDescent="0.25">
      <c r="B8" s="49" t="s">
        <v>53</v>
      </c>
      <c r="C8" s="55">
        <v>74974</v>
      </c>
      <c r="D8" s="55">
        <v>97014</v>
      </c>
      <c r="E8" s="55">
        <v>125538</v>
      </c>
      <c r="F8" s="55">
        <v>147216</v>
      </c>
      <c r="G8" s="56">
        <v>180349</v>
      </c>
      <c r="I8" s="57">
        <f t="shared" si="2"/>
        <v>0.29396857577293467</v>
      </c>
      <c r="J8" s="58">
        <f t="shared" si="2"/>
        <v>0.29401941987754343</v>
      </c>
      <c r="K8" s="58">
        <f t="shared" si="2"/>
        <v>0.17268078191463943</v>
      </c>
      <c r="L8" s="59">
        <f t="shared" si="2"/>
        <v>0.2250638517552439</v>
      </c>
      <c r="N8" s="52">
        <f t="shared" ref="N8:N9" si="5">C8/C$9</f>
        <v>0.52423871621857843</v>
      </c>
      <c r="O8" s="53">
        <f t="shared" si="3"/>
        <v>0.5771619627814002</v>
      </c>
      <c r="P8" s="53">
        <f t="shared" si="4"/>
        <v>0.63316689362989864</v>
      </c>
      <c r="Q8" s="53">
        <f t="shared" si="4"/>
        <v>0.6946936271618338</v>
      </c>
      <c r="R8" s="54">
        <f t="shared" si="4"/>
        <v>0.73575199288517557</v>
      </c>
    </row>
    <row r="9" spans="1:20" s="63" customFormat="1" outlineLevel="1" x14ac:dyDescent="0.25">
      <c r="B9" s="60" t="s">
        <v>54</v>
      </c>
      <c r="C9" s="61">
        <f>SUM(C7:C8)</f>
        <v>143015</v>
      </c>
      <c r="D9" s="61">
        <f>SUM(D7:D8)</f>
        <v>168088</v>
      </c>
      <c r="E9" s="61">
        <f>SUM(E7:E8)</f>
        <v>198270</v>
      </c>
      <c r="F9" s="61">
        <f>SUM(F7:F8)</f>
        <v>211915</v>
      </c>
      <c r="G9" s="62">
        <f>SUM(G7:G8)</f>
        <v>245122</v>
      </c>
      <c r="I9" s="64">
        <f>+D9/C9-1</f>
        <v>0.17531727441177503</v>
      </c>
      <c r="J9" s="65">
        <f t="shared" ref="J9:L9" si="6">+E9/D9-1</f>
        <v>0.17956070629670173</v>
      </c>
      <c r="K9" s="65">
        <f t="shared" si="6"/>
        <v>6.8820295556564215E-2</v>
      </c>
      <c r="L9" s="66">
        <f t="shared" si="6"/>
        <v>0.1566996201307127</v>
      </c>
      <c r="N9" s="67">
        <f t="shared" si="5"/>
        <v>1</v>
      </c>
      <c r="O9" s="68">
        <f t="shared" si="3"/>
        <v>1</v>
      </c>
      <c r="P9" s="68">
        <f t="shared" si="3"/>
        <v>1</v>
      </c>
      <c r="Q9" s="68">
        <f t="shared" si="3"/>
        <v>1</v>
      </c>
      <c r="R9" s="69">
        <f t="shared" si="3"/>
        <v>1</v>
      </c>
      <c r="S9" s="65"/>
      <c r="T9" s="65"/>
    </row>
    <row r="10" spans="1:20" outlineLevel="1" x14ac:dyDescent="0.25">
      <c r="B10" s="70" t="s">
        <v>55</v>
      </c>
      <c r="C10" s="71"/>
      <c r="D10" s="71"/>
      <c r="E10" s="71"/>
      <c r="F10" s="71"/>
      <c r="G10" s="72"/>
      <c r="I10" s="45"/>
      <c r="L10" s="46"/>
      <c r="N10" s="47"/>
      <c r="R10" s="48"/>
    </row>
    <row r="11" spans="1:20" outlineLevel="1" x14ac:dyDescent="0.25">
      <c r="B11" s="49" t="s">
        <v>52</v>
      </c>
      <c r="C11" s="55">
        <v>16017</v>
      </c>
      <c r="D11" s="55">
        <v>18219</v>
      </c>
      <c r="E11" s="55">
        <v>19064</v>
      </c>
      <c r="F11" s="55">
        <v>17804</v>
      </c>
      <c r="G11" s="51">
        <v>15272</v>
      </c>
      <c r="I11" s="47">
        <f t="shared" ref="I11:L14" si="7">+D11/C11-1</f>
        <v>0.13747892863832178</v>
      </c>
      <c r="J11" s="38">
        <f t="shared" ref="J11:L12" si="8">+E11/D11-1</f>
        <v>4.638015258795769E-2</v>
      </c>
      <c r="K11" s="38">
        <f t="shared" si="8"/>
        <v>-6.6093159882501085E-2</v>
      </c>
      <c r="L11" s="48">
        <f t="shared" si="8"/>
        <v>-0.14221523253201529</v>
      </c>
      <c r="N11" s="52">
        <f t="shared" ref="N11:R25" si="9">C11/C$9</f>
        <v>0.11199524525399433</v>
      </c>
      <c r="O11" s="53">
        <f t="shared" si="9"/>
        <v>0.1083896530388844</v>
      </c>
      <c r="P11" s="53">
        <f t="shared" ref="P11:R12" si="10">E11/E$9</f>
        <v>9.6151712311494428E-2</v>
      </c>
      <c r="Q11" s="53">
        <f t="shared" si="10"/>
        <v>8.4014817261637925E-2</v>
      </c>
      <c r="R11" s="54">
        <f t="shared" si="10"/>
        <v>6.230366919329966E-2</v>
      </c>
    </row>
    <row r="12" spans="1:20" outlineLevel="1" x14ac:dyDescent="0.25">
      <c r="B12" s="49" t="s">
        <v>53</v>
      </c>
      <c r="C12" s="55">
        <v>30061</v>
      </c>
      <c r="D12" s="55">
        <v>34013</v>
      </c>
      <c r="E12" s="55">
        <v>43586</v>
      </c>
      <c r="F12" s="55">
        <v>48059</v>
      </c>
      <c r="G12" s="51">
        <v>58842</v>
      </c>
      <c r="I12" s="47">
        <f t="shared" si="7"/>
        <v>0.13146601909450784</v>
      </c>
      <c r="J12" s="38">
        <f t="shared" si="8"/>
        <v>0.28145120983153493</v>
      </c>
      <c r="K12" s="38">
        <f t="shared" si="8"/>
        <v>0.10262469600330371</v>
      </c>
      <c r="L12" s="48">
        <f t="shared" si="8"/>
        <v>0.22437004515283299</v>
      </c>
      <c r="N12" s="52">
        <f t="shared" si="9"/>
        <v>0.21019473481802609</v>
      </c>
      <c r="O12" s="53">
        <f t="shared" si="9"/>
        <v>0.2023523392508686</v>
      </c>
      <c r="P12" s="53">
        <f t="shared" si="10"/>
        <v>0.21983154284561457</v>
      </c>
      <c r="Q12" s="53">
        <f t="shared" si="10"/>
        <v>0.22678432390345185</v>
      </c>
      <c r="R12" s="54">
        <f t="shared" si="10"/>
        <v>0.24005189252698655</v>
      </c>
    </row>
    <row r="13" spans="1:20" s="63" customFormat="1" outlineLevel="1" x14ac:dyDescent="0.25">
      <c r="B13" s="60" t="s">
        <v>56</v>
      </c>
      <c r="C13" s="61">
        <f t="shared" ref="C13:D13" si="11">SUM(C11:C12)</f>
        <v>46078</v>
      </c>
      <c r="D13" s="61">
        <f t="shared" si="11"/>
        <v>52232</v>
      </c>
      <c r="E13" s="61">
        <f>SUM(E11:E12)</f>
        <v>62650</v>
      </c>
      <c r="F13" s="61">
        <f>SUM(F11:F12)</f>
        <v>65863</v>
      </c>
      <c r="G13" s="62">
        <f>SUM(G11:G12)</f>
        <v>74114</v>
      </c>
      <c r="I13" s="73">
        <f t="shared" si="7"/>
        <v>0.13355614392985804</v>
      </c>
      <c r="J13" s="74">
        <f t="shared" si="7"/>
        <v>0.19945627201715421</v>
      </c>
      <c r="K13" s="74">
        <f t="shared" si="7"/>
        <v>5.1284916201117303E-2</v>
      </c>
      <c r="L13" s="75">
        <f t="shared" si="7"/>
        <v>0.12527519244492358</v>
      </c>
      <c r="N13" s="76">
        <f t="shared" si="9"/>
        <v>0.32218998007202043</v>
      </c>
      <c r="O13" s="77">
        <f t="shared" si="9"/>
        <v>0.31074199228975297</v>
      </c>
      <c r="P13" s="77">
        <f t="shared" si="9"/>
        <v>0.31598325515710901</v>
      </c>
      <c r="Q13" s="77">
        <f t="shared" si="9"/>
        <v>0.31079914116508978</v>
      </c>
      <c r="R13" s="78">
        <f t="shared" si="9"/>
        <v>0.30235556172028621</v>
      </c>
      <c r="S13" s="65"/>
      <c r="T13" s="65"/>
    </row>
    <row r="14" spans="1:20" s="63" customFormat="1" outlineLevel="1" x14ac:dyDescent="0.25">
      <c r="B14" s="41" t="s">
        <v>57</v>
      </c>
      <c r="C14" s="61">
        <f t="shared" ref="C14:D14" si="12">C9-C13</f>
        <v>96937</v>
      </c>
      <c r="D14" s="61">
        <f t="shared" si="12"/>
        <v>115856</v>
      </c>
      <c r="E14" s="61">
        <f>E9-E13</f>
        <v>135620</v>
      </c>
      <c r="F14" s="61">
        <f>F9-F13</f>
        <v>146052</v>
      </c>
      <c r="G14" s="62">
        <f>G9-G13</f>
        <v>171008</v>
      </c>
      <c r="I14" s="64">
        <f t="shared" si="7"/>
        <v>0.19516799570855303</v>
      </c>
      <c r="J14" s="65">
        <f t="shared" si="7"/>
        <v>0.17059107858030664</v>
      </c>
      <c r="K14" s="65">
        <f t="shared" si="7"/>
        <v>7.6920808140392261E-2</v>
      </c>
      <c r="L14" s="66">
        <f t="shared" si="7"/>
        <v>0.1708706488100129</v>
      </c>
      <c r="N14" s="52">
        <f t="shared" si="9"/>
        <v>0.67781001992797962</v>
      </c>
      <c r="O14" s="53">
        <f t="shared" si="9"/>
        <v>0.68925800771024703</v>
      </c>
      <c r="P14" s="53">
        <f t="shared" si="9"/>
        <v>0.68401674484289099</v>
      </c>
      <c r="Q14" s="53">
        <f t="shared" si="9"/>
        <v>0.68920085883491022</v>
      </c>
      <c r="R14" s="54">
        <f t="shared" si="9"/>
        <v>0.69764443827971379</v>
      </c>
      <c r="S14" s="65"/>
      <c r="T14" s="65"/>
    </row>
    <row r="15" spans="1:20" outlineLevel="1" x14ac:dyDescent="0.25">
      <c r="B15" s="70" t="s">
        <v>58</v>
      </c>
      <c r="C15" s="71"/>
      <c r="D15" s="71"/>
      <c r="E15" s="71"/>
      <c r="F15" s="71"/>
      <c r="G15" s="72"/>
      <c r="I15" s="45"/>
      <c r="L15" s="46"/>
      <c r="N15" s="52"/>
      <c r="O15" s="53"/>
      <c r="P15" s="53"/>
      <c r="Q15" s="53"/>
      <c r="R15" s="54"/>
    </row>
    <row r="16" spans="1:20" outlineLevel="1" x14ac:dyDescent="0.25">
      <c r="B16" s="49" t="s">
        <v>59</v>
      </c>
      <c r="C16" s="55">
        <v>19269</v>
      </c>
      <c r="D16" s="55">
        <v>20716</v>
      </c>
      <c r="E16" s="55">
        <v>24512</v>
      </c>
      <c r="F16" s="55">
        <v>27195</v>
      </c>
      <c r="G16" s="56">
        <v>29510</v>
      </c>
      <c r="I16" s="47">
        <f t="shared" ref="I16:L25" si="13">+D16/C16-1</f>
        <v>7.5094711713114437E-2</v>
      </c>
      <c r="J16" s="38">
        <f t="shared" ref="J16:L17" si="14">+E16/D16-1</f>
        <v>0.1832400077234988</v>
      </c>
      <c r="K16" s="38">
        <f t="shared" si="14"/>
        <v>0.10945659268929497</v>
      </c>
      <c r="L16" s="48">
        <f t="shared" si="14"/>
        <v>8.5125942268799326E-2</v>
      </c>
      <c r="N16" s="52">
        <f t="shared" si="9"/>
        <v>0.1347341187987274</v>
      </c>
      <c r="O16" s="53">
        <f t="shared" si="9"/>
        <v>0.12324496692208843</v>
      </c>
      <c r="P16" s="53">
        <f t="shared" ref="P16:R17" si="15">E16/E$9</f>
        <v>0.12362939426035205</v>
      </c>
      <c r="Q16" s="53">
        <f t="shared" si="15"/>
        <v>0.12832975485454073</v>
      </c>
      <c r="R16" s="54">
        <f t="shared" si="15"/>
        <v>0.12038903076835208</v>
      </c>
    </row>
    <row r="17" spans="2:20" outlineLevel="1" x14ac:dyDescent="0.25">
      <c r="B17" s="49" t="s">
        <v>60</v>
      </c>
      <c r="C17" s="55">
        <f>19598+5111</f>
        <v>24709</v>
      </c>
      <c r="D17" s="55">
        <v>25224</v>
      </c>
      <c r="E17" s="55">
        <v>27725</v>
      </c>
      <c r="F17" s="55">
        <v>30334</v>
      </c>
      <c r="G17" s="56">
        <v>32065</v>
      </c>
      <c r="I17" s="47">
        <f t="shared" si="13"/>
        <v>2.0842607956615078E-2</v>
      </c>
      <c r="J17" s="38">
        <f t="shared" si="14"/>
        <v>9.9151601649222876E-2</v>
      </c>
      <c r="K17" s="38">
        <f t="shared" si="14"/>
        <v>9.4102795311091114E-2</v>
      </c>
      <c r="L17" s="48">
        <f t="shared" si="14"/>
        <v>5.7064679897145032E-2</v>
      </c>
      <c r="N17" s="52">
        <f t="shared" si="9"/>
        <v>0.17277208684403733</v>
      </c>
      <c r="O17" s="53">
        <f t="shared" si="9"/>
        <v>0.15006425205844556</v>
      </c>
      <c r="P17" s="53">
        <f t="shared" si="15"/>
        <v>0.13983456902204064</v>
      </c>
      <c r="Q17" s="53">
        <f t="shared" si="15"/>
        <v>0.14314229761932851</v>
      </c>
      <c r="R17" s="54">
        <f t="shared" si="15"/>
        <v>0.13081241177862452</v>
      </c>
    </row>
    <row r="18" spans="2:20" s="63" customFormat="1" outlineLevel="1" x14ac:dyDescent="0.25">
      <c r="B18" s="60" t="s">
        <v>61</v>
      </c>
      <c r="C18" s="61">
        <f t="shared" ref="C18:D18" si="16">SUM(C16:C17)</f>
        <v>43978</v>
      </c>
      <c r="D18" s="61">
        <f t="shared" si="16"/>
        <v>45940</v>
      </c>
      <c r="E18" s="61">
        <f>SUM(E16:E17)</f>
        <v>52237</v>
      </c>
      <c r="F18" s="61">
        <f>SUM(F16:F17)</f>
        <v>57529</v>
      </c>
      <c r="G18" s="62">
        <f>SUM(G16:G17)</f>
        <v>61575</v>
      </c>
      <c r="I18" s="73">
        <f t="shared" si="13"/>
        <v>4.4613215698758424E-2</v>
      </c>
      <c r="J18" s="74">
        <f t="shared" si="13"/>
        <v>0.13707009142359605</v>
      </c>
      <c r="K18" s="74">
        <f t="shared" si="13"/>
        <v>0.10130750234508112</v>
      </c>
      <c r="L18" s="75">
        <f t="shared" si="13"/>
        <v>7.0329746736428556E-2</v>
      </c>
      <c r="N18" s="76">
        <f t="shared" si="9"/>
        <v>0.30750620564276476</v>
      </c>
      <c r="O18" s="77">
        <f t="shared" si="9"/>
        <v>0.27330921898053401</v>
      </c>
      <c r="P18" s="77">
        <f t="shared" si="9"/>
        <v>0.26346396328239269</v>
      </c>
      <c r="Q18" s="77">
        <f t="shared" si="9"/>
        <v>0.27147205247386924</v>
      </c>
      <c r="R18" s="78">
        <f t="shared" si="9"/>
        <v>0.25120144254697663</v>
      </c>
      <c r="S18" s="65"/>
      <c r="T18" s="65"/>
    </row>
    <row r="19" spans="2:20" s="63" customFormat="1" outlineLevel="1" x14ac:dyDescent="0.25">
      <c r="B19" s="41" t="s">
        <v>62</v>
      </c>
      <c r="C19" s="61">
        <f t="shared" ref="C19:D19" si="17">+C14-C18</f>
        <v>52959</v>
      </c>
      <c r="D19" s="61">
        <f t="shared" si="17"/>
        <v>69916</v>
      </c>
      <c r="E19" s="61">
        <f>+E14-E18</f>
        <v>83383</v>
      </c>
      <c r="F19" s="61">
        <f t="shared" ref="F19:G19" si="18">+F14-F18</f>
        <v>88523</v>
      </c>
      <c r="G19" s="62">
        <f t="shared" si="18"/>
        <v>109433</v>
      </c>
      <c r="I19" s="64">
        <f t="shared" si="13"/>
        <v>0.3201910912215109</v>
      </c>
      <c r="J19" s="65">
        <f t="shared" si="13"/>
        <v>0.19261685451112753</v>
      </c>
      <c r="K19" s="65">
        <f t="shared" si="13"/>
        <v>6.1643260616672357E-2</v>
      </c>
      <c r="L19" s="66">
        <f t="shared" si="13"/>
        <v>0.23620979858341906</v>
      </c>
      <c r="N19" s="52">
        <f t="shared" si="9"/>
        <v>0.37030381428521486</v>
      </c>
      <c r="O19" s="53">
        <f t="shared" si="9"/>
        <v>0.41594878872971303</v>
      </c>
      <c r="P19" s="53">
        <f t="shared" si="9"/>
        <v>0.4205527815604983</v>
      </c>
      <c r="Q19" s="53">
        <f t="shared" si="9"/>
        <v>0.41772880636104098</v>
      </c>
      <c r="R19" s="54">
        <f t="shared" si="9"/>
        <v>0.44644299573273716</v>
      </c>
      <c r="S19" s="65"/>
      <c r="T19" s="65"/>
    </row>
    <row r="20" spans="2:20" outlineLevel="1" x14ac:dyDescent="0.25">
      <c r="B20" s="45" t="s">
        <v>63</v>
      </c>
      <c r="C20" s="55">
        <v>77</v>
      </c>
      <c r="D20" s="55">
        <v>1186</v>
      </c>
      <c r="E20" s="55">
        <v>333</v>
      </c>
      <c r="F20" s="55">
        <v>788</v>
      </c>
      <c r="G20" s="56">
        <v>-1646</v>
      </c>
      <c r="I20" s="57">
        <f t="shared" si="13"/>
        <v>14.402597402597403</v>
      </c>
      <c r="J20" s="58">
        <f t="shared" si="13"/>
        <v>-0.71922428330522759</v>
      </c>
      <c r="K20" s="58">
        <f t="shared" si="13"/>
        <v>1.3663663663663663</v>
      </c>
      <c r="L20" s="59">
        <f t="shared" si="13"/>
        <v>-3.0888324873096447</v>
      </c>
      <c r="N20" s="52">
        <f t="shared" si="9"/>
        <v>5.3840506240604132E-4</v>
      </c>
      <c r="O20" s="53">
        <f t="shared" si="9"/>
        <v>7.0558278996716009E-3</v>
      </c>
      <c r="P20" s="53">
        <f t="shared" si="9"/>
        <v>1.6795279164775307E-3</v>
      </c>
      <c r="Q20" s="53">
        <f t="shared" si="9"/>
        <v>3.7184720288795034E-3</v>
      </c>
      <c r="R20" s="54">
        <f t="shared" si="9"/>
        <v>-6.715023539298798E-3</v>
      </c>
    </row>
    <row r="21" spans="2:20" s="63" customFormat="1" outlineLevel="1" x14ac:dyDescent="0.25">
      <c r="B21" s="41" t="s">
        <v>64</v>
      </c>
      <c r="C21" s="61">
        <f t="shared" ref="C21:D21" si="19">SUM(C19:C20)</f>
        <v>53036</v>
      </c>
      <c r="D21" s="61">
        <f t="shared" si="19"/>
        <v>71102</v>
      </c>
      <c r="E21" s="61">
        <f>SUM(E19:E20)</f>
        <v>83716</v>
      </c>
      <c r="F21" s="61">
        <f>SUM(F19:F20)</f>
        <v>89311</v>
      </c>
      <c r="G21" s="62">
        <f>SUM(G19:G20)</f>
        <v>107787</v>
      </c>
      <c r="I21" s="64">
        <f t="shared" si="13"/>
        <v>0.34063654875933325</v>
      </c>
      <c r="J21" s="65">
        <f t="shared" si="13"/>
        <v>0.17740710528536474</v>
      </c>
      <c r="K21" s="65">
        <f t="shared" si="13"/>
        <v>6.6833102393807575E-2</v>
      </c>
      <c r="L21" s="66">
        <f t="shared" si="13"/>
        <v>0.206872613675807</v>
      </c>
      <c r="N21" s="67">
        <f t="shared" si="9"/>
        <v>0.37084221934762091</v>
      </c>
      <c r="O21" s="68">
        <f t="shared" si="9"/>
        <v>0.4230046166293846</v>
      </c>
      <c r="P21" s="68">
        <f t="shared" si="9"/>
        <v>0.42223230947697582</v>
      </c>
      <c r="Q21" s="68">
        <f t="shared" si="9"/>
        <v>0.42144727838992047</v>
      </c>
      <c r="R21" s="69">
        <f t="shared" si="9"/>
        <v>0.43972797219343834</v>
      </c>
      <c r="S21" s="65"/>
      <c r="T21" s="65"/>
    </row>
    <row r="22" spans="2:20" outlineLevel="1" x14ac:dyDescent="0.25">
      <c r="B22" s="45" t="s">
        <v>65</v>
      </c>
      <c r="C22" s="55">
        <v>8755</v>
      </c>
      <c r="D22" s="55">
        <v>9831</v>
      </c>
      <c r="E22" s="55">
        <v>10978</v>
      </c>
      <c r="F22" s="55">
        <v>16950</v>
      </c>
      <c r="G22" s="56">
        <v>19651</v>
      </c>
      <c r="I22" s="47">
        <f t="shared" si="13"/>
        <v>0.12290119931467736</v>
      </c>
      <c r="J22" s="38">
        <f>+E22/D22-1</f>
        <v>0.11667175261926555</v>
      </c>
      <c r="K22" s="38">
        <f>+F22/E22-1</f>
        <v>0.54399708507924949</v>
      </c>
      <c r="L22" s="48">
        <f>+G22/F22-1</f>
        <v>0.15935103244837756</v>
      </c>
      <c r="N22" s="79">
        <f t="shared" si="9"/>
        <v>6.1217354822920671E-2</v>
      </c>
      <c r="O22" s="80">
        <f t="shared" si="9"/>
        <v>5.8487220979486935E-2</v>
      </c>
      <c r="P22" s="80">
        <f>E22/E$9</f>
        <v>5.5368941342613609E-2</v>
      </c>
      <c r="Q22" s="80">
        <f>F22/F$9</f>
        <v>7.9984899605974089E-2</v>
      </c>
      <c r="R22" s="81">
        <f t="shared" si="9"/>
        <v>8.0168242752588506E-2</v>
      </c>
    </row>
    <row r="23" spans="2:20" s="63" customFormat="1" outlineLevel="1" x14ac:dyDescent="0.25">
      <c r="B23" s="82" t="s">
        <v>0</v>
      </c>
      <c r="C23" s="83">
        <f t="shared" ref="C23:D23" si="20">C21-C22</f>
        <v>44281</v>
      </c>
      <c r="D23" s="83">
        <f t="shared" si="20"/>
        <v>61271</v>
      </c>
      <c r="E23" s="83">
        <f>E21-E22</f>
        <v>72738</v>
      </c>
      <c r="F23" s="83">
        <f>F21-F22</f>
        <v>72361</v>
      </c>
      <c r="G23" s="84">
        <f t="shared" ref="G23" si="21">G21-G22</f>
        <v>88136</v>
      </c>
      <c r="I23" s="73">
        <f t="shared" si="13"/>
        <v>0.38368600528443353</v>
      </c>
      <c r="J23" s="74">
        <f t="shared" si="13"/>
        <v>0.1871521600757291</v>
      </c>
      <c r="K23" s="74">
        <f t="shared" si="13"/>
        <v>-5.1829855096373612E-3</v>
      </c>
      <c r="L23" s="75">
        <f t="shared" si="13"/>
        <v>0.21800417351888446</v>
      </c>
      <c r="N23" s="76">
        <f t="shared" si="9"/>
        <v>0.30962486452470023</v>
      </c>
      <c r="O23" s="77">
        <f t="shared" si="9"/>
        <v>0.36451739564989766</v>
      </c>
      <c r="P23" s="77">
        <f t="shared" si="9"/>
        <v>0.36686336813436221</v>
      </c>
      <c r="Q23" s="77">
        <f t="shared" si="9"/>
        <v>0.34146237878394642</v>
      </c>
      <c r="R23" s="78">
        <f t="shared" si="9"/>
        <v>0.35955972944084985</v>
      </c>
      <c r="S23" s="65"/>
      <c r="T23" s="65"/>
    </row>
    <row r="24" spans="2:20" outlineLevel="1" x14ac:dyDescent="0.25">
      <c r="B24" s="85" t="s">
        <v>66</v>
      </c>
      <c r="C24" s="86">
        <v>0</v>
      </c>
      <c r="D24" s="86"/>
      <c r="E24" s="86"/>
      <c r="F24" s="86"/>
      <c r="G24" s="87"/>
      <c r="I24" s="47"/>
      <c r="J24" s="38"/>
      <c r="K24" s="38"/>
      <c r="L24" s="48"/>
      <c r="N24" s="52"/>
      <c r="O24" s="53"/>
      <c r="P24" s="53"/>
      <c r="Q24" s="53"/>
      <c r="R24" s="54"/>
    </row>
    <row r="25" spans="2:20" s="63" customFormat="1" ht="15.75" outlineLevel="1" thickBot="1" x14ac:dyDescent="0.3">
      <c r="B25" s="88" t="s">
        <v>67</v>
      </c>
      <c r="C25" s="89">
        <f t="shared" ref="C25:D25" si="22">+C23-C24</f>
        <v>44281</v>
      </c>
      <c r="D25" s="89">
        <f t="shared" si="22"/>
        <v>61271</v>
      </c>
      <c r="E25" s="89">
        <f>+E23-E24</f>
        <v>72738</v>
      </c>
      <c r="F25" s="89">
        <f t="shared" ref="F25:G25" si="23">+F23-F24</f>
        <v>72361</v>
      </c>
      <c r="G25" s="90">
        <f t="shared" si="23"/>
        <v>88136</v>
      </c>
      <c r="I25" s="91">
        <f t="shared" si="13"/>
        <v>0.38368600528443353</v>
      </c>
      <c r="J25" s="92">
        <f t="shared" si="13"/>
        <v>0.1871521600757291</v>
      </c>
      <c r="K25" s="92">
        <f t="shared" si="13"/>
        <v>-5.1829855096373612E-3</v>
      </c>
      <c r="L25" s="93">
        <f t="shared" si="13"/>
        <v>0.21800417351888446</v>
      </c>
      <c r="N25" s="94">
        <f t="shared" si="9"/>
        <v>0.30962486452470023</v>
      </c>
      <c r="O25" s="95">
        <f t="shared" si="9"/>
        <v>0.36451739564989766</v>
      </c>
      <c r="P25" s="95">
        <f t="shared" si="9"/>
        <v>0.36686336813436221</v>
      </c>
      <c r="Q25" s="95">
        <f t="shared" si="9"/>
        <v>0.34146237878394642</v>
      </c>
      <c r="R25" s="96">
        <f t="shared" si="9"/>
        <v>0.35955972944084985</v>
      </c>
      <c r="S25" s="65"/>
      <c r="T25" s="65"/>
    </row>
    <row r="26" spans="2:20" ht="15.75" outlineLevel="1" thickTop="1" x14ac:dyDescent="0.25"/>
    <row r="27" spans="2:20" outlineLevel="1" x14ac:dyDescent="0.25">
      <c r="B27" s="82" t="s">
        <v>68</v>
      </c>
      <c r="C27" s="97"/>
      <c r="D27" s="97"/>
      <c r="E27" s="97"/>
      <c r="F27" s="97"/>
      <c r="G27" s="98"/>
    </row>
    <row r="28" spans="2:20" outlineLevel="1" x14ac:dyDescent="0.25">
      <c r="B28" s="45" t="s">
        <v>69</v>
      </c>
      <c r="C28" s="99">
        <f>+C25*10^6/(C31*10^3)</f>
        <v>5818.7910643889618</v>
      </c>
      <c r="D28" s="99">
        <f>+D25*10^6/(D31*10^3)</f>
        <v>8118.5901682787862</v>
      </c>
      <c r="E28" s="99">
        <f>+E25*10^6/(E31*10^3)</f>
        <v>9703.5752401280679</v>
      </c>
      <c r="F28" s="99">
        <f>+F25*10^6/(F31*10^3)</f>
        <v>9718.1036798280948</v>
      </c>
      <c r="G28" s="100">
        <f>+G25*10^6/(G31*10^3)</f>
        <v>11860.584039833131</v>
      </c>
    </row>
    <row r="29" spans="2:20" outlineLevel="1" x14ac:dyDescent="0.25">
      <c r="B29" s="45" t="s">
        <v>70</v>
      </c>
      <c r="C29" s="99">
        <f>C25*10^6/(C32*10^3)</f>
        <v>5763.5038396459713</v>
      </c>
      <c r="D29" s="99">
        <f>D25*10^6/(D32*10^3)</f>
        <v>8053.4963196635117</v>
      </c>
      <c r="E29" s="99">
        <f>E25*10^6/(E32*10^3)</f>
        <v>9646.9496021220166</v>
      </c>
      <c r="F29" s="99">
        <f>F25*10^6/(F32*10^3)</f>
        <v>9684.2880085653105</v>
      </c>
      <c r="G29" s="100">
        <f>G25*10^6/(G32*10^3)</f>
        <v>11800.240996117285</v>
      </c>
    </row>
    <row r="30" spans="2:20" outlineLevel="1" x14ac:dyDescent="0.25">
      <c r="B30" s="101" t="s">
        <v>71</v>
      </c>
      <c r="C30" s="102"/>
      <c r="D30" s="102"/>
      <c r="E30" s="102"/>
      <c r="F30" s="102"/>
      <c r="G30" s="103"/>
    </row>
    <row r="31" spans="2:20" outlineLevel="1" x14ac:dyDescent="0.25">
      <c r="B31" s="45" t="s">
        <v>69</v>
      </c>
      <c r="C31" s="55">
        <v>7610</v>
      </c>
      <c r="D31" s="55">
        <v>7547</v>
      </c>
      <c r="E31" s="55">
        <v>7496</v>
      </c>
      <c r="F31" s="55">
        <v>7446</v>
      </c>
      <c r="G31" s="56">
        <v>7431</v>
      </c>
    </row>
    <row r="32" spans="2:20" outlineLevel="1" x14ac:dyDescent="0.25">
      <c r="B32" s="85" t="s">
        <v>70</v>
      </c>
      <c r="C32" s="86">
        <v>7683</v>
      </c>
      <c r="D32" s="86">
        <v>7608</v>
      </c>
      <c r="E32" s="86">
        <v>7540</v>
      </c>
      <c r="F32" s="86">
        <v>7472</v>
      </c>
      <c r="G32" s="87">
        <v>7469</v>
      </c>
    </row>
    <row r="33" spans="1:18" x14ac:dyDescent="0.25">
      <c r="C33" s="71"/>
      <c r="D33" s="71"/>
      <c r="E33" s="71"/>
      <c r="F33" s="71"/>
      <c r="G33" s="71"/>
    </row>
    <row r="34" spans="1:18" ht="16.5" x14ac:dyDescent="0.3">
      <c r="E34" s="71"/>
      <c r="F34" s="71"/>
      <c r="G34" s="71"/>
      <c r="I34" s="539" t="s">
        <v>46</v>
      </c>
      <c r="J34" s="540"/>
      <c r="K34" s="540"/>
      <c r="L34" s="541"/>
      <c r="M34" s="39"/>
      <c r="N34" s="542" t="s">
        <v>47</v>
      </c>
      <c r="O34" s="543"/>
      <c r="P34" s="543"/>
      <c r="Q34" s="543"/>
      <c r="R34" s="544"/>
    </row>
    <row r="35" spans="1:18" ht="16.5" x14ac:dyDescent="0.25">
      <c r="B35" s="140"/>
      <c r="C35" s="533" t="s">
        <v>48</v>
      </c>
      <c r="D35" s="533"/>
      <c r="E35" s="533"/>
      <c r="F35" s="533"/>
      <c r="G35" s="533"/>
      <c r="I35" s="534" t="s">
        <v>72</v>
      </c>
      <c r="J35" s="534"/>
      <c r="K35" s="534"/>
      <c r="L35" s="535"/>
      <c r="N35" s="536" t="s">
        <v>50</v>
      </c>
      <c r="O35" s="537"/>
      <c r="P35" s="537"/>
      <c r="Q35" s="537"/>
      <c r="R35" s="538"/>
    </row>
    <row r="36" spans="1:18" ht="16.5" x14ac:dyDescent="0.3">
      <c r="A36" s="4" t="s">
        <v>139</v>
      </c>
      <c r="B36" s="141" t="s">
        <v>72</v>
      </c>
      <c r="C36" s="142">
        <v>2020</v>
      </c>
      <c r="D36" s="142">
        <f>C36+1</f>
        <v>2021</v>
      </c>
      <c r="E36" s="142">
        <f t="shared" ref="E36:G36" si="24">D36+1</f>
        <v>2022</v>
      </c>
      <c r="F36" s="142">
        <f t="shared" si="24"/>
        <v>2023</v>
      </c>
      <c r="G36" s="142">
        <f t="shared" si="24"/>
        <v>2024</v>
      </c>
      <c r="H36" s="40"/>
      <c r="I36" s="148">
        <v>2021</v>
      </c>
      <c r="J36" s="149">
        <f>I36+1</f>
        <v>2022</v>
      </c>
      <c r="K36" s="149">
        <f>J36+1</f>
        <v>2023</v>
      </c>
      <c r="L36" s="149">
        <f>K36+1</f>
        <v>2024</v>
      </c>
      <c r="M36" s="40"/>
      <c r="N36" s="148">
        <v>2020</v>
      </c>
      <c r="O36" s="149">
        <f>N36+1</f>
        <v>2021</v>
      </c>
      <c r="P36" s="149">
        <f t="shared" ref="P36" si="25">O36+1</f>
        <v>2022</v>
      </c>
      <c r="Q36" s="149">
        <f t="shared" ref="Q36" si="26">P36+1</f>
        <v>2023</v>
      </c>
      <c r="R36" s="149">
        <f t="shared" ref="R36" si="27">Q36+1</f>
        <v>2024</v>
      </c>
    </row>
    <row r="37" spans="1:18" outlineLevel="1" x14ac:dyDescent="0.25">
      <c r="B37" s="41" t="s">
        <v>73</v>
      </c>
      <c r="C37" s="42"/>
      <c r="D37" s="42"/>
      <c r="E37" s="43"/>
      <c r="F37" s="43"/>
      <c r="G37" s="44"/>
      <c r="I37" s="45"/>
      <c r="L37" s="46"/>
      <c r="N37" s="47"/>
      <c r="R37" s="48"/>
    </row>
    <row r="38" spans="1:18" outlineLevel="1" x14ac:dyDescent="0.25">
      <c r="B38" s="45" t="s">
        <v>74</v>
      </c>
      <c r="G38" s="46"/>
      <c r="I38" s="45"/>
      <c r="L38" s="46"/>
      <c r="N38" s="47"/>
      <c r="R38" s="48"/>
    </row>
    <row r="39" spans="1:18" outlineLevel="1" x14ac:dyDescent="0.25">
      <c r="B39" s="49" t="s">
        <v>75</v>
      </c>
      <c r="C39" s="50">
        <v>13576</v>
      </c>
      <c r="D39" s="50">
        <v>14224</v>
      </c>
      <c r="E39" s="50">
        <v>13931</v>
      </c>
      <c r="F39" s="50">
        <v>34704</v>
      </c>
      <c r="G39" s="51">
        <v>18315</v>
      </c>
      <c r="I39" s="52">
        <f>D39/C39-1</f>
        <v>4.7731290512669444E-2</v>
      </c>
      <c r="J39" s="53">
        <f t="shared" ref="J39:L44" si="28">E39/D39-1</f>
        <v>-2.0598987626546661E-2</v>
      </c>
      <c r="K39" s="53">
        <f t="shared" si="28"/>
        <v>1.4911348790467303</v>
      </c>
      <c r="L39" s="54">
        <f t="shared" si="28"/>
        <v>-0.47225103734439833</v>
      </c>
      <c r="N39" s="52">
        <f t="shared" ref="N39:R44" si="29">C39/C$54</f>
        <v>4.5056436704932777E-2</v>
      </c>
      <c r="O39" s="53">
        <f t="shared" si="29"/>
        <v>4.2615023713295327E-2</v>
      </c>
      <c r="P39" s="53">
        <f t="shared" si="29"/>
        <v>3.8183861418704092E-2</v>
      </c>
      <c r="Q39" s="53">
        <f t="shared" si="29"/>
        <v>8.4237916771850788E-2</v>
      </c>
      <c r="R39" s="54">
        <f t="shared" si="29"/>
        <v>3.5760099811973922E-2</v>
      </c>
    </row>
    <row r="40" spans="1:18" outlineLevel="1" x14ac:dyDescent="0.25">
      <c r="B40" s="49" t="s">
        <v>136</v>
      </c>
      <c r="C40" s="55">
        <v>122951</v>
      </c>
      <c r="D40" s="55">
        <v>116110</v>
      </c>
      <c r="E40" s="55">
        <v>90826</v>
      </c>
      <c r="F40" s="55">
        <v>76558</v>
      </c>
      <c r="G40" s="56">
        <v>57228</v>
      </c>
      <c r="I40" s="52">
        <f>D40/C40-1</f>
        <v>-5.5640051727924078E-2</v>
      </c>
      <c r="J40" s="53">
        <f t="shared" si="28"/>
        <v>-0.21775902161743177</v>
      </c>
      <c r="K40" s="53">
        <f t="shared" si="28"/>
        <v>-0.15709158170567894</v>
      </c>
      <c r="L40" s="54">
        <f t="shared" si="28"/>
        <v>-0.25248830951696755</v>
      </c>
      <c r="N40" s="52">
        <f t="shared" si="29"/>
        <v>0.40805347298970168</v>
      </c>
      <c r="O40" s="53">
        <f t="shared" si="29"/>
        <v>0.34786490462251968</v>
      </c>
      <c r="P40" s="53">
        <f t="shared" si="29"/>
        <v>0.24894748382852758</v>
      </c>
      <c r="Q40" s="53">
        <f t="shared" si="29"/>
        <v>0.18583121346874576</v>
      </c>
      <c r="R40" s="54">
        <f t="shared" si="29"/>
        <v>0.11173786470322924</v>
      </c>
    </row>
    <row r="41" spans="1:18" outlineLevel="1" x14ac:dyDescent="0.25">
      <c r="B41" s="49" t="s">
        <v>76</v>
      </c>
      <c r="C41" s="55">
        <v>32011</v>
      </c>
      <c r="D41" s="55">
        <v>38043</v>
      </c>
      <c r="E41" s="55">
        <v>44261</v>
      </c>
      <c r="F41" s="55">
        <v>48688</v>
      </c>
      <c r="G41" s="56">
        <v>56924</v>
      </c>
      <c r="I41" s="52">
        <f t="shared" ref="I41:I44" si="30">D41/C41-1</f>
        <v>0.18843522539127178</v>
      </c>
      <c r="J41" s="53">
        <f t="shared" si="28"/>
        <v>0.1634466261861578</v>
      </c>
      <c r="K41" s="53">
        <f t="shared" si="28"/>
        <v>0.10002033392828902</v>
      </c>
      <c r="L41" s="54">
        <f t="shared" si="28"/>
        <v>0.16915872494249107</v>
      </c>
      <c r="N41" s="52">
        <f t="shared" si="29"/>
        <v>0.10623906860353588</v>
      </c>
      <c r="O41" s="53">
        <f t="shared" si="29"/>
        <v>0.11397661326806061</v>
      </c>
      <c r="P41" s="53">
        <f t="shared" si="29"/>
        <v>0.12131619339984651</v>
      </c>
      <c r="Q41" s="53">
        <f t="shared" si="29"/>
        <v>0.1181816416490281</v>
      </c>
      <c r="R41" s="54">
        <f t="shared" si="29"/>
        <v>0.11114430366894915</v>
      </c>
    </row>
    <row r="42" spans="1:18" outlineLevel="1" x14ac:dyDescent="0.25">
      <c r="B42" s="49" t="s">
        <v>77</v>
      </c>
      <c r="C42" s="55">
        <v>1895</v>
      </c>
      <c r="D42" s="55">
        <v>2636</v>
      </c>
      <c r="E42" s="55">
        <v>3742</v>
      </c>
      <c r="F42" s="55">
        <v>2500</v>
      </c>
      <c r="G42" s="56">
        <v>1246</v>
      </c>
      <c r="I42" s="52">
        <f t="shared" si="30"/>
        <v>0.39102902374670179</v>
      </c>
      <c r="J42" s="53">
        <f t="shared" si="28"/>
        <v>0.4195751138088013</v>
      </c>
      <c r="K42" s="53">
        <f t="shared" si="28"/>
        <v>-0.33190807055050775</v>
      </c>
      <c r="L42" s="54">
        <f t="shared" si="28"/>
        <v>-0.50160000000000005</v>
      </c>
      <c r="N42" s="52">
        <f t="shared" si="29"/>
        <v>6.2891829372309672E-3</v>
      </c>
      <c r="O42" s="53">
        <f t="shared" si="29"/>
        <v>7.8974411212209272E-3</v>
      </c>
      <c r="P42" s="53">
        <f t="shared" si="29"/>
        <v>1.0256550816796405E-2</v>
      </c>
      <c r="Q42" s="53">
        <f t="shared" si="29"/>
        <v>6.0683146591063554E-3</v>
      </c>
      <c r="R42" s="54">
        <f t="shared" si="29"/>
        <v>2.4328192391875241E-3</v>
      </c>
    </row>
    <row r="43" spans="1:18" s="38" customFormat="1" outlineLevel="1" x14ac:dyDescent="0.25">
      <c r="B43" s="49" t="s">
        <v>78</v>
      </c>
      <c r="C43" s="55">
        <v>11482</v>
      </c>
      <c r="D43" s="55">
        <v>13393</v>
      </c>
      <c r="E43" s="55">
        <v>16924</v>
      </c>
      <c r="F43" s="55">
        <v>21807</v>
      </c>
      <c r="G43" s="56">
        <v>26021</v>
      </c>
      <c r="H43" s="4"/>
      <c r="I43" s="52">
        <f t="shared" si="30"/>
        <v>0.16643441909075074</v>
      </c>
      <c r="J43" s="53">
        <f t="shared" si="28"/>
        <v>0.26364518778466373</v>
      </c>
      <c r="K43" s="53">
        <f t="shared" si="28"/>
        <v>0.28852517135428979</v>
      </c>
      <c r="L43" s="54">
        <f t="shared" si="28"/>
        <v>0.19324070252671155</v>
      </c>
      <c r="M43" s="4"/>
      <c r="N43" s="52">
        <f t="shared" si="29"/>
        <v>3.810680658854141E-2</v>
      </c>
      <c r="O43" s="53">
        <f t="shared" si="29"/>
        <v>4.0125352403836072E-2</v>
      </c>
      <c r="P43" s="53">
        <f t="shared" si="29"/>
        <v>4.6387457515623287E-2</v>
      </c>
      <c r="Q43" s="53">
        <f t="shared" si="29"/>
        <v>5.2932695108452922E-2</v>
      </c>
      <c r="R43" s="54">
        <f t="shared" si="29"/>
        <v>5.0806091029613622E-2</v>
      </c>
    </row>
    <row r="44" spans="1:18" s="38" customFormat="1" outlineLevel="1" x14ac:dyDescent="0.25">
      <c r="B44" s="60" t="s">
        <v>79</v>
      </c>
      <c r="C44" s="61">
        <f>SUM(C39:C43)</f>
        <v>181915</v>
      </c>
      <c r="D44" s="61">
        <f>SUM(D39:D43)</f>
        <v>184406</v>
      </c>
      <c r="E44" s="61">
        <f>SUM(E39:E43)</f>
        <v>169684</v>
      </c>
      <c r="F44" s="61">
        <f>SUM(F39:F43)</f>
        <v>184257</v>
      </c>
      <c r="G44" s="62">
        <f>SUM(G39:G43)</f>
        <v>159734</v>
      </c>
      <c r="H44" s="4"/>
      <c r="I44" s="67">
        <f t="shared" si="30"/>
        <v>1.3693208366544862E-2</v>
      </c>
      <c r="J44" s="68">
        <f t="shared" si="28"/>
        <v>-7.9834712536468455E-2</v>
      </c>
      <c r="K44" s="68">
        <f t="shared" si="28"/>
        <v>8.5883171070931796E-2</v>
      </c>
      <c r="L44" s="69">
        <f t="shared" si="28"/>
        <v>-0.13309128011418836</v>
      </c>
      <c r="M44" s="4"/>
      <c r="N44" s="67">
        <f t="shared" si="29"/>
        <v>0.60374496782394271</v>
      </c>
      <c r="O44" s="68">
        <f t="shared" si="29"/>
        <v>0.55247933512893266</v>
      </c>
      <c r="P44" s="68">
        <f t="shared" si="29"/>
        <v>0.46509154697949784</v>
      </c>
      <c r="Q44" s="68">
        <f t="shared" si="29"/>
        <v>0.44725178165718393</v>
      </c>
      <c r="R44" s="69">
        <f t="shared" si="29"/>
        <v>0.31188117845295343</v>
      </c>
    </row>
    <row r="45" spans="1:18" s="38" customFormat="1" outlineLevel="1" x14ac:dyDescent="0.25">
      <c r="B45" s="104"/>
      <c r="C45" s="105"/>
      <c r="D45" s="105"/>
      <c r="E45" s="105"/>
      <c r="F45" s="105"/>
      <c r="G45" s="106"/>
      <c r="H45" s="4"/>
      <c r="I45" s="47"/>
      <c r="L45" s="48"/>
      <c r="M45" s="4"/>
      <c r="N45" s="52"/>
      <c r="O45" s="53"/>
      <c r="P45" s="53"/>
      <c r="Q45" s="53"/>
      <c r="R45" s="54"/>
    </row>
    <row r="46" spans="1:18" s="38" customFormat="1" outlineLevel="1" x14ac:dyDescent="0.25">
      <c r="B46" s="45" t="s">
        <v>80</v>
      </c>
      <c r="C46" s="105"/>
      <c r="D46" s="105"/>
      <c r="E46" s="105"/>
      <c r="F46" s="105"/>
      <c r="G46" s="106"/>
      <c r="H46" s="4"/>
      <c r="I46" s="47"/>
      <c r="L46" s="48"/>
      <c r="M46" s="4"/>
      <c r="N46" s="52"/>
      <c r="O46" s="53"/>
      <c r="P46" s="53"/>
      <c r="Q46" s="53"/>
      <c r="R46" s="54"/>
    </row>
    <row r="47" spans="1:18" s="38" customFormat="1" outlineLevel="1" x14ac:dyDescent="0.25">
      <c r="B47" s="49" t="s">
        <v>127</v>
      </c>
      <c r="C47" s="55">
        <v>8753</v>
      </c>
      <c r="D47" s="55">
        <v>11088</v>
      </c>
      <c r="E47" s="55">
        <v>13148</v>
      </c>
      <c r="F47" s="55">
        <v>14346</v>
      </c>
      <c r="G47" s="56">
        <v>18961</v>
      </c>
      <c r="H47" s="4"/>
      <c r="I47" s="52">
        <f t="shared" ref="I47:L54" si="31">D47/C47-1</f>
        <v>0.26676568033816972</v>
      </c>
      <c r="J47" s="53">
        <f t="shared" si="31"/>
        <v>0.18578643578643583</v>
      </c>
      <c r="K47" s="53">
        <f t="shared" si="31"/>
        <v>9.1116519622756353E-2</v>
      </c>
      <c r="L47" s="54">
        <f t="shared" si="31"/>
        <v>0.32169245782796607</v>
      </c>
      <c r="M47" s="4"/>
      <c r="N47" s="52">
        <f t="shared" ref="N47:R48" si="32">C47/C$54</f>
        <v>2.9049719392919608E-2</v>
      </c>
      <c r="O47" s="53">
        <f t="shared" si="32"/>
        <v>3.3219585414301082E-2</v>
      </c>
      <c r="P47" s="53">
        <f t="shared" si="32"/>
        <v>3.6037715162811096E-2</v>
      </c>
      <c r="Q47" s="53">
        <f t="shared" si="32"/>
        <v>3.4822416839815913E-2</v>
      </c>
      <c r="R47" s="54">
        <f t="shared" si="32"/>
        <v>3.7021417009819139E-2</v>
      </c>
    </row>
    <row r="48" spans="1:18" s="38" customFormat="1" outlineLevel="1" x14ac:dyDescent="0.25">
      <c r="B48" s="49" t="s">
        <v>81</v>
      </c>
      <c r="C48" s="55">
        <v>44151</v>
      </c>
      <c r="D48" s="55">
        <v>59715</v>
      </c>
      <c r="E48" s="55">
        <v>74398</v>
      </c>
      <c r="F48" s="55">
        <v>95641</v>
      </c>
      <c r="G48" s="56">
        <v>135591</v>
      </c>
      <c r="H48" s="4"/>
      <c r="I48" s="52">
        <f t="shared" si="31"/>
        <v>0.35251749677244004</v>
      </c>
      <c r="J48" s="53">
        <f t="shared" si="31"/>
        <v>0.24588461860504052</v>
      </c>
      <c r="K48" s="53">
        <f t="shared" si="31"/>
        <v>0.28553186913626716</v>
      </c>
      <c r="L48" s="54">
        <f t="shared" si="31"/>
        <v>0.41770788678495618</v>
      </c>
      <c r="M48" s="4"/>
      <c r="N48" s="52">
        <f t="shared" si="32"/>
        <v>0.14652966536236645</v>
      </c>
      <c r="O48" s="53">
        <f t="shared" si="32"/>
        <v>0.17890580294146727</v>
      </c>
      <c r="P48" s="53">
        <f t="shared" si="32"/>
        <v>0.20391952636772284</v>
      </c>
      <c r="Q48" s="53">
        <f t="shared" si="32"/>
        <v>0.23215187292463638</v>
      </c>
      <c r="R48" s="54">
        <f t="shared" si="32"/>
        <v>0.26474188881274124</v>
      </c>
    </row>
    <row r="49" spans="2:18" s="38" customFormat="1" outlineLevel="1" x14ac:dyDescent="0.25">
      <c r="B49" s="49" t="s">
        <v>128</v>
      </c>
      <c r="C49" s="55">
        <v>2965</v>
      </c>
      <c r="D49" s="55">
        <v>5984</v>
      </c>
      <c r="E49" s="55">
        <v>6891</v>
      </c>
      <c r="F49" s="55">
        <v>9879</v>
      </c>
      <c r="G49" s="56">
        <v>14600</v>
      </c>
      <c r="H49" s="4"/>
      <c r="I49" s="52">
        <f t="shared" si="31"/>
        <v>1.0182124789207418</v>
      </c>
      <c r="J49" s="53">
        <f t="shared" si="31"/>
        <v>0.1515708556149733</v>
      </c>
      <c r="K49" s="53">
        <f t="shared" si="31"/>
        <v>0.43360905528950799</v>
      </c>
      <c r="L49" s="54">
        <f t="shared" si="31"/>
        <v>0.4778823767587812</v>
      </c>
      <c r="M49" s="4"/>
      <c r="N49" s="52">
        <f t="shared" ref="N49:N54" si="33">C49/C$54</f>
        <v>9.8403310864853925E-3</v>
      </c>
      <c r="O49" s="53">
        <f t="shared" ref="O49:Q49" si="34">D49/D$54</f>
        <v>1.792803022359106E-2</v>
      </c>
      <c r="P49" s="53">
        <f t="shared" si="34"/>
        <v>1.8887731608376274E-2</v>
      </c>
      <c r="Q49" s="53">
        <f t="shared" si="34"/>
        <v>2.3979552206924677E-2</v>
      </c>
      <c r="R49" s="54">
        <f t="shared" ref="R49:R54" si="35">G49/G$54</f>
        <v>2.8506549672662803E-2</v>
      </c>
    </row>
    <row r="50" spans="2:18" s="38" customFormat="1" outlineLevel="1" x14ac:dyDescent="0.25">
      <c r="B50" s="49" t="s">
        <v>82</v>
      </c>
      <c r="C50" s="55">
        <v>43351</v>
      </c>
      <c r="D50" s="55">
        <v>49711</v>
      </c>
      <c r="E50" s="55">
        <v>67524</v>
      </c>
      <c r="F50" s="55">
        <v>67886</v>
      </c>
      <c r="G50" s="56">
        <v>119220</v>
      </c>
      <c r="H50" s="4"/>
      <c r="I50" s="52">
        <f t="shared" si="31"/>
        <v>0.14670941846785546</v>
      </c>
      <c r="J50" s="53">
        <f t="shared" si="31"/>
        <v>0.35833115407052762</v>
      </c>
      <c r="K50" s="53">
        <f t="shared" si="31"/>
        <v>5.3610568094306643E-3</v>
      </c>
      <c r="L50" s="54">
        <f t="shared" si="31"/>
        <v>0.75617947735910196</v>
      </c>
      <c r="M50" s="4"/>
      <c r="N50" s="52">
        <f t="shared" si="33"/>
        <v>0.14387460132554072</v>
      </c>
      <c r="O50" s="53">
        <f t="shared" ref="O50:Q54" si="36">D50/D$54</f>
        <v>0.14893387540857872</v>
      </c>
      <c r="P50" s="53">
        <f t="shared" si="36"/>
        <v>0.18507839052735445</v>
      </c>
      <c r="Q50" s="53">
        <f t="shared" si="36"/>
        <v>0.16478144357923763</v>
      </c>
      <c r="R50" s="54">
        <f t="shared" si="35"/>
        <v>0.23277745561471641</v>
      </c>
    </row>
    <row r="51" spans="2:18" s="38" customFormat="1" outlineLevel="1" x14ac:dyDescent="0.25">
      <c r="B51" s="49" t="s">
        <v>83</v>
      </c>
      <c r="C51" s="55">
        <v>7038</v>
      </c>
      <c r="D51" s="55">
        <v>7800</v>
      </c>
      <c r="E51" s="55">
        <v>11298</v>
      </c>
      <c r="F51" s="55">
        <v>9366</v>
      </c>
      <c r="G51" s="56">
        <v>27597</v>
      </c>
      <c r="H51" s="4"/>
      <c r="I51" s="52">
        <f t="shared" si="31"/>
        <v>0.10826939471440755</v>
      </c>
      <c r="J51" s="53">
        <f t="shared" si="31"/>
        <v>0.44846153846153847</v>
      </c>
      <c r="K51" s="53">
        <f t="shared" si="31"/>
        <v>-0.17100371747211895</v>
      </c>
      <c r="L51" s="54">
        <f t="shared" si="31"/>
        <v>1.9465086483023701</v>
      </c>
      <c r="M51" s="4"/>
      <c r="N51" s="52">
        <f t="shared" si="33"/>
        <v>2.3357925863974432E-2</v>
      </c>
      <c r="O51" s="53">
        <f t="shared" si="36"/>
        <v>2.3368755973263745E-2</v>
      </c>
      <c r="P51" s="53">
        <f t="shared" si="36"/>
        <v>3.0966999232540291E-2</v>
      </c>
      <c r="Q51" s="53">
        <f t="shared" si="36"/>
        <v>2.273433403887605E-2</v>
      </c>
      <c r="R51" s="54">
        <f t="shared" si="35"/>
        <v>5.3883236391539413E-2</v>
      </c>
    </row>
    <row r="52" spans="2:18" s="38" customFormat="1" outlineLevel="1" x14ac:dyDescent="0.25">
      <c r="B52" s="49" t="s">
        <v>84</v>
      </c>
      <c r="C52" s="55">
        <v>13138</v>
      </c>
      <c r="D52" s="55">
        <v>15075</v>
      </c>
      <c r="E52" s="55">
        <v>21897</v>
      </c>
      <c r="F52" s="55">
        <v>30601</v>
      </c>
      <c r="G52" s="56">
        <v>36460</v>
      </c>
      <c r="H52" s="4"/>
      <c r="I52" s="52">
        <f t="shared" si="31"/>
        <v>0.14743492160146143</v>
      </c>
      <c r="J52" s="53">
        <f t="shared" si="31"/>
        <v>0.45253731343283587</v>
      </c>
      <c r="K52" s="53">
        <f t="shared" si="31"/>
        <v>0.39749737406950714</v>
      </c>
      <c r="L52" s="54">
        <f t="shared" si="31"/>
        <v>0.19146433123100559</v>
      </c>
      <c r="M52" s="4"/>
      <c r="N52" s="52">
        <f t="shared" si="33"/>
        <v>4.3602789144770684E-2</v>
      </c>
      <c r="O52" s="53">
        <f t="shared" si="36"/>
        <v>4.5164614909865508E-2</v>
      </c>
      <c r="P52" s="53">
        <f t="shared" si="36"/>
        <v>6.0018090121697183E-2</v>
      </c>
      <c r="Q52" s="53">
        <f t="shared" si="36"/>
        <v>7.4278598753325431E-2</v>
      </c>
      <c r="R52" s="54">
        <f t="shared" si="35"/>
        <v>7.1188274045567518E-2</v>
      </c>
    </row>
    <row r="53" spans="2:18" s="38" customFormat="1" outlineLevel="1" x14ac:dyDescent="0.25">
      <c r="B53" s="60" t="s">
        <v>85</v>
      </c>
      <c r="C53" s="61">
        <f>SUM(C47:C52)</f>
        <v>119396</v>
      </c>
      <c r="D53" s="61">
        <f>SUM(D47:D52)</f>
        <v>149373</v>
      </c>
      <c r="E53" s="61">
        <f>SUM(E47:E52)</f>
        <v>195156</v>
      </c>
      <c r="F53" s="61">
        <f>SUM(F47:F52)</f>
        <v>227719</v>
      </c>
      <c r="G53" s="62">
        <f>SUM(G47:G52)</f>
        <v>352429</v>
      </c>
      <c r="H53" s="4"/>
      <c r="I53" s="76">
        <f t="shared" si="31"/>
        <v>0.25107206271566884</v>
      </c>
      <c r="J53" s="77">
        <f t="shared" si="31"/>
        <v>0.3065011749111286</v>
      </c>
      <c r="K53" s="77">
        <f t="shared" si="31"/>
        <v>0.16685625858287723</v>
      </c>
      <c r="L53" s="78">
        <f t="shared" si="31"/>
        <v>0.54764863713611955</v>
      </c>
      <c r="M53" s="4"/>
      <c r="N53" s="76">
        <f t="shared" si="33"/>
        <v>0.39625503217605729</v>
      </c>
      <c r="O53" s="77">
        <f t="shared" si="36"/>
        <v>0.4475206648710674</v>
      </c>
      <c r="P53" s="77">
        <f t="shared" si="36"/>
        <v>0.53490845302050216</v>
      </c>
      <c r="Q53" s="77">
        <f t="shared" si="36"/>
        <v>0.55274821834281607</v>
      </c>
      <c r="R53" s="107">
        <f t="shared" si="35"/>
        <v>0.68811882154704651</v>
      </c>
    </row>
    <row r="54" spans="2:18" s="38" customFormat="1" ht="15.75" outlineLevel="1" thickBot="1" x14ac:dyDescent="0.3">
      <c r="B54" s="60" t="s">
        <v>86</v>
      </c>
      <c r="C54" s="61">
        <f>+C44+C53</f>
        <v>301311</v>
      </c>
      <c r="D54" s="61">
        <f>+D44+D53</f>
        <v>333779</v>
      </c>
      <c r="E54" s="61">
        <f>+E44+E53</f>
        <v>364840</v>
      </c>
      <c r="F54" s="61">
        <f>+F44+F53</f>
        <v>411976</v>
      </c>
      <c r="G54" s="62">
        <f>+G44+G53</f>
        <v>512163</v>
      </c>
      <c r="H54" s="4"/>
      <c r="I54" s="108">
        <f t="shared" si="31"/>
        <v>0.10775577393457247</v>
      </c>
      <c r="J54" s="109">
        <f t="shared" si="31"/>
        <v>9.3058580677634062E-2</v>
      </c>
      <c r="K54" s="109">
        <f t="shared" si="31"/>
        <v>0.12919636004824042</v>
      </c>
      <c r="L54" s="110">
        <f t="shared" si="31"/>
        <v>0.24318649630075528</v>
      </c>
      <c r="M54" s="4"/>
      <c r="N54" s="111">
        <f t="shared" si="33"/>
        <v>1</v>
      </c>
      <c r="O54" s="112">
        <f t="shared" si="36"/>
        <v>1</v>
      </c>
      <c r="P54" s="112">
        <f t="shared" si="36"/>
        <v>1</v>
      </c>
      <c r="Q54" s="112">
        <f t="shared" si="36"/>
        <v>1</v>
      </c>
      <c r="R54" s="81">
        <f t="shared" si="35"/>
        <v>1</v>
      </c>
    </row>
    <row r="55" spans="2:18" s="38" customFormat="1" outlineLevel="1" x14ac:dyDescent="0.25">
      <c r="B55" s="60"/>
      <c r="C55" s="61"/>
      <c r="D55" s="61"/>
      <c r="E55" s="61"/>
      <c r="F55" s="61"/>
      <c r="G55" s="62"/>
      <c r="H55" s="4"/>
      <c r="I55" s="47"/>
      <c r="L55" s="48"/>
      <c r="M55" s="4"/>
      <c r="N55" s="157">
        <f t="shared" ref="N55:N57" si="37">C55/C$54</f>
        <v>0</v>
      </c>
      <c r="O55" s="158">
        <f t="shared" ref="O55:O57" si="38">D55/D$54</f>
        <v>0</v>
      </c>
      <c r="P55" s="158">
        <f t="shared" ref="P55:P57" si="39">E55/E$54</f>
        <v>0</v>
      </c>
      <c r="Q55" s="158">
        <f t="shared" ref="Q55:Q57" si="40">F55/F$54</f>
        <v>0</v>
      </c>
      <c r="R55" s="113">
        <f t="shared" ref="R55:R57" si="41">G55/G$54</f>
        <v>0</v>
      </c>
    </row>
    <row r="56" spans="2:18" s="38" customFormat="1" outlineLevel="1" x14ac:dyDescent="0.25">
      <c r="B56" s="70" t="s">
        <v>87</v>
      </c>
      <c r="C56" s="71"/>
      <c r="D56" s="71"/>
      <c r="E56" s="71"/>
      <c r="F56" s="71"/>
      <c r="G56" s="72"/>
      <c r="H56" s="4"/>
      <c r="I56" s="47"/>
      <c r="L56" s="48"/>
      <c r="M56" s="4"/>
      <c r="N56" s="52">
        <f t="shared" si="37"/>
        <v>0</v>
      </c>
      <c r="O56" s="53">
        <f t="shared" si="38"/>
        <v>0</v>
      </c>
      <c r="P56" s="53">
        <f t="shared" si="39"/>
        <v>0</v>
      </c>
      <c r="Q56" s="53">
        <f t="shared" si="40"/>
        <v>0</v>
      </c>
      <c r="R56" s="54">
        <f t="shared" si="41"/>
        <v>0</v>
      </c>
    </row>
    <row r="57" spans="2:18" s="38" customFormat="1" outlineLevel="1" x14ac:dyDescent="0.25">
      <c r="B57" s="45" t="s">
        <v>88</v>
      </c>
      <c r="C57" s="71"/>
      <c r="D57" s="71"/>
      <c r="E57" s="71"/>
      <c r="F57" s="71"/>
      <c r="G57" s="72"/>
      <c r="H57" s="4"/>
      <c r="I57" s="47"/>
      <c r="L57" s="48"/>
      <c r="M57" s="4"/>
      <c r="N57" s="52">
        <f t="shared" si="37"/>
        <v>0</v>
      </c>
      <c r="O57" s="53">
        <f t="shared" si="38"/>
        <v>0</v>
      </c>
      <c r="P57" s="53">
        <f t="shared" si="39"/>
        <v>0</v>
      </c>
      <c r="Q57" s="53">
        <f t="shared" si="40"/>
        <v>0</v>
      </c>
      <c r="R57" s="54">
        <f t="shared" si="41"/>
        <v>0</v>
      </c>
    </row>
    <row r="58" spans="2:18" s="38" customFormat="1" outlineLevel="1" x14ac:dyDescent="0.25">
      <c r="B58" s="49" t="s">
        <v>89</v>
      </c>
      <c r="C58" s="55">
        <v>12530</v>
      </c>
      <c r="D58" s="55">
        <v>15163</v>
      </c>
      <c r="E58" s="55">
        <v>19000</v>
      </c>
      <c r="F58" s="55">
        <v>18095</v>
      </c>
      <c r="G58" s="56">
        <v>21996</v>
      </c>
      <c r="H58" s="4"/>
      <c r="I58" s="52">
        <f t="shared" ref="I58:L84" si="42">D58/C58-1</f>
        <v>0.21013567438148439</v>
      </c>
      <c r="J58" s="53">
        <f t="shared" si="42"/>
        <v>0.25305018795752821</v>
      </c>
      <c r="K58" s="53">
        <f t="shared" si="42"/>
        <v>-4.7631578947368469E-2</v>
      </c>
      <c r="L58" s="54">
        <f t="shared" si="42"/>
        <v>0.21558441558441555</v>
      </c>
      <c r="M58" s="4"/>
      <c r="N58" s="52">
        <f>C58/C$54</f>
        <v>4.1584940476783128E-2</v>
      </c>
      <c r="O58" s="53">
        <f>D58/D$54</f>
        <v>4.5428262413153613E-2</v>
      </c>
      <c r="P58" s="53">
        <f>E58/E$54</f>
        <v>5.2077623067646094E-2</v>
      </c>
      <c r="Q58" s="53">
        <f>F58/F$54</f>
        <v>4.3922461502611802E-2</v>
      </c>
      <c r="R58" s="54">
        <f>G58/G$54</f>
        <v>4.2947264835608977E-2</v>
      </c>
    </row>
    <row r="59" spans="2:18" s="38" customFormat="1" outlineLevel="1" x14ac:dyDescent="0.25">
      <c r="B59" s="49" t="s">
        <v>90</v>
      </c>
      <c r="C59" s="55">
        <v>10027</v>
      </c>
      <c r="D59" s="55">
        <v>11666</v>
      </c>
      <c r="E59" s="55">
        <v>13067</v>
      </c>
      <c r="F59" s="55">
        <v>14745</v>
      </c>
      <c r="G59" s="56">
        <v>19185</v>
      </c>
      <c r="H59" s="4"/>
      <c r="I59" s="52">
        <f>D59/C59-1</f>
        <v>0.16345866161364309</v>
      </c>
      <c r="J59" s="53">
        <f>E59/D59-1</f>
        <v>0.12009257671866957</v>
      </c>
      <c r="K59" s="53">
        <f t="shared" si="42"/>
        <v>0.12841509145174879</v>
      </c>
      <c r="L59" s="54">
        <f t="shared" si="42"/>
        <v>0.30111902339776186</v>
      </c>
      <c r="M59" s="4"/>
      <c r="N59" s="52">
        <f t="shared" ref="N59:N64" si="43">C59/C$54</f>
        <v>3.3277908871564593E-2</v>
      </c>
      <c r="O59" s="53">
        <f>D59/D$54</f>
        <v>3.4951270151807032E-2</v>
      </c>
      <c r="P59" s="53">
        <f t="shared" ref="P59:P64" si="44">E59/E$54</f>
        <v>3.5815700032891133E-2</v>
      </c>
      <c r="Q59" s="53">
        <f t="shared" ref="Q59:Q64" si="45">F59/F$54</f>
        <v>3.5790919859409284E-2</v>
      </c>
      <c r="R59" s="54">
        <f t="shared" ref="R59:R64" si="46">G59/G$54</f>
        <v>3.7458777771920269E-2</v>
      </c>
    </row>
    <row r="60" spans="2:18" s="38" customFormat="1" outlineLevel="1" x14ac:dyDescent="0.25">
      <c r="B60" s="49" t="s">
        <v>129</v>
      </c>
      <c r="C60" s="55">
        <v>3749</v>
      </c>
      <c r="D60" s="55">
        <v>8072</v>
      </c>
      <c r="E60" s="55">
        <v>2749</v>
      </c>
      <c r="F60" s="55">
        <v>5247</v>
      </c>
      <c r="G60" s="56">
        <v>2249</v>
      </c>
      <c r="H60" s="4"/>
      <c r="I60" s="52">
        <f>D60/C60-1</f>
        <v>1.1531074953320886</v>
      </c>
      <c r="J60" s="53">
        <f>E60/D60-1</f>
        <v>-0.65944003964321107</v>
      </c>
      <c r="K60" s="53">
        <f t="shared" si="42"/>
        <v>0.90869407057111684</v>
      </c>
      <c r="L60" s="54">
        <f t="shared" si="42"/>
        <v>-0.57137411854392983</v>
      </c>
      <c r="M60" s="4"/>
      <c r="N60" s="52">
        <f t="shared" si="43"/>
        <v>1.2442293842574616E-2</v>
      </c>
      <c r="O60" s="53">
        <f>D60/D$54</f>
        <v>2.4183666437972432E-2</v>
      </c>
      <c r="P60" s="53">
        <f t="shared" si="44"/>
        <v>7.5348097796294269E-3</v>
      </c>
      <c r="Q60" s="53">
        <f t="shared" si="45"/>
        <v>1.273617880653242E-2</v>
      </c>
      <c r="R60" s="54">
        <f t="shared" si="46"/>
        <v>4.3911801516314146E-3</v>
      </c>
    </row>
    <row r="61" spans="2:18" s="38" customFormat="1" outlineLevel="1" x14ac:dyDescent="0.25">
      <c r="B61" s="49" t="s">
        <v>130</v>
      </c>
      <c r="C61" s="55">
        <v>7874</v>
      </c>
      <c r="D61" s="55">
        <v>10057</v>
      </c>
      <c r="E61" s="55">
        <v>10661</v>
      </c>
      <c r="F61" s="55">
        <v>11009</v>
      </c>
      <c r="G61" s="56">
        <v>12564</v>
      </c>
      <c r="H61" s="4"/>
      <c r="I61" s="52">
        <f t="shared" si="42"/>
        <v>0.27724155448310905</v>
      </c>
      <c r="J61" s="53">
        <f t="shared" si="42"/>
        <v>6.0057671273739732E-2</v>
      </c>
      <c r="K61" s="53">
        <f t="shared" si="42"/>
        <v>3.2642341243785733E-2</v>
      </c>
      <c r="L61" s="54">
        <f t="shared" si="42"/>
        <v>0.14124806976110449</v>
      </c>
      <c r="M61" s="4"/>
      <c r="N61" s="52">
        <f t="shared" si="43"/>
        <v>2.6132467782457328E-2</v>
      </c>
      <c r="O61" s="53">
        <f t="shared" ref="O61:O64" si="47">D61/D$54</f>
        <v>3.0130715233732501E-2</v>
      </c>
      <c r="P61" s="53">
        <f t="shared" si="44"/>
        <v>2.9221028396009211E-2</v>
      </c>
      <c r="Q61" s="53">
        <f t="shared" si="45"/>
        <v>2.6722430432840748E-2</v>
      </c>
      <c r="R61" s="54">
        <f t="shared" si="46"/>
        <v>2.4531252745707909E-2</v>
      </c>
    </row>
    <row r="62" spans="2:18" s="38" customFormat="1" outlineLevel="1" x14ac:dyDescent="0.25">
      <c r="B62" s="49" t="s">
        <v>131</v>
      </c>
      <c r="C62" s="55">
        <v>2130</v>
      </c>
      <c r="D62" s="55">
        <v>2174</v>
      </c>
      <c r="E62" s="55">
        <v>4067</v>
      </c>
      <c r="F62" s="55">
        <v>4152</v>
      </c>
      <c r="G62" s="56">
        <v>5017</v>
      </c>
      <c r="H62" s="4"/>
      <c r="I62" s="52">
        <f t="shared" si="42"/>
        <v>2.0657276995305063E-2</v>
      </c>
      <c r="J62" s="53">
        <f t="shared" si="42"/>
        <v>0.87074517019319231</v>
      </c>
      <c r="K62" s="53">
        <f t="shared" si="42"/>
        <v>2.0899926235554478E-2</v>
      </c>
      <c r="L62" s="54">
        <f t="shared" si="42"/>
        <v>0.20833333333333326</v>
      </c>
      <c r="M62" s="4"/>
      <c r="N62" s="52">
        <f t="shared" si="43"/>
        <v>7.0691079980485282E-3</v>
      </c>
      <c r="O62" s="53">
        <f t="shared" si="47"/>
        <v>6.5132917289583824E-3</v>
      </c>
      <c r="P62" s="53">
        <f t="shared" si="44"/>
        <v>1.1147352264006139E-2</v>
      </c>
      <c r="Q62" s="53">
        <f t="shared" si="45"/>
        <v>1.0078256985843836E-2</v>
      </c>
      <c r="R62" s="54">
        <f t="shared" si="46"/>
        <v>9.7957095690239249E-3</v>
      </c>
    </row>
    <row r="63" spans="2:18" s="38" customFormat="1" outlineLevel="1" x14ac:dyDescent="0.25">
      <c r="B63" s="49" t="s">
        <v>132</v>
      </c>
      <c r="C63" s="55">
        <v>36000</v>
      </c>
      <c r="D63" s="55">
        <v>41525</v>
      </c>
      <c r="E63" s="55">
        <v>45538</v>
      </c>
      <c r="F63" s="55">
        <v>50901</v>
      </c>
      <c r="G63" s="56">
        <v>57582</v>
      </c>
      <c r="H63" s="4"/>
      <c r="I63" s="52">
        <f t="shared" si="42"/>
        <v>0.15347222222222223</v>
      </c>
      <c r="J63" s="53">
        <f t="shared" si="42"/>
        <v>9.6640577965081187E-2</v>
      </c>
      <c r="K63" s="53">
        <f t="shared" si="42"/>
        <v>0.11776977469366234</v>
      </c>
      <c r="L63" s="54">
        <f t="shared" si="42"/>
        <v>0.13125478870749108</v>
      </c>
      <c r="M63" s="4"/>
      <c r="N63" s="52">
        <f t="shared" si="43"/>
        <v>0.11947788165715822</v>
      </c>
      <c r="O63" s="53">
        <f t="shared" si="47"/>
        <v>0.12440866561407399</v>
      </c>
      <c r="P63" s="53">
        <f t="shared" si="44"/>
        <v>0.1248163578554983</v>
      </c>
      <c r="Q63" s="53">
        <f t="shared" si="45"/>
        <v>0.12355331378526904</v>
      </c>
      <c r="R63" s="54">
        <f t="shared" si="46"/>
        <v>0.1124290509076212</v>
      </c>
    </row>
    <row r="64" spans="2:18" s="38" customFormat="1" outlineLevel="1" x14ac:dyDescent="0.25">
      <c r="B64" s="49" t="s">
        <v>91</v>
      </c>
      <c r="C64" s="55">
        <v>1</v>
      </c>
      <c r="D64" s="55">
        <v>1</v>
      </c>
      <c r="E64" s="55">
        <v>1</v>
      </c>
      <c r="F64" s="55">
        <v>1</v>
      </c>
      <c r="G64" s="56">
        <v>6693</v>
      </c>
      <c r="H64" s="4"/>
      <c r="I64" s="52">
        <f t="shared" si="42"/>
        <v>0</v>
      </c>
      <c r="J64" s="53">
        <f t="shared" si="42"/>
        <v>0</v>
      </c>
      <c r="K64" s="53">
        <f t="shared" si="42"/>
        <v>0</v>
      </c>
      <c r="L64" s="54">
        <f t="shared" si="42"/>
        <v>6692</v>
      </c>
      <c r="M64" s="4"/>
      <c r="N64" s="79">
        <f t="shared" si="43"/>
        <v>3.3188300460321727E-6</v>
      </c>
      <c r="O64" s="80">
        <f t="shared" si="47"/>
        <v>2.9959943555466341E-6</v>
      </c>
      <c r="P64" s="80">
        <f t="shared" si="44"/>
        <v>2.74092752987611E-6</v>
      </c>
      <c r="Q64" s="80">
        <f t="shared" si="45"/>
        <v>2.4273258636425422E-6</v>
      </c>
      <c r="R64" s="81">
        <f t="shared" si="46"/>
        <v>1.3068105271173434E-2</v>
      </c>
    </row>
    <row r="65" spans="2:18" s="38" customFormat="1" outlineLevel="1" x14ac:dyDescent="0.25">
      <c r="B65" s="60" t="s">
        <v>92</v>
      </c>
      <c r="C65" s="61">
        <f>SUM(C58:C64)</f>
        <v>72311</v>
      </c>
      <c r="D65" s="61">
        <f>SUM(D58:D64)</f>
        <v>88658</v>
      </c>
      <c r="E65" s="61">
        <f>SUM(E58:E64)</f>
        <v>95083</v>
      </c>
      <c r="F65" s="61">
        <f>SUM(F58:F64)</f>
        <v>104150</v>
      </c>
      <c r="G65" s="62">
        <f>SUM(G58:G64)</f>
        <v>125286</v>
      </c>
      <c r="H65" s="4"/>
      <c r="I65" s="67">
        <f t="shared" si="42"/>
        <v>0.2260651906348965</v>
      </c>
      <c r="J65" s="68">
        <f t="shared" si="42"/>
        <v>7.2469489498973694E-2</v>
      </c>
      <c r="K65" s="68">
        <f t="shared" si="42"/>
        <v>9.5358791792433895E-2</v>
      </c>
      <c r="L65" s="69">
        <f t="shared" si="42"/>
        <v>0.20293807009121467</v>
      </c>
      <c r="M65" s="4"/>
      <c r="N65" s="67">
        <f>C65/C$54</f>
        <v>0.23998791945863243</v>
      </c>
      <c r="O65" s="68">
        <f>D65/D$54</f>
        <v>0.26561886757405351</v>
      </c>
      <c r="P65" s="68">
        <f>E65/E$54</f>
        <v>0.26061561232321018</v>
      </c>
      <c r="Q65" s="68">
        <f>F65/F$54</f>
        <v>0.25280598869837079</v>
      </c>
      <c r="R65" s="113">
        <f>G65/G$54</f>
        <v>0.24462134125268714</v>
      </c>
    </row>
    <row r="66" spans="2:18" s="38" customFormat="1" outlineLevel="1" x14ac:dyDescent="0.25">
      <c r="B66" s="45" t="s">
        <v>133</v>
      </c>
      <c r="C66" s="55">
        <v>29432</v>
      </c>
      <c r="D66" s="55">
        <v>27190</v>
      </c>
      <c r="E66" s="55">
        <v>26069</v>
      </c>
      <c r="F66" s="55">
        <v>25560</v>
      </c>
      <c r="G66" s="56">
        <v>27931</v>
      </c>
      <c r="H66" s="4"/>
      <c r="I66" s="52">
        <f t="shared" ref="I66:I69" si="48">D66/C66-1</f>
        <v>-7.6175591193259007E-2</v>
      </c>
      <c r="J66" s="53">
        <f t="shared" ref="J66:J69" si="49">E66/D66-1</f>
        <v>-4.1228392791467505E-2</v>
      </c>
      <c r="K66" s="53">
        <f t="shared" ref="K66:K69" si="50">F66/E66-1</f>
        <v>-1.9525106448271878E-2</v>
      </c>
      <c r="L66" s="54">
        <f t="shared" ref="L66:L69" si="51">G66/F66-1</f>
        <v>9.2762128325508675E-2</v>
      </c>
      <c r="M66" s="4"/>
      <c r="N66" s="157">
        <f t="shared" ref="N66:N69" si="52">C66/C$54</f>
        <v>9.767980591481891E-2</v>
      </c>
      <c r="O66" s="158">
        <f t="shared" ref="O66:O69" si="53">D66/D$54</f>
        <v>8.1461086527312987E-2</v>
      </c>
      <c r="P66" s="158">
        <f t="shared" ref="P66:P69" si="54">E66/E$54</f>
        <v>7.1453239776340313E-2</v>
      </c>
      <c r="Q66" s="158">
        <f t="shared" ref="Q66:Q69" si="55">F66/F$54</f>
        <v>6.2042449074703382E-2</v>
      </c>
      <c r="R66" s="113">
        <f t="shared" ref="R66:R69" si="56">G66/G$54</f>
        <v>5.4535372527886629E-2</v>
      </c>
    </row>
    <row r="67" spans="2:18" s="38" customFormat="1" outlineLevel="1" x14ac:dyDescent="0.25">
      <c r="B67" s="45" t="s">
        <v>134</v>
      </c>
      <c r="C67" s="55">
        <v>3180</v>
      </c>
      <c r="D67" s="55">
        <v>2616</v>
      </c>
      <c r="E67" s="55">
        <v>2870</v>
      </c>
      <c r="F67" s="55">
        <v>2912</v>
      </c>
      <c r="G67" s="56">
        <v>2602</v>
      </c>
      <c r="H67" s="4"/>
      <c r="I67" s="52">
        <f t="shared" si="48"/>
        <v>-0.1773584905660377</v>
      </c>
      <c r="J67" s="53">
        <f t="shared" si="49"/>
        <v>9.7094801223241545E-2</v>
      </c>
      <c r="K67" s="53">
        <f t="shared" si="50"/>
        <v>1.4634146341463428E-2</v>
      </c>
      <c r="L67" s="54">
        <f t="shared" si="51"/>
        <v>-0.10645604395604391</v>
      </c>
      <c r="M67" s="4"/>
      <c r="N67" s="52">
        <f t="shared" si="52"/>
        <v>1.055387954638231E-2</v>
      </c>
      <c r="O67" s="53">
        <f t="shared" si="53"/>
        <v>7.8375212341099953E-3</v>
      </c>
      <c r="P67" s="53">
        <f t="shared" si="54"/>
        <v>7.866462010744436E-3</v>
      </c>
      <c r="Q67" s="53">
        <f t="shared" si="55"/>
        <v>7.0683729149270827E-3</v>
      </c>
      <c r="R67" s="54">
        <f t="shared" si="56"/>
        <v>5.0804138526211384E-3</v>
      </c>
    </row>
    <row r="68" spans="2:18" s="38" customFormat="1" outlineLevel="1" x14ac:dyDescent="0.25">
      <c r="B68" s="45" t="s">
        <v>135</v>
      </c>
      <c r="C68" s="55">
        <v>7671</v>
      </c>
      <c r="D68" s="55">
        <v>9629</v>
      </c>
      <c r="E68" s="55">
        <v>11489</v>
      </c>
      <c r="F68" s="55">
        <v>12728</v>
      </c>
      <c r="G68" s="56">
        <v>15497</v>
      </c>
      <c r="H68" s="4"/>
      <c r="I68" s="52">
        <f t="shared" si="48"/>
        <v>0.25524703428496931</v>
      </c>
      <c r="J68" s="53">
        <f t="shared" si="49"/>
        <v>0.19316647626960215</v>
      </c>
      <c r="K68" s="53">
        <f t="shared" si="50"/>
        <v>0.10784228392375317</v>
      </c>
      <c r="L68" s="54">
        <f t="shared" si="51"/>
        <v>0.21755185417976119</v>
      </c>
      <c r="M68" s="4"/>
      <c r="N68" s="52">
        <f t="shared" si="52"/>
        <v>2.5458745283112798E-2</v>
      </c>
      <c r="O68" s="53">
        <f t="shared" si="53"/>
        <v>2.8848429649558541E-2</v>
      </c>
      <c r="P68" s="53">
        <f t="shared" si="54"/>
        <v>3.1490516390746626E-2</v>
      </c>
      <c r="Q68" s="53">
        <f t="shared" si="55"/>
        <v>3.0895003592442277E-2</v>
      </c>
      <c r="R68" s="54">
        <f t="shared" si="56"/>
        <v>3.0257945224469552E-2</v>
      </c>
    </row>
    <row r="69" spans="2:18" s="38" customFormat="1" outlineLevel="1" x14ac:dyDescent="0.25">
      <c r="B69" s="45" t="s">
        <v>138</v>
      </c>
      <c r="C69" s="55">
        <v>204</v>
      </c>
      <c r="D69" s="55">
        <v>197</v>
      </c>
      <c r="E69" s="55">
        <v>230</v>
      </c>
      <c r="F69" s="55">
        <v>433</v>
      </c>
      <c r="G69" s="56">
        <v>2618</v>
      </c>
      <c r="H69" s="4"/>
      <c r="I69" s="52">
        <f t="shared" si="48"/>
        <v>-3.4313725490196068E-2</v>
      </c>
      <c r="J69" s="53">
        <f t="shared" si="49"/>
        <v>0.1675126903553299</v>
      </c>
      <c r="K69" s="53">
        <f t="shared" si="50"/>
        <v>0.88260869565217392</v>
      </c>
      <c r="L69" s="54">
        <f t="shared" si="51"/>
        <v>5.0461893764434178</v>
      </c>
      <c r="M69" s="4"/>
      <c r="N69" s="52">
        <f t="shared" si="52"/>
        <v>6.7704132939056319E-4</v>
      </c>
      <c r="O69" s="53">
        <f t="shared" si="53"/>
        <v>5.9021088804268689E-4</v>
      </c>
      <c r="P69" s="53">
        <f t="shared" si="54"/>
        <v>6.3041333187150534E-4</v>
      </c>
      <c r="Q69" s="53">
        <f t="shared" si="55"/>
        <v>1.0510320989572208E-3</v>
      </c>
      <c r="R69" s="54">
        <f t="shared" si="56"/>
        <v>5.1116539070569329E-3</v>
      </c>
    </row>
    <row r="70" spans="2:18" s="38" customFormat="1" outlineLevel="1" x14ac:dyDescent="0.25">
      <c r="B70" s="45" t="s">
        <v>137</v>
      </c>
      <c r="C70" s="55">
        <v>59578</v>
      </c>
      <c r="D70" s="55">
        <v>50074</v>
      </c>
      <c r="E70" s="55">
        <v>47032</v>
      </c>
      <c r="F70" s="55">
        <v>41990</v>
      </c>
      <c r="G70" s="56">
        <v>42688</v>
      </c>
      <c r="H70" s="4"/>
      <c r="I70" s="52">
        <f t="shared" si="42"/>
        <v>-0.15952197119742184</v>
      </c>
      <c r="J70" s="53">
        <f t="shared" si="42"/>
        <v>-6.0750089866996815E-2</v>
      </c>
      <c r="K70" s="53">
        <f t="shared" si="42"/>
        <v>-0.10720360605545165</v>
      </c>
      <c r="L70" s="54">
        <f t="shared" si="42"/>
        <v>1.6623005477494734E-2</v>
      </c>
      <c r="M70" s="4"/>
      <c r="N70" s="52">
        <f t="shared" ref="N70:R72" si="57">C70/C$54</f>
        <v>0.19772925648250478</v>
      </c>
      <c r="O70" s="53">
        <f t="shared" si="57"/>
        <v>0.15002142135964217</v>
      </c>
      <c r="P70" s="53">
        <f t="shared" si="57"/>
        <v>0.1289113035851332</v>
      </c>
      <c r="Q70" s="53">
        <f t="shared" si="57"/>
        <v>0.10192341301435034</v>
      </c>
      <c r="R70" s="54">
        <f t="shared" si="57"/>
        <v>8.3348465234700672E-2</v>
      </c>
    </row>
    <row r="71" spans="2:18" s="38" customFormat="1" outlineLevel="1" x14ac:dyDescent="0.25">
      <c r="B71" s="45" t="s">
        <v>93</v>
      </c>
      <c r="C71" s="55">
        <v>10632</v>
      </c>
      <c r="D71" s="55">
        <v>13427</v>
      </c>
      <c r="E71" s="55">
        <v>15526</v>
      </c>
      <c r="F71" s="55">
        <v>17981</v>
      </c>
      <c r="G71" s="56">
        <v>27064</v>
      </c>
      <c r="H71" s="4"/>
      <c r="I71" s="52">
        <f t="shared" si="42"/>
        <v>0.26288562829194873</v>
      </c>
      <c r="J71" s="53">
        <f t="shared" si="42"/>
        <v>0.1563268042004915</v>
      </c>
      <c r="K71" s="53">
        <f t="shared" si="42"/>
        <v>0.15812186010562934</v>
      </c>
      <c r="L71" s="54">
        <f t="shared" si="42"/>
        <v>0.50514431900339241</v>
      </c>
      <c r="M71" s="4"/>
      <c r="N71" s="79">
        <f t="shared" si="57"/>
        <v>3.5285801049414062E-2</v>
      </c>
      <c r="O71" s="80">
        <f t="shared" si="57"/>
        <v>4.0227216211924655E-2</v>
      </c>
      <c r="P71" s="80">
        <f t="shared" si="57"/>
        <v>4.2555640828856482E-2</v>
      </c>
      <c r="Q71" s="80">
        <f t="shared" si="57"/>
        <v>4.364574635415655E-2</v>
      </c>
      <c r="R71" s="81">
        <f t="shared" si="57"/>
        <v>5.2842552078146997E-2</v>
      </c>
    </row>
    <row r="72" spans="2:18" s="38" customFormat="1" outlineLevel="1" x14ac:dyDescent="0.25">
      <c r="B72" s="60" t="s">
        <v>85</v>
      </c>
      <c r="C72" s="61">
        <f>SUM(C66:C71)</f>
        <v>110697</v>
      </c>
      <c r="D72" s="61">
        <f>SUM(D66:D71)</f>
        <v>103133</v>
      </c>
      <c r="E72" s="61">
        <f>SUM(E66:E71)</f>
        <v>103216</v>
      </c>
      <c r="F72" s="61">
        <f>SUM(F66:F71)</f>
        <v>101604</v>
      </c>
      <c r="G72" s="62">
        <f>SUM(G66:G71)</f>
        <v>118400</v>
      </c>
      <c r="H72" s="4"/>
      <c r="I72" s="76">
        <f t="shared" si="42"/>
        <v>-6.8330668401131001E-2</v>
      </c>
      <c r="J72" s="77">
        <f t="shared" si="42"/>
        <v>8.0478605296074868E-4</v>
      </c>
      <c r="K72" s="77">
        <f t="shared" si="42"/>
        <v>-1.5617733684700097E-2</v>
      </c>
      <c r="L72" s="78">
        <f t="shared" si="42"/>
        <v>0.16530845242313297</v>
      </c>
      <c r="M72" s="4"/>
      <c r="N72" s="76">
        <f t="shared" si="57"/>
        <v>0.3673845296056234</v>
      </c>
      <c r="O72" s="77">
        <f t="shared" si="57"/>
        <v>0.308985885870591</v>
      </c>
      <c r="P72" s="77">
        <f t="shared" si="57"/>
        <v>0.28290757592369259</v>
      </c>
      <c r="Q72" s="77">
        <f t="shared" si="57"/>
        <v>0.24662601704953688</v>
      </c>
      <c r="R72" s="107">
        <f t="shared" si="57"/>
        <v>0.23117640282488192</v>
      </c>
    </row>
    <row r="73" spans="2:18" s="38" customFormat="1" outlineLevel="1" x14ac:dyDescent="0.25">
      <c r="B73" s="60"/>
      <c r="C73" s="61"/>
      <c r="D73" s="61"/>
      <c r="E73" s="61"/>
      <c r="F73" s="61"/>
      <c r="G73" s="62"/>
      <c r="H73" s="4"/>
      <c r="I73" s="52"/>
      <c r="J73" s="53"/>
      <c r="K73" s="53"/>
      <c r="L73" s="54"/>
      <c r="M73" s="4"/>
      <c r="N73" s="52"/>
      <c r="O73" s="53"/>
      <c r="P73" s="53"/>
      <c r="Q73" s="53"/>
      <c r="R73" s="54"/>
    </row>
    <row r="74" spans="2:18" s="38" customFormat="1" ht="15.75" outlineLevel="1" thickBot="1" x14ac:dyDescent="0.3">
      <c r="B74" s="60" t="s">
        <v>94</v>
      </c>
      <c r="C74" s="61">
        <f>+C65+C72</f>
        <v>183008</v>
      </c>
      <c r="D74" s="61">
        <f>+D65+D72</f>
        <v>191791</v>
      </c>
      <c r="E74" s="123">
        <f>+E65+E72</f>
        <v>198299</v>
      </c>
      <c r="F74" s="61">
        <f>+F65+F72</f>
        <v>205754</v>
      </c>
      <c r="G74" s="62">
        <f>+G65+G72</f>
        <v>243686</v>
      </c>
      <c r="H74" s="4"/>
      <c r="I74" s="94">
        <f t="shared" si="42"/>
        <v>4.7992437489071449E-2</v>
      </c>
      <c r="J74" s="95">
        <f t="shared" si="42"/>
        <v>3.3932770567961956E-2</v>
      </c>
      <c r="K74" s="95">
        <f t="shared" si="42"/>
        <v>3.7594743291695876E-2</v>
      </c>
      <c r="L74" s="96">
        <f t="shared" si="42"/>
        <v>0.18435607570205192</v>
      </c>
      <c r="M74" s="4"/>
      <c r="N74" s="94">
        <f>C74/C$54</f>
        <v>0.60737244906425591</v>
      </c>
      <c r="O74" s="95">
        <f>D74/D$54</f>
        <v>0.57460475344464446</v>
      </c>
      <c r="P74" s="95">
        <f>E74/E$54</f>
        <v>0.54352318824690271</v>
      </c>
      <c r="Q74" s="95">
        <f>F74/F$54</f>
        <v>0.49943200574790764</v>
      </c>
      <c r="R74" s="96">
        <f>G74/G$54</f>
        <v>0.47579774407756903</v>
      </c>
    </row>
    <row r="75" spans="2:18" s="38" customFormat="1" ht="15.75" outlineLevel="1" thickTop="1" x14ac:dyDescent="0.25">
      <c r="B75" s="114" t="s">
        <v>95</v>
      </c>
      <c r="C75" s="115"/>
      <c r="D75" s="115"/>
      <c r="E75" s="71"/>
      <c r="F75" s="115"/>
      <c r="G75" s="116"/>
      <c r="H75" s="4"/>
      <c r="I75" s="52"/>
      <c r="J75" s="53"/>
      <c r="K75" s="53"/>
      <c r="L75" s="54"/>
      <c r="M75" s="4"/>
      <c r="N75" s="159">
        <f t="shared" ref="N75:N79" si="58">C75/C$54</f>
        <v>0</v>
      </c>
      <c r="O75" s="160">
        <f t="shared" ref="O75:P79" si="59">D75/D$54</f>
        <v>0</v>
      </c>
      <c r="P75" s="160">
        <f t="shared" si="59"/>
        <v>0</v>
      </c>
      <c r="Q75" s="160">
        <f t="shared" ref="Q75:Q79" si="60">F75/F$54</f>
        <v>0</v>
      </c>
      <c r="R75" s="161">
        <f t="shared" ref="R75:R79" si="61">G75/G$54</f>
        <v>0</v>
      </c>
    </row>
    <row r="76" spans="2:18" s="38" customFormat="1" outlineLevel="1" x14ac:dyDescent="0.25">
      <c r="B76" s="45" t="s">
        <v>96</v>
      </c>
      <c r="C76" s="71"/>
      <c r="D76" s="71"/>
      <c r="F76" s="71"/>
      <c r="G76" s="72"/>
      <c r="H76" s="4"/>
      <c r="I76" s="52"/>
      <c r="J76" s="53"/>
      <c r="K76" s="53"/>
      <c r="L76" s="54"/>
      <c r="M76" s="4"/>
      <c r="N76" s="52">
        <f t="shared" si="58"/>
        <v>0</v>
      </c>
      <c r="O76" s="53">
        <f t="shared" si="59"/>
        <v>0</v>
      </c>
      <c r="P76" s="53">
        <f>E75/E$54</f>
        <v>0</v>
      </c>
      <c r="Q76" s="53">
        <f t="shared" si="60"/>
        <v>0</v>
      </c>
      <c r="R76" s="54">
        <f t="shared" si="61"/>
        <v>0</v>
      </c>
    </row>
    <row r="77" spans="2:18" s="38" customFormat="1" outlineLevel="1" x14ac:dyDescent="0.25">
      <c r="B77" s="70" t="s">
        <v>97</v>
      </c>
      <c r="C77" s="71"/>
      <c r="D77" s="71"/>
      <c r="E77" s="71"/>
      <c r="F77" s="71"/>
      <c r="G77" s="72"/>
      <c r="H77" s="4"/>
      <c r="I77" s="52"/>
      <c r="J77" s="53"/>
      <c r="K77" s="53"/>
      <c r="L77" s="54"/>
      <c r="M77" s="4"/>
      <c r="N77" s="52">
        <f t="shared" si="58"/>
        <v>0</v>
      </c>
      <c r="O77" s="53">
        <f t="shared" si="59"/>
        <v>0</v>
      </c>
      <c r="P77" s="53">
        <f t="shared" ref="P77:P79" si="62">E77/E$54</f>
        <v>0</v>
      </c>
      <c r="Q77" s="53">
        <f t="shared" si="60"/>
        <v>0</v>
      </c>
      <c r="R77" s="54">
        <f t="shared" si="61"/>
        <v>0</v>
      </c>
    </row>
    <row r="78" spans="2:18" s="38" customFormat="1" outlineLevel="1" x14ac:dyDescent="0.25">
      <c r="B78" s="45" t="s">
        <v>98</v>
      </c>
      <c r="C78" s="71"/>
      <c r="D78" s="71"/>
      <c r="E78" s="71"/>
      <c r="F78" s="71"/>
      <c r="G78" s="72"/>
      <c r="H78" s="4"/>
      <c r="I78" s="52"/>
      <c r="J78" s="53"/>
      <c r="K78" s="53"/>
      <c r="L78" s="54"/>
      <c r="M78" s="4"/>
      <c r="N78" s="52">
        <f t="shared" si="58"/>
        <v>0</v>
      </c>
      <c r="O78" s="53">
        <f t="shared" si="59"/>
        <v>0</v>
      </c>
      <c r="P78" s="53">
        <f t="shared" si="62"/>
        <v>0</v>
      </c>
      <c r="Q78" s="53">
        <f t="shared" si="60"/>
        <v>0</v>
      </c>
      <c r="R78" s="54">
        <f t="shared" si="61"/>
        <v>0</v>
      </c>
    </row>
    <row r="79" spans="2:18" s="38" customFormat="1" outlineLevel="1" x14ac:dyDescent="0.25">
      <c r="B79" s="49" t="s">
        <v>99</v>
      </c>
      <c r="C79" s="117"/>
      <c r="D79" s="117"/>
      <c r="E79" s="117"/>
      <c r="F79" s="117"/>
      <c r="G79" s="118"/>
      <c r="H79" s="4"/>
      <c r="I79" s="52"/>
      <c r="J79" s="53"/>
      <c r="K79" s="53"/>
      <c r="L79" s="54"/>
      <c r="M79" s="4"/>
      <c r="N79" s="52">
        <f t="shared" si="58"/>
        <v>0</v>
      </c>
      <c r="O79" s="53">
        <f t="shared" si="59"/>
        <v>0</v>
      </c>
      <c r="P79" s="53">
        <f t="shared" si="62"/>
        <v>0</v>
      </c>
      <c r="Q79" s="53">
        <f t="shared" si="60"/>
        <v>0</v>
      </c>
      <c r="R79" s="54">
        <f t="shared" si="61"/>
        <v>0</v>
      </c>
    </row>
    <row r="80" spans="2:18" s="38" customFormat="1" outlineLevel="1" x14ac:dyDescent="0.25">
      <c r="B80" s="49" t="s">
        <v>100</v>
      </c>
      <c r="C80" s="55">
        <v>80552</v>
      </c>
      <c r="D80" s="55">
        <v>83111</v>
      </c>
      <c r="E80" s="55">
        <v>86939</v>
      </c>
      <c r="F80" s="55">
        <v>93718</v>
      </c>
      <c r="G80" s="56">
        <v>100923</v>
      </c>
      <c r="H80" s="4"/>
      <c r="I80" s="52">
        <f t="shared" si="42"/>
        <v>3.1768298738702905E-2</v>
      </c>
      <c r="J80" s="53">
        <f t="shared" si="42"/>
        <v>4.60588851054613E-2</v>
      </c>
      <c r="K80" s="53">
        <f t="shared" si="42"/>
        <v>7.7974211803678362E-2</v>
      </c>
      <c r="L80" s="54">
        <f t="shared" si="42"/>
        <v>7.6879574894897384E-2</v>
      </c>
      <c r="M80" s="4"/>
      <c r="N80" s="52">
        <f t="shared" ref="N80:R84" si="63">C80/C$54</f>
        <v>0.26733839786798358</v>
      </c>
      <c r="O80" s="53">
        <f t="shared" si="63"/>
        <v>0.24900008688383632</v>
      </c>
      <c r="P80" s="53">
        <f t="shared" si="63"/>
        <v>0.23829349851989914</v>
      </c>
      <c r="Q80" s="53">
        <f t="shared" si="63"/>
        <v>0.22748412528885179</v>
      </c>
      <c r="R80" s="54">
        <f t="shared" si="63"/>
        <v>0.19705250086398277</v>
      </c>
    </row>
    <row r="81" spans="1:18 16384:16384" s="38" customFormat="1" outlineLevel="1" x14ac:dyDescent="0.25">
      <c r="B81" s="49" t="s">
        <v>101</v>
      </c>
      <c r="C81" s="55">
        <v>34566</v>
      </c>
      <c r="D81" s="55">
        <v>57056</v>
      </c>
      <c r="E81" s="55">
        <v>84281</v>
      </c>
      <c r="F81" s="55">
        <v>118848</v>
      </c>
      <c r="G81" s="56">
        <v>173144</v>
      </c>
      <c r="H81" s="4"/>
      <c r="I81" s="52">
        <f t="shared" si="42"/>
        <v>0.65063935659318406</v>
      </c>
      <c r="J81" s="53">
        <f t="shared" si="42"/>
        <v>0.47716278743690399</v>
      </c>
      <c r="K81" s="53">
        <f t="shared" si="42"/>
        <v>0.41013988918024236</v>
      </c>
      <c r="L81" s="54">
        <f t="shared" si="42"/>
        <v>0.45685245018847609</v>
      </c>
      <c r="M81" s="4"/>
      <c r="N81" s="52">
        <f t="shared" si="63"/>
        <v>0.11471867937114809</v>
      </c>
      <c r="O81" s="53">
        <f t="shared" si="63"/>
        <v>0.17093945395006876</v>
      </c>
      <c r="P81" s="53">
        <f t="shared" si="63"/>
        <v>0.23100811314548844</v>
      </c>
      <c r="Q81" s="53">
        <f t="shared" si="63"/>
        <v>0.28848282424218885</v>
      </c>
      <c r="R81" s="54">
        <f t="shared" si="63"/>
        <v>0.33806424907695404</v>
      </c>
    </row>
    <row r="82" spans="1:18 16384:16384" s="38" customFormat="1" outlineLevel="1" x14ac:dyDescent="0.25">
      <c r="B82" s="49" t="s">
        <v>102</v>
      </c>
      <c r="C82" s="55">
        <v>3186</v>
      </c>
      <c r="D82" s="55">
        <v>1822</v>
      </c>
      <c r="E82" s="55">
        <v>-4678</v>
      </c>
      <c r="F82" s="55">
        <v>-6343</v>
      </c>
      <c r="G82" s="56">
        <v>-5590</v>
      </c>
      <c r="H82" s="4"/>
      <c r="I82" s="52">
        <f t="shared" si="42"/>
        <v>-0.42812303829252984</v>
      </c>
      <c r="J82" s="53">
        <f t="shared" si="42"/>
        <v>-3.5675082327113063</v>
      </c>
      <c r="K82" s="53">
        <f t="shared" si="42"/>
        <v>0.35592133390337755</v>
      </c>
      <c r="L82" s="54">
        <f t="shared" si="42"/>
        <v>-0.11871354248778176</v>
      </c>
      <c r="M82" s="4"/>
      <c r="N82" s="52">
        <f t="shared" si="63"/>
        <v>1.0573792526658502E-2</v>
      </c>
      <c r="O82" s="53">
        <f t="shared" si="63"/>
        <v>5.4587017158059673E-3</v>
      </c>
      <c r="P82" s="53">
        <f t="shared" si="63"/>
        <v>-1.2822058984760442E-2</v>
      </c>
      <c r="Q82" s="53">
        <f t="shared" si="63"/>
        <v>-1.5396527953084646E-2</v>
      </c>
      <c r="R82" s="54">
        <f t="shared" si="63"/>
        <v>-1.0914494018505827E-2</v>
      </c>
    </row>
    <row r="83" spans="1:18 16384:16384" s="38" customFormat="1" outlineLevel="1" x14ac:dyDescent="0.25">
      <c r="B83" s="60" t="s">
        <v>103</v>
      </c>
      <c r="C83" s="61">
        <f t="shared" ref="C83:F83" si="64">SUM(C80:C82)</f>
        <v>118304</v>
      </c>
      <c r="D83" s="61">
        <f t="shared" si="64"/>
        <v>141989</v>
      </c>
      <c r="E83" s="61">
        <f t="shared" si="64"/>
        <v>166542</v>
      </c>
      <c r="F83" s="61">
        <f t="shared" si="64"/>
        <v>206223</v>
      </c>
      <c r="G83" s="62">
        <f>SUM(G80:G82)</f>
        <v>268477</v>
      </c>
      <c r="H83" s="4"/>
      <c r="I83" s="67">
        <f t="shared" si="42"/>
        <v>0.20020455774952661</v>
      </c>
      <c r="J83" s="68">
        <f t="shared" si="42"/>
        <v>0.17292184605849759</v>
      </c>
      <c r="K83" s="68">
        <f t="shared" si="42"/>
        <v>0.23826422163778505</v>
      </c>
      <c r="L83" s="69">
        <f t="shared" si="42"/>
        <v>0.30187709421354558</v>
      </c>
      <c r="M83" s="4"/>
      <c r="N83" s="76">
        <f t="shared" si="63"/>
        <v>0.39263086976579015</v>
      </c>
      <c r="O83" s="77">
        <f t="shared" si="63"/>
        <v>0.42539824254971104</v>
      </c>
      <c r="P83" s="77">
        <f t="shared" si="63"/>
        <v>0.45647955268062712</v>
      </c>
      <c r="Q83" s="77">
        <f t="shared" si="63"/>
        <v>0.50057042157795595</v>
      </c>
      <c r="R83" s="78">
        <f t="shared" si="63"/>
        <v>0.52420225592243097</v>
      </c>
    </row>
    <row r="84" spans="1:18 16384:16384" s="38" customFormat="1" ht="15.75" outlineLevel="1" thickBot="1" x14ac:dyDescent="0.3">
      <c r="B84" s="119" t="s">
        <v>104</v>
      </c>
      <c r="C84" s="89">
        <f t="shared" ref="C84:D84" si="65">SUM(C74:C76,C83:C83)</f>
        <v>301312</v>
      </c>
      <c r="D84" s="89">
        <f t="shared" si="65"/>
        <v>333780</v>
      </c>
      <c r="E84" s="89">
        <f>SUM(E74:E75,E83:E83)</f>
        <v>364841</v>
      </c>
      <c r="F84" s="89">
        <f>SUM(F74:F76,F83:F83)</f>
        <v>411977</v>
      </c>
      <c r="G84" s="90">
        <f>SUM(G74:G76,G83:G83)</f>
        <v>512163</v>
      </c>
      <c r="H84" s="4"/>
      <c r="I84" s="94">
        <f t="shared" si="42"/>
        <v>0.10775541631265928</v>
      </c>
      <c r="J84" s="95">
        <f t="shared" si="42"/>
        <v>9.3058301875486915E-2</v>
      </c>
      <c r="K84" s="95">
        <f t="shared" si="42"/>
        <v>0.12919600593135083</v>
      </c>
      <c r="L84" s="96">
        <f t="shared" si="42"/>
        <v>0.24318347868934431</v>
      </c>
      <c r="M84" s="4"/>
      <c r="N84" s="94">
        <f t="shared" si="63"/>
        <v>1.0000033188300461</v>
      </c>
      <c r="O84" s="95">
        <f t="shared" si="63"/>
        <v>1.0000029959943555</v>
      </c>
      <c r="P84" s="95">
        <f t="shared" si="63"/>
        <v>1.0000027409275298</v>
      </c>
      <c r="Q84" s="95">
        <f t="shared" si="63"/>
        <v>1.0000024273258636</v>
      </c>
      <c r="R84" s="96">
        <f t="shared" si="63"/>
        <v>1</v>
      </c>
    </row>
    <row r="85" spans="1:18 16384:16384" s="38" customFormat="1" ht="15.75" outlineLevel="1" thickTop="1" x14ac:dyDescent="0.25">
      <c r="B85" s="4" t="s">
        <v>105</v>
      </c>
      <c r="C85" s="99">
        <f>C54-C84</f>
        <v>-1</v>
      </c>
      <c r="D85" s="99">
        <f>D54-D84</f>
        <v>-1</v>
      </c>
      <c r="E85" s="99">
        <f>E54-E84</f>
        <v>-1</v>
      </c>
      <c r="F85" s="99">
        <f>F54-F84</f>
        <v>-1</v>
      </c>
      <c r="G85" s="99">
        <f>G54-G84</f>
        <v>0</v>
      </c>
      <c r="H85" s="4"/>
      <c r="M85" s="4"/>
    </row>
    <row r="86" spans="1:18 16384:16384" s="38" customFormat="1" x14ac:dyDescent="0.25">
      <c r="B86" s="4"/>
      <c r="C86" s="99"/>
      <c r="D86" s="99"/>
      <c r="E86" s="99"/>
      <c r="F86" s="99"/>
      <c r="G86" s="99"/>
      <c r="H86" s="4"/>
      <c r="M86" s="4"/>
    </row>
    <row r="87" spans="1:18 16384:16384" s="38" customFormat="1" ht="16.5" x14ac:dyDescent="0.3">
      <c r="B87" s="4"/>
      <c r="C87" s="4"/>
      <c r="D87" s="4"/>
      <c r="E87" s="4"/>
      <c r="F87" s="4"/>
      <c r="G87" s="4"/>
      <c r="H87" s="4"/>
      <c r="I87" s="539" t="s">
        <v>46</v>
      </c>
      <c r="J87" s="540"/>
      <c r="K87" s="540"/>
      <c r="L87" s="541"/>
      <c r="M87" s="39"/>
      <c r="N87" s="542" t="s">
        <v>47</v>
      </c>
      <c r="O87" s="543"/>
      <c r="P87" s="543"/>
      <c r="Q87" s="543"/>
      <c r="R87" s="544"/>
    </row>
    <row r="88" spans="1:18 16384:16384" s="38" customFormat="1" x14ac:dyDescent="0.25">
      <c r="B88" s="140"/>
      <c r="C88" s="533" t="s">
        <v>48</v>
      </c>
      <c r="D88" s="533"/>
      <c r="E88" s="533"/>
      <c r="F88" s="533"/>
      <c r="G88" s="533"/>
      <c r="H88" s="4"/>
      <c r="I88" s="545" t="s">
        <v>106</v>
      </c>
      <c r="J88" s="534"/>
      <c r="K88" s="534"/>
      <c r="L88" s="535"/>
      <c r="M88" s="4"/>
      <c r="N88" s="545" t="s">
        <v>106</v>
      </c>
      <c r="O88" s="534"/>
      <c r="P88" s="534"/>
      <c r="Q88" s="534"/>
      <c r="R88" s="535"/>
    </row>
    <row r="89" spans="1:18 16384:16384" s="38" customFormat="1" ht="16.5" x14ac:dyDescent="0.3">
      <c r="A89" s="38" t="s">
        <v>139</v>
      </c>
      <c r="B89" s="141" t="s">
        <v>106</v>
      </c>
      <c r="C89" s="143">
        <v>2020</v>
      </c>
      <c r="D89" s="143">
        <v>2021</v>
      </c>
      <c r="E89" s="144">
        <v>44926</v>
      </c>
      <c r="F89" s="144">
        <v>45291</v>
      </c>
      <c r="G89" s="144">
        <v>45657</v>
      </c>
      <c r="H89" s="4"/>
      <c r="I89" s="148">
        <v>2021</v>
      </c>
      <c r="J89" s="149">
        <f>I89+1</f>
        <v>2022</v>
      </c>
      <c r="K89" s="149">
        <f>J89+1</f>
        <v>2023</v>
      </c>
      <c r="L89" s="149">
        <f>K89+1</f>
        <v>2024</v>
      </c>
      <c r="M89" s="4"/>
      <c r="N89" s="148">
        <v>2020</v>
      </c>
      <c r="O89" s="149">
        <f>N89+1</f>
        <v>2021</v>
      </c>
      <c r="P89" s="149">
        <f t="shared" ref="P89" si="66">O89+1</f>
        <v>2022</v>
      </c>
      <c r="Q89" s="149">
        <f t="shared" ref="Q89" si="67">P89+1</f>
        <v>2023</v>
      </c>
      <c r="R89" s="149">
        <f t="shared" ref="R89" si="68">Q89+1</f>
        <v>2024</v>
      </c>
    </row>
    <row r="90" spans="1:18 16384:16384" s="38" customFormat="1" outlineLevel="1" x14ac:dyDescent="0.25">
      <c r="B90" s="41" t="s">
        <v>107</v>
      </c>
      <c r="C90" s="126">
        <v>11356</v>
      </c>
      <c r="D90" s="126">
        <v>13576</v>
      </c>
      <c r="E90" s="126">
        <v>14224</v>
      </c>
      <c r="F90" s="126">
        <v>13931</v>
      </c>
      <c r="G90" s="127">
        <v>34704</v>
      </c>
      <c r="H90" s="4"/>
      <c r="I90" s="64">
        <f>+D90/C90-1</f>
        <v>0.19549137020077501</v>
      </c>
      <c r="J90" s="65">
        <f t="shared" ref="J90:L90" si="69">+E90/D90-1</f>
        <v>4.7731290512669444E-2</v>
      </c>
      <c r="K90" s="65">
        <f t="shared" si="69"/>
        <v>-2.0598987626546661E-2</v>
      </c>
      <c r="L90" s="66">
        <f t="shared" si="69"/>
        <v>1.4911348790467303</v>
      </c>
      <c r="M90" s="4"/>
      <c r="N90" s="52">
        <f>+C90/C130</f>
        <v>0.83647613435474366</v>
      </c>
      <c r="O90" s="53">
        <f>+D90/D130</f>
        <v>0.95444319460067495</v>
      </c>
      <c r="P90" s="53">
        <f>+E90/E130</f>
        <v>1.0210322302777977</v>
      </c>
      <c r="Q90" s="53">
        <f>+F90/F130</f>
        <v>0.40142346703550025</v>
      </c>
      <c r="R90" s="54">
        <f>+G90/G130</f>
        <v>1.8948402948402949</v>
      </c>
    </row>
    <row r="91" spans="1:18 16384:16384" s="38" customFormat="1" outlineLevel="1" x14ac:dyDescent="0.25">
      <c r="B91" s="70" t="s">
        <v>108</v>
      </c>
      <c r="C91" s="4"/>
      <c r="D91" s="4"/>
      <c r="E91" s="4"/>
      <c r="F91" s="4"/>
      <c r="G91" s="46"/>
      <c r="H91" s="4"/>
      <c r="I91" s="47"/>
      <c r="L91" s="48"/>
      <c r="M91" s="4"/>
      <c r="N91" s="47"/>
      <c r="R91" s="48"/>
    </row>
    <row r="92" spans="1:18 16384:16384" s="38" customFormat="1" outlineLevel="1" x14ac:dyDescent="0.25">
      <c r="B92" s="45" t="s">
        <v>109</v>
      </c>
      <c r="C92" s="120">
        <f>C23</f>
        <v>44281</v>
      </c>
      <c r="D92" s="120">
        <f>D23</f>
        <v>61271</v>
      </c>
      <c r="E92" s="120">
        <f>E23</f>
        <v>72738</v>
      </c>
      <c r="F92" s="120">
        <f>F23</f>
        <v>72361</v>
      </c>
      <c r="G92" s="121">
        <f>G23</f>
        <v>88136</v>
      </c>
      <c r="H92" s="4"/>
      <c r="I92" s="47">
        <f t="shared" ref="I92:L92" si="70">+D92/C92-1</f>
        <v>0.38368600528443353</v>
      </c>
      <c r="J92" s="38">
        <f t="shared" si="70"/>
        <v>0.1871521600757291</v>
      </c>
      <c r="K92" s="38">
        <f t="shared" si="70"/>
        <v>-5.1829855096373612E-3</v>
      </c>
      <c r="L92" s="48">
        <f t="shared" si="70"/>
        <v>0.21800417351888446</v>
      </c>
      <c r="M92" s="4"/>
      <c r="N92" s="52">
        <f>+C92/C$108</f>
        <v>0.72980634528224142</v>
      </c>
      <c r="O92" s="53">
        <f>+D92/D$108</f>
        <v>0.79842324732864212</v>
      </c>
      <c r="P92" s="53">
        <f>+E92/E$108</f>
        <v>0.81695962262031785</v>
      </c>
      <c r="Q92" s="53">
        <f>+F92/F$108</f>
        <v>0.82620858167203304</v>
      </c>
      <c r="R92" s="54">
        <f>+G92/G$108</f>
        <v>0.74346256368728281</v>
      </c>
    </row>
    <row r="93" spans="1:18 16384:16384" s="38" customFormat="1" outlineLevel="1" x14ac:dyDescent="0.25">
      <c r="B93" s="45" t="s">
        <v>110</v>
      </c>
      <c r="C93" s="120"/>
      <c r="D93" s="120"/>
      <c r="E93" s="120"/>
      <c r="F93" s="120"/>
      <c r="G93" s="121"/>
      <c r="H93" s="4"/>
      <c r="I93" s="47"/>
      <c r="L93" s="48"/>
      <c r="M93" s="4"/>
      <c r="N93" s="52"/>
      <c r="O93" s="53"/>
      <c r="P93" s="53"/>
      <c r="Q93" s="53"/>
      <c r="R93" s="54"/>
    </row>
    <row r="94" spans="1:18 16384:16384" s="38" customFormat="1" outlineLevel="1" x14ac:dyDescent="0.25">
      <c r="B94" s="49" t="s">
        <v>111</v>
      </c>
      <c r="C94" s="55">
        <v>12796</v>
      </c>
      <c r="D94" s="55">
        <v>11686</v>
      </c>
      <c r="E94" s="55">
        <v>14460</v>
      </c>
      <c r="F94" s="55">
        <v>13861</v>
      </c>
      <c r="G94" s="56">
        <v>22287</v>
      </c>
      <c r="H94" s="4"/>
      <c r="I94" s="47">
        <f>+D94/C94-1</f>
        <v>-8.6745858080650162E-2</v>
      </c>
      <c r="J94" s="38">
        <f t="shared" ref="I94:L97" si="71">+E94/D94-1</f>
        <v>0.23737805921615607</v>
      </c>
      <c r="K94" s="38">
        <f t="shared" si="71"/>
        <v>-4.1424619640387239E-2</v>
      </c>
      <c r="L94" s="48">
        <f t="shared" si="71"/>
        <v>0.60789264843806357</v>
      </c>
      <c r="M94" s="4"/>
      <c r="N94" s="52">
        <f>+C94/C$108</f>
        <v>0.21089410795220437</v>
      </c>
      <c r="O94" s="53">
        <f>+D94/D$108</f>
        <v>0.15228042741725306</v>
      </c>
      <c r="P94" s="53">
        <f>+E94/E$108</f>
        <v>0.16240804178132195</v>
      </c>
      <c r="Q94" s="53">
        <f>+F94/F$108</f>
        <v>0.15826311342513302</v>
      </c>
      <c r="R94" s="54">
        <f>+G94/G$108</f>
        <v>0.18799979755035934</v>
      </c>
    </row>
    <row r="95" spans="1:18 16384:16384" s="38" customFormat="1" outlineLevel="1" x14ac:dyDescent="0.25">
      <c r="B95" s="49" t="s">
        <v>112</v>
      </c>
      <c r="C95" s="55">
        <v>5289</v>
      </c>
      <c r="D95" s="55">
        <v>6118</v>
      </c>
      <c r="E95" s="55">
        <v>7502</v>
      </c>
      <c r="F95" s="55">
        <v>9611</v>
      </c>
      <c r="G95" s="56">
        <v>10734</v>
      </c>
      <c r="H95" s="4"/>
      <c r="I95" s="47">
        <f t="shared" si="71"/>
        <v>0.15674040461334848</v>
      </c>
      <c r="J95" s="38">
        <f t="shared" si="71"/>
        <v>0.22621771820856496</v>
      </c>
      <c r="K95" s="38">
        <f t="shared" si="71"/>
        <v>0.28112503332444683</v>
      </c>
      <c r="L95" s="48">
        <f t="shared" si="71"/>
        <v>0.1168452814483405</v>
      </c>
      <c r="M95" s="4"/>
      <c r="N95" s="52">
        <f>+C95/C$108</f>
        <v>8.7169344870210136E-2</v>
      </c>
      <c r="O95" s="53">
        <f>+D95/D$108</f>
        <v>7.9723742507167059E-2</v>
      </c>
      <c r="P95" s="53">
        <f>+E95/E$108</f>
        <v>8.4258999269950022E-2</v>
      </c>
      <c r="Q95" s="53">
        <f>+F95/F$108</f>
        <v>0.10973716060377703</v>
      </c>
      <c r="R95" s="54">
        <f>+G95/G$108</f>
        <v>9.0545601781556836E-2</v>
      </c>
    </row>
    <row r="96" spans="1:18 16384:16384" s="38" customFormat="1" outlineLevel="1" x14ac:dyDescent="0.25">
      <c r="B96" s="156" t="s">
        <v>140</v>
      </c>
      <c r="C96" s="55">
        <v>-219</v>
      </c>
      <c r="D96" s="55">
        <v>-1249</v>
      </c>
      <c r="E96" s="55">
        <v>-409</v>
      </c>
      <c r="F96" s="55">
        <v>196</v>
      </c>
      <c r="G96" s="56">
        <v>305</v>
      </c>
      <c r="H96" s="4"/>
      <c r="I96" s="47">
        <f t="shared" si="71"/>
        <v>4.7031963470319633</v>
      </c>
      <c r="J96" s="38">
        <f t="shared" si="71"/>
        <v>-0.67253803042433946</v>
      </c>
      <c r="K96" s="38">
        <f t="shared" si="71"/>
        <v>-1.4792176039119804</v>
      </c>
      <c r="L96" s="48">
        <f t="shared" si="71"/>
        <v>0.55612244897959173</v>
      </c>
      <c r="M96" s="4"/>
      <c r="N96" s="52">
        <f>+C96/C$108</f>
        <v>-3.6093943139678614E-3</v>
      </c>
      <c r="O96" s="53">
        <f>+D96/D$108</f>
        <v>-1.6275736252280428E-2</v>
      </c>
      <c r="P96" s="53">
        <f>+E96/E$108</f>
        <v>-4.5936991070927163E-3</v>
      </c>
      <c r="Q96" s="53">
        <f>+F96/F$108</f>
        <v>2.2379027654084171E-3</v>
      </c>
      <c r="R96" s="54">
        <f>+G96/G$108</f>
        <v>2.5727975166177411E-3</v>
      </c>
      <c r="XFD96" s="38">
        <f>SUM(A96:XFC96)</f>
        <v>-1372.9121049677162</v>
      </c>
    </row>
    <row r="97" spans="2:20" s="38" customFormat="1" outlineLevel="1" x14ac:dyDescent="0.25">
      <c r="B97" s="49" t="s">
        <v>113</v>
      </c>
      <c r="C97" s="55">
        <v>11</v>
      </c>
      <c r="D97" s="55">
        <v>-150</v>
      </c>
      <c r="E97" s="55">
        <v>-5702</v>
      </c>
      <c r="F97" s="55">
        <v>-6059</v>
      </c>
      <c r="G97" s="56">
        <v>-4738</v>
      </c>
      <c r="H97" s="4"/>
      <c r="I97" s="47"/>
      <c r="K97" s="38">
        <f t="shared" si="71"/>
        <v>6.2609610662925252E-2</v>
      </c>
      <c r="L97" s="48">
        <f t="shared" si="71"/>
        <v>-0.21802277603564946</v>
      </c>
      <c r="M97" s="4"/>
      <c r="N97" s="52">
        <f>+C97/C$108</f>
        <v>1.8129377832715285E-4</v>
      </c>
      <c r="O97" s="53">
        <f>+D97/D$108</f>
        <v>-1.9546520719311961E-3</v>
      </c>
      <c r="P97" s="53">
        <f>+E97/E$108</f>
        <v>-6.404223058347841E-2</v>
      </c>
      <c r="Q97" s="53">
        <f>+F97/F$108</f>
        <v>-6.9180881916375517E-2</v>
      </c>
      <c r="R97" s="54">
        <f>+G97/G$108</f>
        <v>-3.9966933225360192E-2</v>
      </c>
    </row>
    <row r="98" spans="2:20" s="38" customFormat="1" outlineLevel="1" x14ac:dyDescent="0.25">
      <c r="B98" s="45" t="s">
        <v>114</v>
      </c>
      <c r="C98" s="55"/>
      <c r="D98" s="55"/>
      <c r="E98" s="55"/>
      <c r="F98" s="55"/>
      <c r="G98" s="56"/>
      <c r="H98" s="4"/>
      <c r="I98" s="47"/>
      <c r="L98" s="48"/>
      <c r="M98" s="4"/>
      <c r="N98" s="52"/>
      <c r="O98" s="53"/>
      <c r="P98" s="53"/>
      <c r="Q98" s="53"/>
      <c r="R98" s="54"/>
    </row>
    <row r="99" spans="2:20" s="38" customFormat="1" outlineLevel="1" x14ac:dyDescent="0.25">
      <c r="B99" s="49" t="s">
        <v>76</v>
      </c>
      <c r="C99" s="55">
        <v>-2577</v>
      </c>
      <c r="D99" s="55">
        <v>-6481</v>
      </c>
      <c r="E99" s="55">
        <v>-6834</v>
      </c>
      <c r="F99" s="55">
        <v>-4087</v>
      </c>
      <c r="G99" s="56">
        <v>-7191</v>
      </c>
      <c r="H99" s="4"/>
      <c r="I99" s="47">
        <f t="shared" ref="I99:L108" si="72">+D99/C99-1</f>
        <v>1.514939852541715</v>
      </c>
      <c r="J99" s="38">
        <f t="shared" si="72"/>
        <v>5.4466903255670385E-2</v>
      </c>
      <c r="K99" s="38">
        <f t="shared" si="72"/>
        <v>-0.40196078431372551</v>
      </c>
      <c r="L99" s="48">
        <f t="shared" si="72"/>
        <v>0.75948128211402</v>
      </c>
      <c r="M99" s="4"/>
      <c r="N99" s="52">
        <f t="shared" ref="N99:R104" si="73">+C99/C$108</f>
        <v>-4.2472187886279357E-2</v>
      </c>
      <c r="O99" s="53">
        <f t="shared" si="73"/>
        <v>-8.4454000521240552E-2</v>
      </c>
      <c r="P99" s="53">
        <f t="shared" si="73"/>
        <v>-7.6756331779637227E-2</v>
      </c>
      <c r="Q99" s="53">
        <f t="shared" si="73"/>
        <v>-4.6664839807266337E-2</v>
      </c>
      <c r="R99" s="54">
        <f t="shared" si="73"/>
        <v>-6.0658973580321893E-2</v>
      </c>
    </row>
    <row r="100" spans="2:20" s="38" customFormat="1" outlineLevel="1" x14ac:dyDescent="0.25">
      <c r="B100" s="49" t="s">
        <v>77</v>
      </c>
      <c r="C100" s="55">
        <v>168</v>
      </c>
      <c r="D100" s="55">
        <v>-737</v>
      </c>
      <c r="E100" s="55">
        <v>-1123</v>
      </c>
      <c r="F100" s="55">
        <v>1242</v>
      </c>
      <c r="G100" s="56">
        <v>1284</v>
      </c>
      <c r="H100" s="4"/>
      <c r="I100" s="47">
        <f t="shared" si="72"/>
        <v>-5.3869047619047619</v>
      </c>
      <c r="J100" s="38">
        <f t="shared" si="72"/>
        <v>0.52374491180461336</v>
      </c>
      <c r="K100" s="38">
        <f t="shared" si="72"/>
        <v>-2.1059661620658949</v>
      </c>
      <c r="L100" s="48">
        <f t="shared" si="72"/>
        <v>3.3816425120772875E-2</v>
      </c>
      <c r="M100" s="4"/>
      <c r="N100" s="52">
        <f t="shared" si="73"/>
        <v>2.7688504326328803E-3</v>
      </c>
      <c r="O100" s="53">
        <f t="shared" si="73"/>
        <v>-9.6038571800886111E-3</v>
      </c>
      <c r="P100" s="53">
        <f t="shared" si="73"/>
        <v>-1.2613017352726456E-2</v>
      </c>
      <c r="Q100" s="53">
        <f t="shared" si="73"/>
        <v>1.4180996095088032E-2</v>
      </c>
      <c r="R100" s="54">
        <f t="shared" si="73"/>
        <v>1.0831055774875999E-2</v>
      </c>
    </row>
    <row r="101" spans="2:20" outlineLevel="1" x14ac:dyDescent="0.25">
      <c r="B101" s="49" t="s">
        <v>115</v>
      </c>
      <c r="C101" s="55">
        <v>-2330</v>
      </c>
      <c r="D101" s="55">
        <v>-932</v>
      </c>
      <c r="E101" s="55">
        <v>-709</v>
      </c>
      <c r="F101" s="55">
        <v>-1991</v>
      </c>
      <c r="G101" s="56">
        <v>-1648</v>
      </c>
      <c r="I101" s="47">
        <f t="shared" si="72"/>
        <v>-0.6</v>
      </c>
      <c r="J101" s="38">
        <f t="shared" si="72"/>
        <v>-0.23927038626609443</v>
      </c>
      <c r="K101" s="38">
        <f t="shared" si="72"/>
        <v>1.8081805359661494</v>
      </c>
      <c r="L101" s="48">
        <f t="shared" si="72"/>
        <v>-0.17227523857358107</v>
      </c>
      <c r="N101" s="52">
        <f t="shared" si="73"/>
        <v>-3.8401318500206012E-2</v>
      </c>
      <c r="O101" s="53">
        <f t="shared" si="73"/>
        <v>-1.2144904873599167E-2</v>
      </c>
      <c r="P101" s="53">
        <f t="shared" si="73"/>
        <v>-7.963160554837985E-3</v>
      </c>
      <c r="Q101" s="53">
        <f t="shared" si="73"/>
        <v>-2.273298166289877E-2</v>
      </c>
      <c r="R101" s="54">
        <f t="shared" si="73"/>
        <v>-1.3901541991429633E-2</v>
      </c>
    </row>
    <row r="102" spans="2:20" outlineLevel="1" x14ac:dyDescent="0.25">
      <c r="B102" s="49" t="s">
        <v>141</v>
      </c>
      <c r="C102" s="55">
        <v>-1037</v>
      </c>
      <c r="D102" s="55">
        <v>-3459</v>
      </c>
      <c r="E102" s="55">
        <v>-2805</v>
      </c>
      <c r="F102" s="55">
        <v>-2833</v>
      </c>
      <c r="G102" s="56">
        <v>-6817</v>
      </c>
      <c r="I102" s="47">
        <f t="shared" si="72"/>
        <v>2.335583413693346</v>
      </c>
      <c r="J102" s="38">
        <f t="shared" si="72"/>
        <v>-0.18907198612315701</v>
      </c>
      <c r="K102" s="38">
        <f t="shared" si="72"/>
        <v>9.9821746880570661E-3</v>
      </c>
      <c r="L102" s="48">
        <f t="shared" si="72"/>
        <v>1.4062830921284859</v>
      </c>
      <c r="N102" s="52">
        <f t="shared" si="73"/>
        <v>-1.7091058920477957E-2</v>
      </c>
      <c r="O102" s="53">
        <f t="shared" si="73"/>
        <v>-4.5074276778733387E-2</v>
      </c>
      <c r="P102" s="53">
        <f t="shared" si="73"/>
        <v>-3.150446453641826E-2</v>
      </c>
      <c r="Q102" s="53">
        <f t="shared" si="73"/>
        <v>-3.2346829257153299E-2</v>
      </c>
      <c r="R102" s="54">
        <f t="shared" si="73"/>
        <v>-5.7504133346829973E-2</v>
      </c>
    </row>
    <row r="103" spans="2:20" outlineLevel="1" x14ac:dyDescent="0.25">
      <c r="B103" s="49" t="s">
        <v>89</v>
      </c>
      <c r="C103" s="55">
        <v>3018</v>
      </c>
      <c r="D103" s="55">
        <v>2798</v>
      </c>
      <c r="E103" s="55">
        <v>2943</v>
      </c>
      <c r="F103" s="55">
        <v>-2721</v>
      </c>
      <c r="G103" s="56">
        <v>3545</v>
      </c>
      <c r="I103" s="47">
        <f t="shared" si="72"/>
        <v>-7.2895957587806537E-2</v>
      </c>
      <c r="J103" s="38">
        <f t="shared" si="72"/>
        <v>5.1822730521801308E-2</v>
      </c>
      <c r="K103" s="38">
        <f t="shared" si="72"/>
        <v>-1.9245667686034658</v>
      </c>
      <c r="L103" s="48">
        <f t="shared" si="72"/>
        <v>-2.3028298419698641</v>
      </c>
      <c r="N103" s="52">
        <f t="shared" si="73"/>
        <v>4.9740420271940665E-2</v>
      </c>
      <c r="O103" s="53">
        <f t="shared" si="73"/>
        <v>3.6460776648423246E-2</v>
      </c>
      <c r="P103" s="53">
        <f t="shared" si="73"/>
        <v>3.3054416802381088E-2</v>
      </c>
      <c r="Q103" s="53">
        <f t="shared" si="73"/>
        <v>-3.1068027676919914E-2</v>
      </c>
      <c r="R103" s="54">
        <f t="shared" si="73"/>
        <v>2.9903499004622601E-2</v>
      </c>
    </row>
    <row r="104" spans="2:20" outlineLevel="1" x14ac:dyDescent="0.25">
      <c r="B104" s="49" t="s">
        <v>142</v>
      </c>
      <c r="C104" s="55">
        <v>2212</v>
      </c>
      <c r="D104" s="55">
        <v>4633</v>
      </c>
      <c r="E104" s="55">
        <v>5109</v>
      </c>
      <c r="F104" s="55">
        <v>5535</v>
      </c>
      <c r="G104" s="56">
        <v>5348</v>
      </c>
      <c r="I104" s="47">
        <f t="shared" si="72"/>
        <v>1.0944846292947559</v>
      </c>
      <c r="J104" s="38">
        <f t="shared" si="72"/>
        <v>0.10274120440319456</v>
      </c>
      <c r="K104" s="38">
        <f t="shared" si="72"/>
        <v>8.3382266588373444E-2</v>
      </c>
      <c r="L104" s="48">
        <f t="shared" si="72"/>
        <v>-3.3785004516711847E-2</v>
      </c>
      <c r="N104" s="52">
        <f t="shared" si="73"/>
        <v>3.6456530696332923E-2</v>
      </c>
      <c r="O104" s="53">
        <f t="shared" si="73"/>
        <v>6.0372686995048212E-2</v>
      </c>
      <c r="P104" s="53">
        <f t="shared" si="73"/>
        <v>5.7381928455101927E-2</v>
      </c>
      <c r="Q104" s="53">
        <f t="shared" si="73"/>
        <v>6.3197917380283616E-2</v>
      </c>
      <c r="R104" s="54">
        <f t="shared" si="73"/>
        <v>4.5112528258595672E-2</v>
      </c>
    </row>
    <row r="105" spans="2:20" outlineLevel="1" x14ac:dyDescent="0.25">
      <c r="B105" s="49" t="s">
        <v>144</v>
      </c>
      <c r="C105" s="55">
        <v>-3631</v>
      </c>
      <c r="D105" s="55">
        <v>-2309</v>
      </c>
      <c r="E105" s="55">
        <v>696</v>
      </c>
      <c r="F105" s="55">
        <v>-358</v>
      </c>
      <c r="G105" s="56">
        <v>1687</v>
      </c>
      <c r="I105" s="47"/>
      <c r="J105" s="38"/>
      <c r="K105" s="38"/>
      <c r="L105" s="48"/>
      <c r="N105" s="52"/>
      <c r="O105" s="53"/>
      <c r="P105" s="53"/>
      <c r="Q105" s="53"/>
      <c r="R105" s="54"/>
    </row>
    <row r="106" spans="2:20" outlineLevel="1" x14ac:dyDescent="0.25">
      <c r="B106" s="49" t="s">
        <v>90</v>
      </c>
      <c r="C106" s="55">
        <v>1346</v>
      </c>
      <c r="D106" s="55">
        <v>4149</v>
      </c>
      <c r="E106" s="55">
        <v>2344</v>
      </c>
      <c r="F106" s="55">
        <v>2272</v>
      </c>
      <c r="G106" s="56">
        <v>4867</v>
      </c>
      <c r="I106" s="47">
        <f t="shared" si="72"/>
        <v>2.0824665676077267</v>
      </c>
      <c r="J106" s="38">
        <f t="shared" si="72"/>
        <v>-0.43504458905760424</v>
      </c>
      <c r="K106" s="38">
        <f t="shared" si="72"/>
        <v>-3.0716723549488067E-2</v>
      </c>
      <c r="L106" s="48">
        <f t="shared" si="72"/>
        <v>1.1421654929577465</v>
      </c>
      <c r="N106" s="52">
        <f>+C106/C$108</f>
        <v>2.2183765966213433E-2</v>
      </c>
      <c r="O106" s="53">
        <f>+D106/D$108</f>
        <v>5.4065676309616888E-2</v>
      </c>
      <c r="P106" s="53">
        <f>+E106/E$108</f>
        <v>2.6326725445049701E-2</v>
      </c>
      <c r="Q106" s="53">
        <f>+F106/F$108</f>
        <v>2.5941403484734307E-2</v>
      </c>
      <c r="R106" s="54">
        <f>+G106/G$108</f>
        <v>4.105510004386409E-2</v>
      </c>
    </row>
    <row r="107" spans="2:20" outlineLevel="1" x14ac:dyDescent="0.25">
      <c r="B107" s="49" t="s">
        <v>143</v>
      </c>
      <c r="C107" s="55">
        <v>1348</v>
      </c>
      <c r="D107" s="55">
        <v>1402</v>
      </c>
      <c r="E107" s="55">
        <v>825</v>
      </c>
      <c r="F107" s="55">
        <v>553</v>
      </c>
      <c r="G107" s="56">
        <v>749</v>
      </c>
      <c r="I107" s="47"/>
      <c r="J107" s="38"/>
      <c r="K107" s="38"/>
      <c r="L107" s="48"/>
      <c r="N107" s="52"/>
      <c r="O107" s="53"/>
      <c r="P107" s="53"/>
      <c r="Q107" s="53"/>
      <c r="R107" s="54"/>
    </row>
    <row r="108" spans="2:20" s="63" customFormat="1" outlineLevel="1" x14ac:dyDescent="0.25">
      <c r="B108" s="122" t="s">
        <v>116</v>
      </c>
      <c r="C108" s="123">
        <f>SUM(C92:C107)</f>
        <v>60675</v>
      </c>
      <c r="D108" s="123">
        <f>SUM(D92:D107)</f>
        <v>76740</v>
      </c>
      <c r="E108" s="123">
        <f>SUM(E92:E107)</f>
        <v>89035</v>
      </c>
      <c r="F108" s="123">
        <f>SUM(F92:F107)</f>
        <v>87582</v>
      </c>
      <c r="G108" s="124">
        <f>SUM(G92:G107)</f>
        <v>118548</v>
      </c>
      <c r="I108" s="73">
        <f t="shared" si="72"/>
        <v>0.26477132262051906</v>
      </c>
      <c r="J108" s="74">
        <f t="shared" si="72"/>
        <v>0.16021631482929366</v>
      </c>
      <c r="K108" s="74">
        <f t="shared" si="72"/>
        <v>-1.6319424945246297E-2</v>
      </c>
      <c r="L108" s="75">
        <f t="shared" si="72"/>
        <v>0.35356580119202574</v>
      </c>
      <c r="N108" s="76">
        <f>+C108/C$108</f>
        <v>1</v>
      </c>
      <c r="O108" s="77">
        <f>+D108/D$108</f>
        <v>1</v>
      </c>
      <c r="P108" s="77">
        <f>+E108/E$108</f>
        <v>1</v>
      </c>
      <c r="Q108" s="77">
        <f>+F108/F$108</f>
        <v>1</v>
      </c>
      <c r="R108" s="78">
        <f>+G108/G$108</f>
        <v>1</v>
      </c>
      <c r="S108" s="65"/>
      <c r="T108" s="65"/>
    </row>
    <row r="109" spans="2:20" outlineLevel="1" x14ac:dyDescent="0.25">
      <c r="B109" s="125" t="s">
        <v>117</v>
      </c>
      <c r="C109" s="71"/>
      <c r="D109" s="71"/>
      <c r="E109" s="71"/>
      <c r="F109" s="71"/>
      <c r="G109" s="72"/>
      <c r="I109" s="47"/>
      <c r="J109" s="38"/>
      <c r="K109" s="38"/>
      <c r="L109" s="48"/>
      <c r="N109" s="52"/>
      <c r="O109" s="53"/>
      <c r="P109" s="53"/>
      <c r="Q109" s="53"/>
      <c r="R109" s="54"/>
    </row>
    <row r="110" spans="2:20" outlineLevel="1" x14ac:dyDescent="0.25">
      <c r="B110" s="49" t="s">
        <v>151</v>
      </c>
      <c r="C110" s="55">
        <v>-15441</v>
      </c>
      <c r="D110" s="55">
        <v>-20622</v>
      </c>
      <c r="E110" s="55">
        <v>-23886</v>
      </c>
      <c r="F110" s="55">
        <v>-28107</v>
      </c>
      <c r="G110" s="56">
        <v>-44477</v>
      </c>
      <c r="I110" s="47">
        <f t="shared" ref="I110:L118" si="74">+D110/C110-1</f>
        <v>0.33553526326015159</v>
      </c>
      <c r="J110" s="38">
        <f t="shared" si="74"/>
        <v>0.15827756764620315</v>
      </c>
      <c r="K110" s="38">
        <f t="shared" si="74"/>
        <v>0.17671439336850048</v>
      </c>
      <c r="L110" s="48">
        <f t="shared" si="74"/>
        <v>0.58241719144697046</v>
      </c>
      <c r="N110" s="52">
        <f>C110/C$118</f>
        <v>1.2428364455891823</v>
      </c>
      <c r="O110" s="53">
        <f t="shared" ref="O110:R118" si="75">D110/D$118</f>
        <v>0.74701151923494891</v>
      </c>
      <c r="P110" s="53">
        <f t="shared" si="75"/>
        <v>0.7843819781951924</v>
      </c>
      <c r="Q110" s="53">
        <f t="shared" si="75"/>
        <v>1.2287750284165428</v>
      </c>
      <c r="R110" s="54">
        <f t="shared" si="75"/>
        <v>0.45767647664128419</v>
      </c>
    </row>
    <row r="111" spans="2:20" outlineLevel="1" x14ac:dyDescent="0.25">
      <c r="B111" s="49" t="s">
        <v>152</v>
      </c>
      <c r="C111" s="55">
        <v>-2521</v>
      </c>
      <c r="D111" s="55">
        <v>-8909</v>
      </c>
      <c r="E111" s="55">
        <v>-22038</v>
      </c>
      <c r="F111" s="55">
        <v>-1670</v>
      </c>
      <c r="G111" s="56">
        <v>-69132</v>
      </c>
      <c r="I111" s="47">
        <f t="shared" si="74"/>
        <v>2.533915113050377</v>
      </c>
      <c r="J111" s="38">
        <f t="shared" si="74"/>
        <v>1.4736783028398248</v>
      </c>
      <c r="K111" s="38">
        <f t="shared" si="74"/>
        <v>-0.92422179871131682</v>
      </c>
      <c r="L111" s="48">
        <f t="shared" si="74"/>
        <v>40.396407185628739</v>
      </c>
      <c r="N111" s="52">
        <f t="shared" ref="N111:N118" si="76">C111/C$118</f>
        <v>0.20291371538956857</v>
      </c>
      <c r="O111" s="53">
        <f t="shared" si="75"/>
        <v>0.32271969861624283</v>
      </c>
      <c r="P111" s="53">
        <f t="shared" si="75"/>
        <v>0.7236963089452253</v>
      </c>
      <c r="Q111" s="53">
        <f t="shared" si="75"/>
        <v>7.3008656116114359E-2</v>
      </c>
      <c r="R111" s="54">
        <f t="shared" si="75"/>
        <v>0.71138094258077789</v>
      </c>
    </row>
    <row r="112" spans="2:20" outlineLevel="1" x14ac:dyDescent="0.25">
      <c r="B112" s="49" t="s">
        <v>153</v>
      </c>
      <c r="C112" s="55">
        <v>-77190</v>
      </c>
      <c r="D112" s="55">
        <v>-62924</v>
      </c>
      <c r="E112" s="55">
        <v>-26456</v>
      </c>
      <c r="F112" s="55">
        <v>-37651</v>
      </c>
      <c r="G112" s="56">
        <v>-17732</v>
      </c>
      <c r="I112" s="47">
        <f t="shared" si="74"/>
        <v>-0.18481668609923563</v>
      </c>
      <c r="J112" s="38">
        <f t="shared" si="74"/>
        <v>-0.57955629012777321</v>
      </c>
      <c r="K112" s="38">
        <f t="shared" si="74"/>
        <v>0.42315542788025406</v>
      </c>
      <c r="L112" s="48">
        <f t="shared" si="74"/>
        <v>-0.52904305330535717</v>
      </c>
      <c r="N112" s="52">
        <f t="shared" si="76"/>
        <v>6.212974887314874</v>
      </c>
      <c r="O112" s="53">
        <f t="shared" si="75"/>
        <v>2.2793595595160472</v>
      </c>
      <c r="P112" s="53">
        <f t="shared" si="75"/>
        <v>0.86877709181662943</v>
      </c>
      <c r="Q112" s="53">
        <f t="shared" si="75"/>
        <v>1.6460173122322288</v>
      </c>
      <c r="R112" s="54">
        <f t="shared" si="75"/>
        <v>0.18246552788639639</v>
      </c>
    </row>
    <row r="113" spans="2:20" outlineLevel="1" x14ac:dyDescent="0.25">
      <c r="B113" s="49" t="s">
        <v>154</v>
      </c>
      <c r="C113" s="55">
        <v>66449</v>
      </c>
      <c r="D113" s="55">
        <v>51792</v>
      </c>
      <c r="E113" s="55">
        <v>16451</v>
      </c>
      <c r="F113" s="55">
        <v>33510</v>
      </c>
      <c r="G113" s="56">
        <v>24775</v>
      </c>
      <c r="I113" s="47">
        <f t="shared" si="74"/>
        <v>-0.22057517795602644</v>
      </c>
      <c r="J113" s="38">
        <f t="shared" si="74"/>
        <v>-0.68236407167130064</v>
      </c>
      <c r="K113" s="38">
        <f t="shared" si="74"/>
        <v>1.0369582396206916</v>
      </c>
      <c r="L113" s="48">
        <f t="shared" si="74"/>
        <v>-0.26066845717696208</v>
      </c>
      <c r="N113" s="52">
        <f t="shared" si="76"/>
        <v>-5.3484385061171924</v>
      </c>
      <c r="O113" s="53">
        <f t="shared" si="75"/>
        <v>-1.8761138882851554</v>
      </c>
      <c r="P113" s="53">
        <f t="shared" si="75"/>
        <v>-0.54022724287403123</v>
      </c>
      <c r="Q113" s="53">
        <f t="shared" si="75"/>
        <v>-1.4649820757191572</v>
      </c>
      <c r="R113" s="54">
        <f t="shared" si="75"/>
        <v>-0.25493928791932496</v>
      </c>
    </row>
    <row r="114" spans="2:20" outlineLevel="1" x14ac:dyDescent="0.25">
      <c r="B114" s="49" t="s">
        <v>155</v>
      </c>
      <c r="C114" s="55">
        <v>17721</v>
      </c>
      <c r="D114" s="55">
        <v>14008</v>
      </c>
      <c r="E114" s="55">
        <v>28443</v>
      </c>
      <c r="F114" s="55">
        <v>14354</v>
      </c>
      <c r="G114" s="56">
        <v>10894</v>
      </c>
      <c r="I114" s="47">
        <f t="shared" si="74"/>
        <v>-0.2095254218159246</v>
      </c>
      <c r="J114" s="38">
        <f t="shared" si="74"/>
        <v>1.0304825813820675</v>
      </c>
      <c r="K114" s="38">
        <f t="shared" si="74"/>
        <v>-0.49534156031360965</v>
      </c>
      <c r="L114" s="48">
        <f t="shared" si="74"/>
        <v>-0.24104779155636058</v>
      </c>
      <c r="N114" s="52">
        <f t="shared" si="76"/>
        <v>-1.426352221506761</v>
      </c>
      <c r="O114" s="53">
        <f t="shared" si="75"/>
        <v>-0.50742592190103597</v>
      </c>
      <c r="P114" s="53">
        <f t="shared" si="75"/>
        <v>-0.93402732168658875</v>
      </c>
      <c r="Q114" s="53">
        <f t="shared" si="75"/>
        <v>-0.62752470053335663</v>
      </c>
      <c r="R114" s="54">
        <f t="shared" si="75"/>
        <v>-0.11210125540234617</v>
      </c>
    </row>
    <row r="115" spans="2:20" outlineLevel="1" x14ac:dyDescent="0.25">
      <c r="B115" s="49" t="s">
        <v>150</v>
      </c>
      <c r="C115" s="55">
        <v>-1241</v>
      </c>
      <c r="D115" s="55">
        <v>-922</v>
      </c>
      <c r="E115" s="55">
        <v>-2825</v>
      </c>
      <c r="F115" s="55">
        <v>-3116</v>
      </c>
      <c r="G115" s="56">
        <v>-1298</v>
      </c>
      <c r="I115" s="47">
        <f t="shared" si="74"/>
        <v>-0.25705076551168415</v>
      </c>
      <c r="J115" s="38">
        <f t="shared" si="74"/>
        <v>2.0639913232104123</v>
      </c>
      <c r="K115" s="38">
        <f t="shared" si="74"/>
        <v>0.1030088495575221</v>
      </c>
      <c r="L115" s="48">
        <f t="shared" si="74"/>
        <v>-0.58344030808729141</v>
      </c>
      <c r="N115" s="52">
        <f t="shared" si="76"/>
        <v>9.988731487443657E-2</v>
      </c>
      <c r="O115" s="53">
        <f t="shared" si="75"/>
        <v>3.3398536550025358E-2</v>
      </c>
      <c r="P115" s="53">
        <f t="shared" si="75"/>
        <v>9.2768947852357814E-2</v>
      </c>
      <c r="Q115" s="53">
        <f t="shared" si="75"/>
        <v>0.13622453440587567</v>
      </c>
      <c r="R115" s="54">
        <f t="shared" si="75"/>
        <v>1.3356657748507923E-2</v>
      </c>
    </row>
    <row r="116" spans="2:20" outlineLevel="1" x14ac:dyDescent="0.25">
      <c r="B116" s="49" t="s">
        <v>156</v>
      </c>
      <c r="C116" s="55">
        <v>-201</v>
      </c>
      <c r="D116" s="55">
        <v>-29</v>
      </c>
      <c r="E116" s="55">
        <v>-141</v>
      </c>
      <c r="F116" s="55">
        <v>-194</v>
      </c>
      <c r="G116" s="56">
        <v>-210</v>
      </c>
      <c r="I116" s="47">
        <f t="shared" si="74"/>
        <v>-0.85572139303482586</v>
      </c>
      <c r="J116" s="38">
        <f t="shared" si="74"/>
        <v>3.8620689655172411</v>
      </c>
      <c r="K116" s="38">
        <f t="shared" si="74"/>
        <v>0.37588652482269502</v>
      </c>
      <c r="L116" s="48">
        <f t="shared" si="74"/>
        <v>8.247422680412364E-2</v>
      </c>
      <c r="N116" s="52">
        <f t="shared" si="76"/>
        <v>1.6178364455891821E-2</v>
      </c>
      <c r="O116" s="53">
        <f t="shared" si="75"/>
        <v>1.0504962689270449E-3</v>
      </c>
      <c r="P116" s="53">
        <f t="shared" si="75"/>
        <v>4.6302377512150265E-3</v>
      </c>
      <c r="Q116" s="53">
        <f t="shared" si="75"/>
        <v>8.4812450817522075E-3</v>
      </c>
      <c r="R116" s="54">
        <f t="shared" si="75"/>
        <v>2.1609384647046717E-3</v>
      </c>
    </row>
    <row r="117" spans="2:20" outlineLevel="1" x14ac:dyDescent="0.25">
      <c r="B117" s="49"/>
      <c r="C117" s="55"/>
      <c r="D117" s="55"/>
      <c r="E117" s="55"/>
      <c r="F117" s="55"/>
      <c r="G117" s="56"/>
      <c r="I117" s="47"/>
      <c r="J117" s="38"/>
      <c r="K117" s="38"/>
      <c r="L117" s="48"/>
      <c r="N117" s="52">
        <f t="shared" si="76"/>
        <v>0</v>
      </c>
      <c r="O117" s="53">
        <f t="shared" si="75"/>
        <v>0</v>
      </c>
      <c r="P117" s="53">
        <f t="shared" si="75"/>
        <v>0</v>
      </c>
      <c r="Q117" s="53">
        <f t="shared" si="75"/>
        <v>0</v>
      </c>
      <c r="R117" s="54">
        <f t="shared" si="75"/>
        <v>0</v>
      </c>
    </row>
    <row r="118" spans="2:20" s="63" customFormat="1" outlineLevel="1" x14ac:dyDescent="0.25">
      <c r="B118" s="122" t="s">
        <v>118</v>
      </c>
      <c r="C118" s="123">
        <f t="shared" ref="C118:E118" si="77">SUM(C110:C117)</f>
        <v>-12424</v>
      </c>
      <c r="D118" s="123">
        <f t="shared" si="77"/>
        <v>-27606</v>
      </c>
      <c r="E118" s="123">
        <f t="shared" si="77"/>
        <v>-30452</v>
      </c>
      <c r="F118" s="123">
        <f t="shared" ref="F118:G118" si="78">SUM(F110:F117)</f>
        <v>-22874</v>
      </c>
      <c r="G118" s="124">
        <f t="shared" si="78"/>
        <v>-97180</v>
      </c>
      <c r="I118" s="73">
        <f t="shared" si="74"/>
        <v>1.2219896973599487</v>
      </c>
      <c r="J118" s="74">
        <f t="shared" si="74"/>
        <v>0.1030935303919438</v>
      </c>
      <c r="K118" s="74">
        <f t="shared" si="74"/>
        <v>-0.24885065020359909</v>
      </c>
      <c r="L118" s="75">
        <f t="shared" si="74"/>
        <v>3.2484917373437092</v>
      </c>
      <c r="N118" s="76">
        <f t="shared" si="76"/>
        <v>1</v>
      </c>
      <c r="O118" s="77">
        <f t="shared" si="75"/>
        <v>1</v>
      </c>
      <c r="P118" s="77">
        <f t="shared" si="75"/>
        <v>1</v>
      </c>
      <c r="Q118" s="77">
        <f t="shared" si="75"/>
        <v>1</v>
      </c>
      <c r="R118" s="78">
        <f t="shared" si="75"/>
        <v>1</v>
      </c>
      <c r="S118" s="65"/>
      <c r="T118" s="65"/>
    </row>
    <row r="119" spans="2:20" outlineLevel="1" x14ac:dyDescent="0.25">
      <c r="B119" s="125" t="s">
        <v>119</v>
      </c>
      <c r="C119" s="71"/>
      <c r="D119" s="71"/>
      <c r="E119" s="71"/>
      <c r="F119" s="71"/>
      <c r="G119" s="72"/>
      <c r="I119" s="45"/>
      <c r="L119" s="46"/>
      <c r="N119" s="52"/>
      <c r="O119" s="53"/>
      <c r="P119" s="53"/>
      <c r="Q119" s="53"/>
      <c r="R119" s="54"/>
    </row>
    <row r="120" spans="2:20" outlineLevel="1" x14ac:dyDescent="0.25">
      <c r="B120" s="49" t="s">
        <v>120</v>
      </c>
      <c r="C120" s="55">
        <v>-3417</v>
      </c>
      <c r="D120" s="55">
        <v>-1754</v>
      </c>
      <c r="E120" s="55">
        <v>0</v>
      </c>
      <c r="F120" s="55">
        <v>0</v>
      </c>
      <c r="G120" s="56">
        <v>5250</v>
      </c>
      <c r="I120" s="47">
        <f t="shared" ref="I120:L130" si="79">+D120/C120-1</f>
        <v>-0.48668422592917759</v>
      </c>
      <c r="J120" s="38">
        <f t="shared" si="79"/>
        <v>-1</v>
      </c>
      <c r="K120" s="38"/>
      <c r="L120" s="48"/>
      <c r="N120" s="52">
        <f>C120/C$128</f>
        <v>7.4232582390128393E-2</v>
      </c>
      <c r="O120" s="53">
        <f t="shared" ref="O120:R128" si="80">D120/D$128</f>
        <v>3.6175390834467684E-2</v>
      </c>
      <c r="P120" s="53">
        <f t="shared" si="80"/>
        <v>0</v>
      </c>
      <c r="Q120" s="53">
        <f t="shared" si="80"/>
        <v>0</v>
      </c>
      <c r="R120" s="54">
        <f t="shared" si="80"/>
        <v>-0.13904706412056042</v>
      </c>
    </row>
    <row r="121" spans="2:20" outlineLevel="1" x14ac:dyDescent="0.25">
      <c r="B121" s="49" t="s">
        <v>145</v>
      </c>
      <c r="C121" s="55">
        <v>0</v>
      </c>
      <c r="D121" s="55">
        <v>0</v>
      </c>
      <c r="E121" s="55">
        <v>0</v>
      </c>
      <c r="F121" s="55">
        <v>0</v>
      </c>
      <c r="G121" s="56">
        <v>24395</v>
      </c>
      <c r="I121" s="47"/>
      <c r="J121" s="38"/>
      <c r="K121" s="38"/>
      <c r="L121" s="48"/>
      <c r="N121" s="52">
        <f t="shared" ref="N121:N128" si="81">C121/C$128</f>
        <v>0</v>
      </c>
      <c r="O121" s="53">
        <f t="shared" si="80"/>
        <v>0</v>
      </c>
      <c r="P121" s="53">
        <f t="shared" si="80"/>
        <v>0</v>
      </c>
      <c r="Q121" s="53">
        <f t="shared" si="80"/>
        <v>0</v>
      </c>
      <c r="R121" s="54">
        <f t="shared" si="80"/>
        <v>-0.64610535794687074</v>
      </c>
    </row>
    <row r="122" spans="2:20" outlineLevel="1" x14ac:dyDescent="0.25">
      <c r="B122" s="49" t="s">
        <v>146</v>
      </c>
      <c r="C122" s="55">
        <v>-5518</v>
      </c>
      <c r="D122" s="55">
        <v>-3750</v>
      </c>
      <c r="E122" s="55">
        <v>-9023</v>
      </c>
      <c r="F122" s="55">
        <v>-2750</v>
      </c>
      <c r="G122" s="56">
        <v>-29070</v>
      </c>
      <c r="I122" s="47">
        <f t="shared" si="79"/>
        <v>-0.32040594418267487</v>
      </c>
      <c r="J122" s="38">
        <f t="shared" si="79"/>
        <v>1.4061333333333335</v>
      </c>
      <c r="K122" s="38">
        <f t="shared" si="79"/>
        <v>-0.69522331818685579</v>
      </c>
      <c r="L122" s="48">
        <f t="shared" si="79"/>
        <v>9.5709090909090904</v>
      </c>
      <c r="N122" s="52">
        <f t="shared" si="81"/>
        <v>0.11987573591709935</v>
      </c>
      <c r="O122" s="53">
        <f t="shared" si="80"/>
        <v>7.7341913129563178E-2</v>
      </c>
      <c r="P122" s="53">
        <f t="shared" si="80"/>
        <v>0.15325429716692709</v>
      </c>
      <c r="Q122" s="53">
        <f t="shared" si="80"/>
        <v>6.2592466143166034E-2</v>
      </c>
      <c r="R122" s="54">
        <f t="shared" si="80"/>
        <v>0.76992345790184602</v>
      </c>
    </row>
    <row r="123" spans="2:20" outlineLevel="1" x14ac:dyDescent="0.25">
      <c r="B123" s="49" t="s">
        <v>147</v>
      </c>
      <c r="C123" s="55">
        <v>1343</v>
      </c>
      <c r="D123" s="55">
        <v>1693</v>
      </c>
      <c r="E123" s="55">
        <v>1841</v>
      </c>
      <c r="F123" s="55">
        <v>1866</v>
      </c>
      <c r="G123" s="56">
        <v>2002</v>
      </c>
      <c r="I123" s="47">
        <f t="shared" si="79"/>
        <v>0.26061057334326132</v>
      </c>
      <c r="J123" s="38">
        <f t="shared" si="79"/>
        <v>8.7418783225044372E-2</v>
      </c>
      <c r="K123" s="38">
        <f t="shared" si="79"/>
        <v>1.3579576317218844E-2</v>
      </c>
      <c r="L123" s="48">
        <f t="shared" si="79"/>
        <v>7.2883172561629239E-2</v>
      </c>
      <c r="N123" s="52">
        <f t="shared" si="81"/>
        <v>-2.9175990093632552E-2</v>
      </c>
      <c r="O123" s="53">
        <f t="shared" si="80"/>
        <v>-3.491729571422679E-2</v>
      </c>
      <c r="P123" s="53">
        <f t="shared" si="80"/>
        <v>-3.1269107955703514E-2</v>
      </c>
      <c r="Q123" s="53">
        <f t="shared" si="80"/>
        <v>-4.2471833390235574E-2</v>
      </c>
      <c r="R123" s="54">
        <f t="shared" si="80"/>
        <v>-5.3023280451307039E-2</v>
      </c>
    </row>
    <row r="124" spans="2:20" outlineLevel="1" x14ac:dyDescent="0.25">
      <c r="B124" s="49" t="s">
        <v>148</v>
      </c>
      <c r="C124" s="55">
        <v>-22968</v>
      </c>
      <c r="D124" s="55">
        <v>-27385</v>
      </c>
      <c r="E124" s="55">
        <v>-32696</v>
      </c>
      <c r="F124" s="55">
        <v>-22245</v>
      </c>
      <c r="G124" s="56">
        <v>-17254</v>
      </c>
      <c r="I124" s="47">
        <f t="shared" si="79"/>
        <v>0.19231104144897238</v>
      </c>
      <c r="J124" s="38">
        <f t="shared" si="79"/>
        <v>0.19393828738360419</v>
      </c>
      <c r="K124" s="38">
        <f t="shared" si="79"/>
        <v>-0.31964154636652797</v>
      </c>
      <c r="L124" s="48">
        <f t="shared" si="79"/>
        <v>-0.22436502584850526</v>
      </c>
      <c r="N124" s="52">
        <f t="shared" si="81"/>
        <v>0.49896808672416415</v>
      </c>
      <c r="O124" s="53">
        <f t="shared" si="80"/>
        <v>0.56480221094748995</v>
      </c>
      <c r="P124" s="53">
        <f t="shared" si="80"/>
        <v>0.55533663971737213</v>
      </c>
      <c r="Q124" s="53">
        <f t="shared" si="80"/>
        <v>0.50631614885626497</v>
      </c>
      <c r="R124" s="54">
        <f t="shared" si="80"/>
        <v>0.45697486558783801</v>
      </c>
    </row>
    <row r="125" spans="2:20" outlineLevel="1" x14ac:dyDescent="0.25">
      <c r="B125" s="49" t="s">
        <v>149</v>
      </c>
      <c r="C125" s="55">
        <v>-15137</v>
      </c>
      <c r="D125" s="55">
        <v>-16521</v>
      </c>
      <c r="E125" s="55">
        <v>-18135</v>
      </c>
      <c r="F125" s="55">
        <v>-19800</v>
      </c>
      <c r="G125" s="56">
        <v>-21771</v>
      </c>
      <c r="I125" s="47">
        <f t="shared" si="79"/>
        <v>9.1431591464623096E-2</v>
      </c>
      <c r="J125" s="38">
        <f t="shared" si="79"/>
        <v>9.7693844198293078E-2</v>
      </c>
      <c r="K125" s="38">
        <f t="shared" si="79"/>
        <v>9.1811414392059643E-2</v>
      </c>
      <c r="L125" s="48">
        <f t="shared" si="79"/>
        <v>9.9545454545454604E-2</v>
      </c>
      <c r="N125" s="52">
        <f t="shared" si="81"/>
        <v>0.32884360539636331</v>
      </c>
      <c r="O125" s="53">
        <f t="shared" si="80"/>
        <v>0.3407375324836035</v>
      </c>
      <c r="P125" s="53">
        <f t="shared" si="80"/>
        <v>0.30802024594062094</v>
      </c>
      <c r="Q125" s="53">
        <f t="shared" si="80"/>
        <v>0.45066575623079547</v>
      </c>
      <c r="R125" s="54">
        <f t="shared" si="80"/>
        <v>0.5766083110416611</v>
      </c>
    </row>
    <row r="126" spans="2:20" outlineLevel="1" x14ac:dyDescent="0.25">
      <c r="B126" s="49" t="s">
        <v>150</v>
      </c>
      <c r="C126" s="55">
        <v>-334</v>
      </c>
      <c r="D126" s="55">
        <v>-769</v>
      </c>
      <c r="E126" s="55">
        <v>-863</v>
      </c>
      <c r="F126" s="55">
        <v>-1006</v>
      </c>
      <c r="G126" s="56">
        <v>-1309</v>
      </c>
      <c r="I126" s="47">
        <f t="shared" si="79"/>
        <v>1.3023952095808382</v>
      </c>
      <c r="J126" s="38">
        <f t="shared" si="79"/>
        <v>0.12223667100130031</v>
      </c>
      <c r="K126" s="38">
        <f t="shared" si="79"/>
        <v>0.16570104287369647</v>
      </c>
      <c r="L126" s="48">
        <f t="shared" si="79"/>
        <v>0.30119284294234583</v>
      </c>
      <c r="N126" s="52">
        <f t="shared" si="81"/>
        <v>7.2559796658773438E-3</v>
      </c>
      <c r="O126" s="53">
        <f t="shared" si="80"/>
        <v>1.5860248319102422E-2</v>
      </c>
      <c r="P126" s="53">
        <f t="shared" si="80"/>
        <v>1.4657925130783341E-2</v>
      </c>
      <c r="Q126" s="53">
        <f t="shared" si="80"/>
        <v>2.2897462160009104E-2</v>
      </c>
      <c r="R126" s="54">
        <f t="shared" si="80"/>
        <v>3.4669067987393068E-2</v>
      </c>
    </row>
    <row r="127" spans="2:20" outlineLevel="1" x14ac:dyDescent="0.25">
      <c r="B127" s="49"/>
      <c r="C127" s="55"/>
      <c r="D127" s="55"/>
      <c r="E127" s="55"/>
      <c r="F127" s="55"/>
      <c r="G127" s="56"/>
      <c r="I127" s="47"/>
      <c r="J127" s="38"/>
      <c r="K127" s="38"/>
      <c r="L127" s="48"/>
      <c r="N127" s="52">
        <f t="shared" si="81"/>
        <v>0</v>
      </c>
      <c r="O127" s="53">
        <f t="shared" si="80"/>
        <v>0</v>
      </c>
      <c r="P127" s="53">
        <f t="shared" si="80"/>
        <v>0</v>
      </c>
      <c r="Q127" s="53">
        <f t="shared" si="80"/>
        <v>0</v>
      </c>
      <c r="R127" s="54">
        <f t="shared" si="80"/>
        <v>0</v>
      </c>
    </row>
    <row r="128" spans="2:20" s="63" customFormat="1" outlineLevel="1" x14ac:dyDescent="0.25">
      <c r="B128" s="122" t="s">
        <v>121</v>
      </c>
      <c r="C128" s="123">
        <f>SUM(C120:C127)</f>
        <v>-46031</v>
      </c>
      <c r="D128" s="123">
        <f>SUM(D120:D127)</f>
        <v>-48486</v>
      </c>
      <c r="E128" s="123">
        <f>SUM(E120:E127)</f>
        <v>-58876</v>
      </c>
      <c r="F128" s="123">
        <f t="shared" ref="F128:G128" si="82">SUM(F120:F127)</f>
        <v>-43935</v>
      </c>
      <c r="G128" s="124">
        <f t="shared" si="82"/>
        <v>-37757</v>
      </c>
      <c r="I128" s="73">
        <f t="shared" si="79"/>
        <v>5.3333622993200214E-2</v>
      </c>
      <c r="J128" s="74">
        <f t="shared" si="79"/>
        <v>0.21428866064430974</v>
      </c>
      <c r="K128" s="74">
        <f t="shared" si="79"/>
        <v>-0.25377063659215982</v>
      </c>
      <c r="L128" s="75">
        <f t="shared" si="79"/>
        <v>-0.14061682030271994</v>
      </c>
      <c r="N128" s="76">
        <f t="shared" si="81"/>
        <v>1</v>
      </c>
      <c r="O128" s="77">
        <f t="shared" si="80"/>
        <v>1</v>
      </c>
      <c r="P128" s="77">
        <f t="shared" si="80"/>
        <v>1</v>
      </c>
      <c r="Q128" s="77">
        <f t="shared" si="80"/>
        <v>1</v>
      </c>
      <c r="R128" s="78">
        <f t="shared" si="80"/>
        <v>1</v>
      </c>
      <c r="S128" s="65"/>
      <c r="T128" s="65"/>
    </row>
    <row r="129" spans="2:20" s="63" customFormat="1" outlineLevel="1" x14ac:dyDescent="0.25">
      <c r="B129" s="70" t="s">
        <v>157</v>
      </c>
      <c r="C129" s="126">
        <f>C108+C118+C128</f>
        <v>2220</v>
      </c>
      <c r="D129" s="126">
        <f t="shared" ref="D129:G129" si="83">D108+D118+D128</f>
        <v>648</v>
      </c>
      <c r="E129" s="126">
        <f t="shared" si="83"/>
        <v>-293</v>
      </c>
      <c r="F129" s="126">
        <f t="shared" si="83"/>
        <v>20773</v>
      </c>
      <c r="G129" s="126">
        <f t="shared" si="83"/>
        <v>-16389</v>
      </c>
      <c r="I129" s="64">
        <f t="shared" si="79"/>
        <v>-0.70810810810810809</v>
      </c>
      <c r="J129" s="65">
        <f t="shared" si="79"/>
        <v>-1.4521604938271606</v>
      </c>
      <c r="K129" s="65">
        <f t="shared" si="79"/>
        <v>-71.897610921501709</v>
      </c>
      <c r="L129" s="66">
        <f t="shared" si="79"/>
        <v>-1.7889568189476726</v>
      </c>
      <c r="N129" s="128">
        <f>+C129/C130</f>
        <v>0.16352386564525634</v>
      </c>
      <c r="O129" s="129">
        <f t="shared" ref="O129:R129" si="84">+D129/D130</f>
        <v>4.5556805399325086E-2</v>
      </c>
      <c r="P129" s="129">
        <f t="shared" si="84"/>
        <v>-2.1032230277797718E-2</v>
      </c>
      <c r="Q129" s="129">
        <f t="shared" si="84"/>
        <v>0.59857653296449975</v>
      </c>
      <c r="R129" s="130">
        <f t="shared" si="84"/>
        <v>-0.89484029484029481</v>
      </c>
      <c r="S129" s="65"/>
      <c r="T129" s="65"/>
    </row>
    <row r="130" spans="2:20" s="63" customFormat="1" ht="15.75" outlineLevel="1" thickBot="1" x14ac:dyDescent="0.3">
      <c r="B130" s="88" t="s">
        <v>123</v>
      </c>
      <c r="C130" s="131">
        <f>C90+C108+C118+C128</f>
        <v>13576</v>
      </c>
      <c r="D130" s="131">
        <f>D90+D108+D118+D128</f>
        <v>14224</v>
      </c>
      <c r="E130" s="131">
        <f>+E90+E108+E118+E128</f>
        <v>13931</v>
      </c>
      <c r="F130" s="131">
        <f>+F90+F108+F118+F128</f>
        <v>34704</v>
      </c>
      <c r="G130" s="132">
        <f>+G90+G108+G118+G128</f>
        <v>18315</v>
      </c>
      <c r="I130" s="91">
        <f t="shared" si="79"/>
        <v>4.7731290512669444E-2</v>
      </c>
      <c r="J130" s="92">
        <f t="shared" si="79"/>
        <v>-2.0598987626546661E-2</v>
      </c>
      <c r="K130" s="92">
        <f t="shared" si="79"/>
        <v>1.4911348790467303</v>
      </c>
      <c r="L130" s="93">
        <f t="shared" si="79"/>
        <v>-0.47225103734439833</v>
      </c>
      <c r="N130" s="94">
        <f>+C130/C130</f>
        <v>1</v>
      </c>
      <c r="O130" s="95">
        <f t="shared" ref="O130:R130" si="85">+D130/D130</f>
        <v>1</v>
      </c>
      <c r="P130" s="95">
        <f t="shared" si="85"/>
        <v>1</v>
      </c>
      <c r="Q130" s="95">
        <f t="shared" si="85"/>
        <v>1</v>
      </c>
      <c r="R130" s="96">
        <f t="shared" si="85"/>
        <v>1</v>
      </c>
      <c r="S130" s="65"/>
      <c r="T130" s="65"/>
    </row>
    <row r="131" spans="2:20" ht="15.75" outlineLevel="1" thickTop="1" x14ac:dyDescent="0.25">
      <c r="B131" s="101" t="s">
        <v>124</v>
      </c>
      <c r="C131" s="133"/>
      <c r="D131" s="133"/>
      <c r="E131" s="133"/>
      <c r="F131" s="133"/>
      <c r="G131" s="134"/>
      <c r="I131" s="85"/>
      <c r="J131" s="102"/>
      <c r="K131" s="102"/>
      <c r="L131" s="103"/>
      <c r="N131" s="79"/>
      <c r="O131" s="80"/>
      <c r="P131" s="80"/>
      <c r="Q131" s="80"/>
      <c r="R131" s="81"/>
    </row>
    <row r="132" spans="2:20" outlineLevel="1" x14ac:dyDescent="0.25">
      <c r="B132" s="49" t="s">
        <v>125</v>
      </c>
      <c r="C132" s="135"/>
      <c r="D132" s="135"/>
      <c r="E132" s="135"/>
      <c r="F132" s="135"/>
      <c r="G132" s="136"/>
      <c r="I132" s="47"/>
      <c r="J132" s="38"/>
      <c r="K132" s="38"/>
      <c r="L132" s="48"/>
      <c r="N132" s="52">
        <f t="shared" ref="N132:R133" si="86">C132/C$9</f>
        <v>0</v>
      </c>
      <c r="O132" s="53">
        <f t="shared" si="86"/>
        <v>0</v>
      </c>
      <c r="P132" s="53">
        <f t="shared" si="86"/>
        <v>0</v>
      </c>
      <c r="Q132" s="53">
        <f t="shared" si="86"/>
        <v>0</v>
      </c>
      <c r="R132" s="54">
        <f t="shared" si="86"/>
        <v>0</v>
      </c>
    </row>
    <row r="133" spans="2:20" outlineLevel="1" x14ac:dyDescent="0.25">
      <c r="B133" s="137" t="s">
        <v>126</v>
      </c>
      <c r="C133" s="138"/>
      <c r="D133" s="138"/>
      <c r="E133" s="138"/>
      <c r="F133" s="138"/>
      <c r="G133" s="139"/>
      <c r="I133" s="57"/>
      <c r="J133" s="58"/>
      <c r="K133" s="58"/>
      <c r="L133" s="59"/>
      <c r="N133" s="79">
        <f t="shared" si="86"/>
        <v>0</v>
      </c>
      <c r="O133" s="80">
        <f t="shared" si="86"/>
        <v>0</v>
      </c>
      <c r="P133" s="80">
        <f t="shared" si="86"/>
        <v>0</v>
      </c>
      <c r="Q133" s="80">
        <f t="shared" si="86"/>
        <v>0</v>
      </c>
      <c r="R133" s="81">
        <f t="shared" si="86"/>
        <v>0</v>
      </c>
    </row>
  </sheetData>
  <mergeCells count="13">
    <mergeCell ref="I87:L87"/>
    <mergeCell ref="N87:R87"/>
    <mergeCell ref="C88:G88"/>
    <mergeCell ref="I88:L88"/>
    <mergeCell ref="N88:R88"/>
    <mergeCell ref="C35:G35"/>
    <mergeCell ref="I35:L35"/>
    <mergeCell ref="N35:R35"/>
    <mergeCell ref="I3:L3"/>
    <mergeCell ref="N3:R3"/>
    <mergeCell ref="C4:G4"/>
    <mergeCell ref="I34:L34"/>
    <mergeCell ref="N34:R34"/>
  </mergeCells>
  <pageMargins left="0.7" right="0.7" top="0.75" bottom="0.75" header="0.3" footer="0.3"/>
  <pageSetup scale="36" orientation="portrait" r:id="rId1"/>
  <rowBreaks count="1" manualBreakCount="1">
    <brk id="45" max="17"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B11B-2054-48DB-BB84-5B83AB43ECDF}">
  <sheetPr>
    <tabColor theme="9" tint="0.39997558519241921"/>
  </sheetPr>
  <dimension ref="B1:R137"/>
  <sheetViews>
    <sheetView showGridLines="0" tabSelected="1" zoomScaleNormal="100" zoomScaleSheetLayoutView="100" workbookViewId="0">
      <selection activeCell="E135" sqref="E135"/>
    </sheetView>
  </sheetViews>
  <sheetFormatPr defaultColWidth="8.7109375" defaultRowHeight="15" outlineLevelRow="1" x14ac:dyDescent="0.25"/>
  <cols>
    <col min="1" max="1" width="2.7109375" style="2" customWidth="1"/>
    <col min="2" max="2" width="65.7109375" style="4" bestFit="1" customWidth="1"/>
    <col min="3" max="3" width="9.7109375" style="4" hidden="1" customWidth="1"/>
    <col min="4" max="4" width="8.140625" style="4" hidden="1" customWidth="1"/>
    <col min="5" max="7" width="11.7109375" style="4" customWidth="1"/>
    <col min="8" max="8" width="14.28515625" style="4" bestFit="1" customWidth="1"/>
    <col min="9" max="9" width="12.5703125" style="2" bestFit="1" customWidth="1"/>
    <col min="10" max="10" width="12.85546875" style="2" customWidth="1"/>
    <col min="11" max="11" width="13.42578125" style="2" customWidth="1"/>
    <col min="12" max="12" width="12.5703125" style="2" bestFit="1" customWidth="1"/>
    <col min="13" max="13" width="9.42578125" style="2" bestFit="1" customWidth="1"/>
    <col min="14" max="16384" width="8.7109375" style="2"/>
  </cols>
  <sheetData>
    <row r="1" spans="2:18" ht="18.75" x14ac:dyDescent="0.3">
      <c r="B1" s="3" t="str">
        <f>"Financial Analysis of "&amp;'Summary Stock Performance'!C6</f>
        <v>Financial Analysis of MICROSOFT CORP</v>
      </c>
      <c r="H1" s="162"/>
    </row>
    <row r="2" spans="2:18" x14ac:dyDescent="0.25">
      <c r="B2" s="5" t="s">
        <v>4</v>
      </c>
    </row>
    <row r="3" spans="2:18" x14ac:dyDescent="0.25">
      <c r="E3" s="163">
        <f t="shared" ref="E3:L3" si="0">+E61-E91</f>
        <v>0</v>
      </c>
      <c r="F3" s="163">
        <f t="shared" si="0"/>
        <v>0</v>
      </c>
      <c r="G3" s="163">
        <f t="shared" si="0"/>
        <v>0</v>
      </c>
      <c r="H3" s="163">
        <f t="shared" si="0"/>
        <v>-3302.455523173674</v>
      </c>
      <c r="I3" s="163">
        <f t="shared" si="0"/>
        <v>-1032.8407700750977</v>
      </c>
      <c r="J3" s="163">
        <f t="shared" si="0"/>
        <v>1365.8461213125847</v>
      </c>
      <c r="K3" s="163">
        <f t="shared" si="0"/>
        <v>3826.5821482227184</v>
      </c>
      <c r="L3" s="163">
        <f t="shared" si="0"/>
        <v>6263.46745815943</v>
      </c>
    </row>
    <row r="4" spans="2:18" ht="17.25" x14ac:dyDescent="0.4">
      <c r="B4" s="140"/>
      <c r="C4" s="546" t="s">
        <v>48</v>
      </c>
      <c r="D4" s="546"/>
      <c r="E4" s="546"/>
      <c r="F4" s="546"/>
      <c r="G4" s="546"/>
      <c r="H4" s="547" t="s">
        <v>158</v>
      </c>
      <c r="I4" s="547"/>
      <c r="J4" s="547"/>
      <c r="K4" s="547"/>
      <c r="L4" s="548"/>
    </row>
    <row r="5" spans="2:18" ht="15.75" thickBot="1" x14ac:dyDescent="0.3">
      <c r="B5" s="150" t="s">
        <v>49</v>
      </c>
      <c r="C5" s="155">
        <v>2017</v>
      </c>
      <c r="D5" s="155">
        <v>2018</v>
      </c>
      <c r="E5" s="219">
        <v>2022</v>
      </c>
      <c r="F5" s="219">
        <f>E5+1</f>
        <v>2023</v>
      </c>
      <c r="G5" s="219">
        <f>F5+1</f>
        <v>2024</v>
      </c>
      <c r="H5" s="219">
        <f t="shared" ref="H5:L5" si="1">G5+1</f>
        <v>2025</v>
      </c>
      <c r="I5" s="219">
        <f t="shared" si="1"/>
        <v>2026</v>
      </c>
      <c r="J5" s="219">
        <f t="shared" si="1"/>
        <v>2027</v>
      </c>
      <c r="K5" s="219">
        <f t="shared" si="1"/>
        <v>2028</v>
      </c>
      <c r="L5" s="219">
        <f t="shared" si="1"/>
        <v>2029</v>
      </c>
    </row>
    <row r="6" spans="2:18" outlineLevel="1" x14ac:dyDescent="0.25">
      <c r="B6" s="70" t="s">
        <v>51</v>
      </c>
      <c r="C6" s="63"/>
      <c r="D6" s="63"/>
      <c r="H6" s="166"/>
      <c r="I6" s="167"/>
      <c r="J6" s="167"/>
      <c r="K6" s="167"/>
      <c r="L6" s="432"/>
    </row>
    <row r="7" spans="2:18" outlineLevel="1" x14ac:dyDescent="0.25">
      <c r="B7" s="49" t="s">
        <v>52</v>
      </c>
      <c r="C7" s="120">
        <v>196534</v>
      </c>
      <c r="D7" s="120">
        <v>225847</v>
      </c>
      <c r="E7" s="50">
        <v>72732</v>
      </c>
      <c r="F7" s="50">
        <v>64699</v>
      </c>
      <c r="G7" s="50">
        <v>64773</v>
      </c>
      <c r="H7" s="169">
        <f>25%*'Revenue Analysis'!G8</f>
        <v>71787.72</v>
      </c>
      <c r="I7" s="169">
        <f>25%*'Revenue Analysis'!H8</f>
        <v>82983.947999999989</v>
      </c>
      <c r="J7" s="169">
        <f>25%*'Revenue Analysis'!I8</f>
        <v>94600.526639999996</v>
      </c>
      <c r="K7" s="169">
        <f>25%*'Revenue Analysis'!J8</f>
        <v>106292.88910080002</v>
      </c>
      <c r="L7" s="170">
        <f>25%*'Revenue Analysis'!K8</f>
        <v>117651.49565097602</v>
      </c>
      <c r="M7" s="431"/>
      <c r="N7" s="431"/>
      <c r="O7" s="431"/>
    </row>
    <row r="8" spans="2:18" outlineLevel="1" x14ac:dyDescent="0.25">
      <c r="B8" s="49" t="s">
        <v>53</v>
      </c>
      <c r="C8" s="71">
        <v>32700</v>
      </c>
      <c r="D8" s="71">
        <v>39748</v>
      </c>
      <c r="E8" s="55">
        <v>125538</v>
      </c>
      <c r="F8" s="55">
        <v>147216</v>
      </c>
      <c r="G8" s="55">
        <v>180348</v>
      </c>
      <c r="H8" s="169">
        <f>75%*'Revenue Analysis'!G8</f>
        <v>215363.16</v>
      </c>
      <c r="I8" s="169">
        <f>75%*'Revenue Analysis'!H8</f>
        <v>248951.84399999998</v>
      </c>
      <c r="J8" s="169">
        <f>75%*'Revenue Analysis'!I8</f>
        <v>283801.57991999999</v>
      </c>
      <c r="K8" s="169">
        <f>75%*'Revenue Analysis'!J8</f>
        <v>318878.66730240005</v>
      </c>
      <c r="L8" s="433">
        <f>75%*'Revenue Analysis'!K8</f>
        <v>352954.48695292807</v>
      </c>
      <c r="M8" s="431"/>
      <c r="N8" s="431"/>
      <c r="O8" s="431"/>
    </row>
    <row r="9" spans="2:18" outlineLevel="1" x14ac:dyDescent="0.25">
      <c r="B9" s="60" t="s">
        <v>54</v>
      </c>
      <c r="C9" s="61">
        <f>SUM(C7:C8)</f>
        <v>229234</v>
      </c>
      <c r="D9" s="61">
        <f>SUM(D7:D8)</f>
        <v>265595</v>
      </c>
      <c r="E9" s="61">
        <f>SUM(E7:E8)</f>
        <v>198270</v>
      </c>
      <c r="F9" s="61">
        <f t="shared" ref="F9:L9" si="2">SUM(F7:F8)</f>
        <v>211915</v>
      </c>
      <c r="G9" s="61">
        <f t="shared" si="2"/>
        <v>245121</v>
      </c>
      <c r="H9" s="171">
        <f t="shared" si="2"/>
        <v>287150.88</v>
      </c>
      <c r="I9" s="171">
        <f t="shared" si="2"/>
        <v>331935.79199999996</v>
      </c>
      <c r="J9" s="171">
        <f t="shared" si="2"/>
        <v>378402.10655999999</v>
      </c>
      <c r="K9" s="171">
        <f t="shared" si="2"/>
        <v>425171.55640320008</v>
      </c>
      <c r="L9" s="172">
        <f t="shared" si="2"/>
        <v>470605.98260390409</v>
      </c>
      <c r="M9" s="195"/>
    </row>
    <row r="10" spans="2:18" outlineLevel="1" x14ac:dyDescent="0.25">
      <c r="B10" s="70" t="s">
        <v>55</v>
      </c>
      <c r="C10" s="71"/>
      <c r="D10" s="71"/>
      <c r="E10" s="71"/>
      <c r="F10" s="71"/>
      <c r="G10" s="71"/>
      <c r="H10" s="173"/>
      <c r="I10" s="174"/>
      <c r="J10" s="174"/>
      <c r="K10" s="174"/>
      <c r="L10" s="175"/>
    </row>
    <row r="11" spans="2:18" outlineLevel="1" x14ac:dyDescent="0.25">
      <c r="B11" s="49" t="s">
        <v>52</v>
      </c>
      <c r="C11" s="71">
        <v>126337</v>
      </c>
      <c r="D11" s="71">
        <v>148164</v>
      </c>
      <c r="E11" s="55">
        <v>19064</v>
      </c>
      <c r="F11" s="55">
        <v>17804</v>
      </c>
      <c r="G11" s="55">
        <v>15272</v>
      </c>
      <c r="H11" s="169">
        <f>H7*Assumptions!F9</f>
        <v>18499.030502004309</v>
      </c>
      <c r="I11" s="169">
        <f>I7*Assumptions!G9</f>
        <v>20554.355271257446</v>
      </c>
      <c r="J11" s="169">
        <f>J7*Assumptions!H9</f>
        <v>22485.66893409254</v>
      </c>
      <c r="K11" s="169">
        <f>K7*Assumptions!I9</f>
        <v>24201.906298167462</v>
      </c>
      <c r="L11" s="169">
        <f>L7*Assumptions!J9</f>
        <v>25611.64084273596</v>
      </c>
    </row>
    <row r="12" spans="2:18" outlineLevel="1" x14ac:dyDescent="0.25">
      <c r="B12" s="49" t="s">
        <v>53</v>
      </c>
      <c r="C12" s="71">
        <v>14711</v>
      </c>
      <c r="D12" s="71">
        <v>15592</v>
      </c>
      <c r="E12" s="55">
        <v>43586</v>
      </c>
      <c r="F12" s="55">
        <v>48059</v>
      </c>
      <c r="G12" s="55">
        <v>58842</v>
      </c>
      <c r="H12" s="169">
        <f>H8*Assumptions!F17</f>
        <v>71781.63089797154</v>
      </c>
      <c r="I12" s="169">
        <f>I8*Assumptions!G17</f>
        <v>77997.872343366646</v>
      </c>
      <c r="J12" s="169">
        <f>J8*Assumptions!H17</f>
        <v>83240.439337424541</v>
      </c>
      <c r="K12" s="169">
        <f>K8*Assumptions!I17</f>
        <v>87151.153199683395</v>
      </c>
      <c r="L12" s="169">
        <f>L8*Assumptions!J17</f>
        <v>89405.157384062695</v>
      </c>
    </row>
    <row r="13" spans="2:18" outlineLevel="1" x14ac:dyDescent="0.25">
      <c r="B13" s="60" t="s">
        <v>56</v>
      </c>
      <c r="C13" s="61">
        <f t="shared" ref="C13:D13" si="3">SUM(C11:C12)</f>
        <v>141048</v>
      </c>
      <c r="D13" s="61">
        <f t="shared" si="3"/>
        <v>163756</v>
      </c>
      <c r="E13" s="61">
        <f>SUM(E11:E12)</f>
        <v>62650</v>
      </c>
      <c r="F13" s="61">
        <f t="shared" ref="F13:L13" si="4">SUM(F11:F12)</f>
        <v>65863</v>
      </c>
      <c r="G13" s="61">
        <f t="shared" si="4"/>
        <v>74114</v>
      </c>
      <c r="H13" s="171">
        <f t="shared" si="4"/>
        <v>90280.661399975856</v>
      </c>
      <c r="I13" s="171">
        <f t="shared" si="4"/>
        <v>98552.227614624091</v>
      </c>
      <c r="J13" s="171">
        <f t="shared" si="4"/>
        <v>105726.10827151708</v>
      </c>
      <c r="K13" s="171">
        <f t="shared" si="4"/>
        <v>111353.05949785086</v>
      </c>
      <c r="L13" s="172">
        <f t="shared" si="4"/>
        <v>115016.79822679865</v>
      </c>
    </row>
    <row r="14" spans="2:18" outlineLevel="1" x14ac:dyDescent="0.25">
      <c r="B14" s="41" t="s">
        <v>57</v>
      </c>
      <c r="C14" s="61">
        <f t="shared" ref="C14:D14" si="5">C9-C13</f>
        <v>88186</v>
      </c>
      <c r="D14" s="61">
        <f t="shared" si="5"/>
        <v>101839</v>
      </c>
      <c r="E14" s="61">
        <f>E9-E13</f>
        <v>135620</v>
      </c>
      <c r="F14" s="61">
        <f>F9-F13</f>
        <v>146052</v>
      </c>
      <c r="G14" s="61">
        <f>G9-G13</f>
        <v>171007</v>
      </c>
      <c r="H14" s="171">
        <f t="shared" ref="H14:L14" si="6">H9-H13</f>
        <v>196870.21860002415</v>
      </c>
      <c r="I14" s="171">
        <f t="shared" si="6"/>
        <v>233383.56438537588</v>
      </c>
      <c r="J14" s="171">
        <f t="shared" si="6"/>
        <v>272675.99828848289</v>
      </c>
      <c r="K14" s="171">
        <f t="shared" si="6"/>
        <v>313818.4969053492</v>
      </c>
      <c r="L14" s="172">
        <f t="shared" si="6"/>
        <v>355589.18437710544</v>
      </c>
      <c r="M14" s="454"/>
      <c r="N14" s="454"/>
      <c r="O14" s="176"/>
      <c r="P14" s="176"/>
      <c r="Q14" s="176"/>
      <c r="R14" s="176"/>
    </row>
    <row r="15" spans="2:18" outlineLevel="1" x14ac:dyDescent="0.25">
      <c r="B15" s="70" t="s">
        <v>58</v>
      </c>
      <c r="C15" s="71"/>
      <c r="D15" s="71"/>
      <c r="E15" s="71"/>
      <c r="F15" s="71"/>
      <c r="G15" s="71"/>
      <c r="H15" s="173"/>
      <c r="I15" s="174"/>
      <c r="J15" s="174"/>
      <c r="K15" s="174"/>
      <c r="L15" s="175"/>
    </row>
    <row r="16" spans="2:18" outlineLevel="1" x14ac:dyDescent="0.25">
      <c r="B16" s="49" t="s">
        <v>59</v>
      </c>
      <c r="C16" s="71">
        <v>11581</v>
      </c>
      <c r="D16" s="71">
        <v>14236</v>
      </c>
      <c r="E16" s="55">
        <v>24512</v>
      </c>
      <c r="F16" s="55">
        <v>27195</v>
      </c>
      <c r="G16" s="55">
        <v>29510</v>
      </c>
      <c r="H16" s="169">
        <f>H9*Assumptions!F25</f>
        <v>35640.082850503342</v>
      </c>
      <c r="I16" s="169">
        <f>I9*Assumptions!G25</f>
        <v>41198.617005552769</v>
      </c>
      <c r="J16" s="169">
        <f>J9*Assumptions!H25</f>
        <v>46965.840496826597</v>
      </c>
      <c r="K16" s="169">
        <f>K9*Assumptions!I25</f>
        <v>52770.687994713808</v>
      </c>
      <c r="L16" s="169">
        <f>L9*Assumptions!J25</f>
        <v>58409.837399577802</v>
      </c>
    </row>
    <row r="17" spans="2:12" outlineLevel="1" x14ac:dyDescent="0.25">
      <c r="B17" s="49" t="s">
        <v>60</v>
      </c>
      <c r="C17" s="71">
        <v>15261</v>
      </c>
      <c r="D17" s="71">
        <v>16705</v>
      </c>
      <c r="E17" s="55">
        <v>27725</v>
      </c>
      <c r="F17" s="55">
        <v>30334</v>
      </c>
      <c r="G17" s="55">
        <v>32065</v>
      </c>
      <c r="H17" s="169">
        <f>H9*Assumptions!F33</f>
        <v>39606.702891713001</v>
      </c>
      <c r="I17" s="169">
        <f>I9*Assumptions!G33</f>
        <v>45783.882998615372</v>
      </c>
      <c r="J17" s="169">
        <f>J9*Assumptions!H33</f>
        <v>52192.978855298104</v>
      </c>
      <c r="K17" s="169">
        <f>K9*Assumptions!I33</f>
        <v>58643.886142604686</v>
      </c>
      <c r="L17" s="169">
        <f>L9*Assumptions!J33</f>
        <v>64910.653702525604</v>
      </c>
    </row>
    <row r="18" spans="2:12" outlineLevel="1" x14ac:dyDescent="0.25">
      <c r="B18" s="60" t="s">
        <v>61</v>
      </c>
      <c r="C18" s="61">
        <f t="shared" ref="C18:D18" si="7">SUM(C16:C17)</f>
        <v>26842</v>
      </c>
      <c r="D18" s="61">
        <f t="shared" si="7"/>
        <v>30941</v>
      </c>
      <c r="E18" s="61">
        <f>SUM(E16:E17)</f>
        <v>52237</v>
      </c>
      <c r="F18" s="61">
        <f t="shared" ref="F18:G18" si="8">SUM(F16:F17)</f>
        <v>57529</v>
      </c>
      <c r="G18" s="61">
        <f t="shared" si="8"/>
        <v>61575</v>
      </c>
      <c r="H18" s="171">
        <f>SUM(H16:H17)</f>
        <v>75246.785742216336</v>
      </c>
      <c r="I18" s="171">
        <f t="shared" ref="I18:L18" si="9">SUM(I16:I17)</f>
        <v>86982.500004168134</v>
      </c>
      <c r="J18" s="171">
        <f t="shared" si="9"/>
        <v>99158.819352124701</v>
      </c>
      <c r="K18" s="171">
        <f t="shared" si="9"/>
        <v>111414.5741373185</v>
      </c>
      <c r="L18" s="172">
        <f t="shared" si="9"/>
        <v>123320.49110210341</v>
      </c>
    </row>
    <row r="19" spans="2:12" outlineLevel="1" x14ac:dyDescent="0.25">
      <c r="B19" s="41" t="s">
        <v>62</v>
      </c>
      <c r="C19" s="61">
        <f t="shared" ref="C19:D19" si="10">+C14-C18</f>
        <v>61344</v>
      </c>
      <c r="D19" s="61">
        <f t="shared" si="10"/>
        <v>70898</v>
      </c>
      <c r="E19" s="61">
        <f>+E14-E18</f>
        <v>83383</v>
      </c>
      <c r="F19" s="61">
        <f t="shared" ref="F19:G19" si="11">+F14-F18</f>
        <v>88523</v>
      </c>
      <c r="G19" s="61">
        <f t="shared" si="11"/>
        <v>109432</v>
      </c>
      <c r="H19" s="171">
        <f>+H14-H18</f>
        <v>121623.43285780781</v>
      </c>
      <c r="I19" s="171">
        <f t="shared" ref="I19:L19" si="12">+I14-I18</f>
        <v>146401.06438120775</v>
      </c>
      <c r="J19" s="171">
        <f t="shared" si="12"/>
        <v>173517.17893635819</v>
      </c>
      <c r="K19" s="171">
        <f t="shared" si="12"/>
        <v>202403.92276803069</v>
      </c>
      <c r="L19" s="172">
        <f t="shared" si="12"/>
        <v>232268.69327500204</v>
      </c>
    </row>
    <row r="20" spans="2:12" outlineLevel="1" x14ac:dyDescent="0.25">
      <c r="B20" s="45" t="s">
        <v>159</v>
      </c>
      <c r="C20" s="105"/>
      <c r="D20" s="105"/>
      <c r="E20" s="55">
        <v>2094</v>
      </c>
      <c r="F20" s="55">
        <v>2994</v>
      </c>
      <c r="G20" s="55">
        <v>3157</v>
      </c>
      <c r="H20" s="169">
        <f>'Supporting Schedules'!F112</f>
        <v>8891.3175418246301</v>
      </c>
      <c r="I20" s="169">
        <f>'Supporting Schedules'!G112</f>
        <v>18377.936709858732</v>
      </c>
      <c r="J20" s="169">
        <f>'Supporting Schedules'!H112</f>
        <v>25012.265714177938</v>
      </c>
      <c r="K20" s="169">
        <f>'Supporting Schedules'!I112</f>
        <v>33993.711291989668</v>
      </c>
      <c r="L20" s="169">
        <f>'Supporting Schedules'!J112</f>
        <v>45686.550002640564</v>
      </c>
    </row>
    <row r="21" spans="2:12" outlineLevel="1" x14ac:dyDescent="0.25">
      <c r="B21" s="45" t="s">
        <v>160</v>
      </c>
      <c r="C21" s="105"/>
      <c r="D21" s="105"/>
      <c r="E21" s="55">
        <v>-2063</v>
      </c>
      <c r="F21" s="55">
        <v>-1968</v>
      </c>
      <c r="G21" s="55">
        <v>-2935</v>
      </c>
      <c r="H21" s="169">
        <f>'Supporting Schedules'!F107</f>
        <v>2743.5658824140442</v>
      </c>
      <c r="I21" s="169">
        <f>'Supporting Schedules'!G107</f>
        <v>2842.1317648280879</v>
      </c>
      <c r="J21" s="169">
        <f>'Supporting Schedules'!H107</f>
        <v>2842.1317648280879</v>
      </c>
      <c r="K21" s="169">
        <f>'Supporting Schedules'!I107</f>
        <v>2842.1317648280879</v>
      </c>
      <c r="L21" s="169">
        <f>'Supporting Schedules'!J107</f>
        <v>2842.1317648280879</v>
      </c>
    </row>
    <row r="22" spans="2:12" outlineLevel="1" x14ac:dyDescent="0.25">
      <c r="B22" s="45" t="s">
        <v>161</v>
      </c>
      <c r="C22" s="105"/>
      <c r="D22" s="105"/>
      <c r="E22" s="55">
        <v>333</v>
      </c>
      <c r="F22" s="55">
        <v>788</v>
      </c>
      <c r="G22" s="55">
        <v>-1646</v>
      </c>
      <c r="H22" s="173">
        <f>G22*(1+0.1)</f>
        <v>-1810.6000000000001</v>
      </c>
      <c r="I22" s="173">
        <f t="shared" ref="I22:L22" si="13">H22*(1+0.1)</f>
        <v>-1991.6600000000003</v>
      </c>
      <c r="J22" s="173">
        <f t="shared" si="13"/>
        <v>-2190.8260000000005</v>
      </c>
      <c r="K22" s="173">
        <f t="shared" si="13"/>
        <v>-2409.9086000000007</v>
      </c>
      <c r="L22" s="177">
        <f t="shared" si="13"/>
        <v>-2650.899460000001</v>
      </c>
    </row>
    <row r="23" spans="2:12" outlineLevel="1" x14ac:dyDescent="0.25">
      <c r="B23" s="82" t="s">
        <v>162</v>
      </c>
      <c r="C23" s="123">
        <v>2745</v>
      </c>
      <c r="D23" s="123">
        <v>2005</v>
      </c>
      <c r="E23" s="123">
        <f>SUM(E20:E22)</f>
        <v>364</v>
      </c>
      <c r="F23" s="123">
        <f t="shared" ref="F23:L23" si="14">SUM(F20:F22)</f>
        <v>1814</v>
      </c>
      <c r="G23" s="123">
        <f t="shared" si="14"/>
        <v>-1424</v>
      </c>
      <c r="H23" s="178">
        <f t="shared" si="14"/>
        <v>9824.2834242386743</v>
      </c>
      <c r="I23" s="178">
        <f t="shared" si="14"/>
        <v>19228.408474686821</v>
      </c>
      <c r="J23" s="178">
        <f t="shared" si="14"/>
        <v>25663.571479006026</v>
      </c>
      <c r="K23" s="178">
        <f t="shared" si="14"/>
        <v>34425.934456817755</v>
      </c>
      <c r="L23" s="179">
        <f t="shared" si="14"/>
        <v>45877.782307468653</v>
      </c>
    </row>
    <row r="24" spans="2:12" outlineLevel="1" x14ac:dyDescent="0.25">
      <c r="B24" s="41" t="s">
        <v>64</v>
      </c>
      <c r="C24" s="61">
        <f>SUM(C19:C23)</f>
        <v>64089</v>
      </c>
      <c r="D24" s="61">
        <f>SUM(D19:D23)</f>
        <v>72903</v>
      </c>
      <c r="E24" s="61">
        <f>+E19+E23</f>
        <v>83747</v>
      </c>
      <c r="F24" s="61">
        <f t="shared" ref="F24:L24" si="15">+F19+F23</f>
        <v>90337</v>
      </c>
      <c r="G24" s="61">
        <f t="shared" si="15"/>
        <v>108008</v>
      </c>
      <c r="H24" s="171">
        <f t="shared" si="15"/>
        <v>131447.71628204649</v>
      </c>
      <c r="I24" s="171">
        <f t="shared" si="15"/>
        <v>165629.47285589456</v>
      </c>
      <c r="J24" s="171">
        <f t="shared" si="15"/>
        <v>199180.75041536422</v>
      </c>
      <c r="K24" s="171">
        <f t="shared" si="15"/>
        <v>236829.85722484844</v>
      </c>
      <c r="L24" s="172">
        <f t="shared" si="15"/>
        <v>278146.47558247071</v>
      </c>
    </row>
    <row r="25" spans="2:12" outlineLevel="1" x14ac:dyDescent="0.25">
      <c r="B25" s="45" t="s">
        <v>65</v>
      </c>
      <c r="C25" s="71">
        <v>15738</v>
      </c>
      <c r="D25" s="71">
        <v>13372</v>
      </c>
      <c r="E25" s="55">
        <v>10978</v>
      </c>
      <c r="F25" s="55">
        <v>16950</v>
      </c>
      <c r="G25" s="55">
        <v>19651</v>
      </c>
      <c r="H25" s="169">
        <f>H24*Assumptions!F41</f>
        <v>39434.314884613945</v>
      </c>
      <c r="I25" s="169">
        <f>I24*Assumptions!G41</f>
        <v>49688.841856768369</v>
      </c>
      <c r="J25" s="169">
        <f>J24*Assumptions!H41</f>
        <v>59754.225124609264</v>
      </c>
      <c r="K25" s="169">
        <f>K24*Assumptions!I41</f>
        <v>71048.95716745453</v>
      </c>
      <c r="L25" s="169">
        <f>L24*Assumptions!J41</f>
        <v>83443.942674741207</v>
      </c>
    </row>
    <row r="26" spans="2:12" outlineLevel="1" x14ac:dyDescent="0.25">
      <c r="B26" s="82" t="s">
        <v>0</v>
      </c>
      <c r="C26" s="83">
        <f t="shared" ref="C26:D26" si="16">C24-C25</f>
        <v>48351</v>
      </c>
      <c r="D26" s="83">
        <f t="shared" si="16"/>
        <v>59531</v>
      </c>
      <c r="E26" s="83">
        <f>E24-E25</f>
        <v>72769</v>
      </c>
      <c r="F26" s="83">
        <f t="shared" ref="F26:L26" si="17">F24-F25</f>
        <v>73387</v>
      </c>
      <c r="G26" s="83">
        <f t="shared" si="17"/>
        <v>88357</v>
      </c>
      <c r="H26" s="180">
        <f t="shared" si="17"/>
        <v>92013.40139743255</v>
      </c>
      <c r="I26" s="180">
        <f t="shared" si="17"/>
        <v>115940.6309991262</v>
      </c>
      <c r="J26" s="180">
        <f t="shared" si="17"/>
        <v>139426.52529075497</v>
      </c>
      <c r="K26" s="180">
        <f t="shared" si="17"/>
        <v>165780.90005739391</v>
      </c>
      <c r="L26" s="181">
        <f t="shared" si="17"/>
        <v>194702.5329077295</v>
      </c>
    </row>
    <row r="27" spans="2:12" outlineLevel="1" x14ac:dyDescent="0.25">
      <c r="B27" s="85" t="s">
        <v>66</v>
      </c>
      <c r="C27" s="182">
        <v>0</v>
      </c>
      <c r="D27" s="182">
        <v>0</v>
      </c>
      <c r="E27" s="86"/>
      <c r="F27" s="86"/>
      <c r="G27" s="86"/>
      <c r="H27" s="166">
        <v>0</v>
      </c>
      <c r="I27" s="167">
        <v>0</v>
      </c>
      <c r="J27" s="167">
        <v>0</v>
      </c>
      <c r="K27" s="167">
        <v>0</v>
      </c>
      <c r="L27" s="168">
        <v>0</v>
      </c>
    </row>
    <row r="28" spans="2:12" ht="15.75" outlineLevel="1" thickBot="1" x14ac:dyDescent="0.3">
      <c r="B28" s="88" t="s">
        <v>67</v>
      </c>
      <c r="C28" s="89">
        <f t="shared" ref="C28:D28" si="18">+C26-C27</f>
        <v>48351</v>
      </c>
      <c r="D28" s="89">
        <f t="shared" si="18"/>
        <v>59531</v>
      </c>
      <c r="E28" s="89">
        <f>+E26-E27</f>
        <v>72769</v>
      </c>
      <c r="F28" s="89">
        <f t="shared" ref="F28:L28" si="19">+F26-F27</f>
        <v>73387</v>
      </c>
      <c r="G28" s="89">
        <f t="shared" si="19"/>
        <v>88357</v>
      </c>
      <c r="H28" s="180">
        <f t="shared" si="19"/>
        <v>92013.40139743255</v>
      </c>
      <c r="I28" s="180">
        <f t="shared" si="19"/>
        <v>115940.6309991262</v>
      </c>
      <c r="J28" s="180">
        <f t="shared" si="19"/>
        <v>139426.52529075497</v>
      </c>
      <c r="K28" s="180">
        <f t="shared" si="19"/>
        <v>165780.90005739391</v>
      </c>
      <c r="L28" s="181">
        <f t="shared" si="19"/>
        <v>194702.5329077295</v>
      </c>
    </row>
    <row r="29" spans="2:12" ht="15.75" outlineLevel="1" thickTop="1" x14ac:dyDescent="0.25">
      <c r="B29" s="45"/>
      <c r="H29" s="166"/>
      <c r="I29" s="167"/>
      <c r="J29" s="167"/>
      <c r="K29" s="167"/>
      <c r="L29" s="168"/>
    </row>
    <row r="30" spans="2:12" outlineLevel="1" x14ac:dyDescent="0.25">
      <c r="B30" s="45"/>
      <c r="H30" s="166"/>
      <c r="I30" s="167"/>
      <c r="J30" s="167"/>
      <c r="K30" s="167"/>
      <c r="L30" s="168"/>
    </row>
    <row r="31" spans="2:12" outlineLevel="1" x14ac:dyDescent="0.25">
      <c r="B31" s="82" t="s">
        <v>68</v>
      </c>
      <c r="C31" s="97"/>
      <c r="D31" s="97"/>
      <c r="E31" s="97"/>
      <c r="F31" s="97"/>
      <c r="G31" s="97"/>
      <c r="H31" s="183"/>
      <c r="I31" s="184"/>
      <c r="J31" s="184"/>
      <c r="K31" s="184"/>
      <c r="L31" s="185"/>
    </row>
    <row r="32" spans="2:12" outlineLevel="1" x14ac:dyDescent="0.25">
      <c r="B32" s="45" t="s">
        <v>69</v>
      </c>
      <c r="C32" s="99">
        <f t="shared" ref="C32:D32" si="20">+C28*10^6/(C36*10^3)</f>
        <v>9.2675402061088974</v>
      </c>
      <c r="D32" s="99">
        <f t="shared" si="20"/>
        <v>12.013414922820202</v>
      </c>
      <c r="E32" s="99">
        <v>9.6999999999999993</v>
      </c>
      <c r="F32" s="99">
        <v>9.7200000000000006</v>
      </c>
      <c r="G32" s="99">
        <v>11.86</v>
      </c>
      <c r="H32" s="186">
        <f>H28/H36</f>
        <v>12.382371335948399</v>
      </c>
      <c r="I32" s="521">
        <f t="shared" ref="I32:L32" si="21">I28/I36</f>
        <v>15.602291885227586</v>
      </c>
      <c r="J32" s="521">
        <f t="shared" si="21"/>
        <v>18.76282132832122</v>
      </c>
      <c r="K32" s="521">
        <f t="shared" si="21"/>
        <v>22.3093661764761</v>
      </c>
      <c r="L32" s="522">
        <f t="shared" si="21"/>
        <v>26.201390513757165</v>
      </c>
    </row>
    <row r="33" spans="2:12" outlineLevel="1" x14ac:dyDescent="0.25">
      <c r="B33" s="45" t="s">
        <v>70</v>
      </c>
      <c r="C33" s="99">
        <f t="shared" ref="C33:D33" si="22">C28*10^6/(C37*10^3)</f>
        <v>9.2067470826545037</v>
      </c>
      <c r="D33" s="99">
        <f t="shared" si="22"/>
        <v>11.905940450498179</v>
      </c>
      <c r="E33" s="99">
        <v>9.65</v>
      </c>
      <c r="F33" s="99">
        <v>9.68</v>
      </c>
      <c r="G33" s="99">
        <v>11.8</v>
      </c>
      <c r="H33" s="186">
        <f>H28/H37</f>
        <v>12.319373597192737</v>
      </c>
      <c r="I33" s="520">
        <f t="shared" ref="I33:L33" si="23">I28/I37</f>
        <v>15.522912170186933</v>
      </c>
      <c r="J33" s="520">
        <f t="shared" si="23"/>
        <v>18.667361800877625</v>
      </c>
      <c r="K33" s="520">
        <f t="shared" si="23"/>
        <v>22.195862907670893</v>
      </c>
      <c r="L33" s="523">
        <f t="shared" si="23"/>
        <v>26.068085809041303</v>
      </c>
    </row>
    <row r="34" spans="2:12" outlineLevel="1" x14ac:dyDescent="0.25">
      <c r="B34" s="45"/>
      <c r="H34" s="166"/>
      <c r="I34" s="167"/>
      <c r="J34" s="167"/>
      <c r="K34" s="167"/>
      <c r="L34" s="168"/>
    </row>
    <row r="35" spans="2:12" outlineLevel="1" x14ac:dyDescent="0.25">
      <c r="B35" s="101" t="s">
        <v>71</v>
      </c>
      <c r="C35" s="102"/>
      <c r="D35" s="102"/>
      <c r="E35" s="519"/>
      <c r="F35" s="102"/>
      <c r="G35" s="102"/>
      <c r="H35" s="166"/>
      <c r="I35" s="167"/>
      <c r="J35" s="167"/>
      <c r="K35" s="167"/>
      <c r="L35" s="168"/>
    </row>
    <row r="36" spans="2:12" outlineLevel="1" x14ac:dyDescent="0.25">
      <c r="B36" s="45" t="s">
        <v>69</v>
      </c>
      <c r="C36" s="71">
        <v>5217242</v>
      </c>
      <c r="D36" s="71">
        <v>4955377</v>
      </c>
      <c r="E36" s="55">
        <v>7496</v>
      </c>
      <c r="F36" s="55">
        <v>7446</v>
      </c>
      <c r="G36" s="55">
        <v>7431</v>
      </c>
      <c r="H36" s="187">
        <v>7431</v>
      </c>
      <c r="I36" s="187">
        <f t="shared" ref="I36:L37" si="24">H36</f>
        <v>7431</v>
      </c>
      <c r="J36" s="187">
        <f t="shared" si="24"/>
        <v>7431</v>
      </c>
      <c r="K36" s="187">
        <f t="shared" si="24"/>
        <v>7431</v>
      </c>
      <c r="L36" s="188">
        <f t="shared" si="24"/>
        <v>7431</v>
      </c>
    </row>
    <row r="37" spans="2:12" outlineLevel="1" x14ac:dyDescent="0.25">
      <c r="B37" s="85" t="s">
        <v>70</v>
      </c>
      <c r="C37" s="182">
        <v>5251692</v>
      </c>
      <c r="D37" s="182">
        <v>5000109</v>
      </c>
      <c r="E37" s="86">
        <v>7540</v>
      </c>
      <c r="F37" s="86">
        <v>7472</v>
      </c>
      <c r="G37" s="86">
        <v>7469</v>
      </c>
      <c r="H37" s="189">
        <v>7469</v>
      </c>
      <c r="I37" s="189">
        <f t="shared" si="24"/>
        <v>7469</v>
      </c>
      <c r="J37" s="189">
        <f t="shared" si="24"/>
        <v>7469</v>
      </c>
      <c r="K37" s="189">
        <f t="shared" si="24"/>
        <v>7469</v>
      </c>
      <c r="L37" s="190">
        <f t="shared" si="24"/>
        <v>7469</v>
      </c>
    </row>
    <row r="38" spans="2:12" x14ac:dyDescent="0.25">
      <c r="B38" s="45"/>
      <c r="E38" s="71"/>
      <c r="F38" s="71"/>
      <c r="G38" s="71"/>
      <c r="H38" s="166"/>
      <c r="I38" s="167"/>
      <c r="J38" s="167"/>
      <c r="K38" s="167"/>
      <c r="L38" s="168"/>
    </row>
    <row r="39" spans="2:12" x14ac:dyDescent="0.25">
      <c r="B39" s="45"/>
      <c r="H39" s="166"/>
      <c r="I39" s="167"/>
      <c r="J39" s="167"/>
      <c r="K39" s="167"/>
      <c r="L39" s="168"/>
    </row>
    <row r="40" spans="2:12" ht="17.25" x14ac:dyDescent="0.4">
      <c r="B40" s="140"/>
      <c r="C40" s="220"/>
      <c r="D40" s="220"/>
      <c r="E40" s="221" t="s">
        <v>48</v>
      </c>
      <c r="F40" s="222"/>
      <c r="G40" s="222"/>
      <c r="H40" s="547" t="s">
        <v>158</v>
      </c>
      <c r="I40" s="547"/>
      <c r="J40" s="547"/>
      <c r="K40" s="547"/>
      <c r="L40" s="548"/>
    </row>
    <row r="41" spans="2:12" ht="15.75" thickBot="1" x14ac:dyDescent="0.3">
      <c r="B41" s="150" t="s">
        <v>72</v>
      </c>
      <c r="C41" s="155">
        <v>2017</v>
      </c>
      <c r="D41" s="155">
        <v>2018</v>
      </c>
      <c r="E41" s="151">
        <v>44926</v>
      </c>
      <c r="F41" s="151">
        <v>45291</v>
      </c>
      <c r="G41" s="151">
        <v>45657</v>
      </c>
      <c r="H41" s="164">
        <v>2022</v>
      </c>
      <c r="I41" s="164">
        <v>2023</v>
      </c>
      <c r="J41" s="164">
        <v>2024</v>
      </c>
      <c r="K41" s="164">
        <v>2025</v>
      </c>
      <c r="L41" s="165">
        <v>2026</v>
      </c>
    </row>
    <row r="42" spans="2:12" outlineLevel="1" x14ac:dyDescent="0.25">
      <c r="B42" s="70" t="s">
        <v>73</v>
      </c>
      <c r="C42" s="63"/>
      <c r="D42" s="63"/>
      <c r="H42" s="482"/>
      <c r="I42" s="483"/>
      <c r="J42" s="483"/>
      <c r="K42" s="483"/>
      <c r="L42" s="432"/>
    </row>
    <row r="43" spans="2:12" outlineLevel="1" x14ac:dyDescent="0.25">
      <c r="B43" s="45" t="s">
        <v>74</v>
      </c>
      <c r="H43" s="460"/>
      <c r="I43" s="167"/>
      <c r="J43" s="167"/>
      <c r="K43" s="167"/>
      <c r="L43" s="168"/>
    </row>
    <row r="44" spans="2:12" outlineLevel="1" x14ac:dyDescent="0.25">
      <c r="B44" s="49" t="s">
        <v>75</v>
      </c>
      <c r="C44" s="120">
        <v>20289</v>
      </c>
      <c r="D44" s="120">
        <v>25913</v>
      </c>
      <c r="E44" s="50">
        <v>13931</v>
      </c>
      <c r="F44" s="50">
        <v>34704</v>
      </c>
      <c r="G44" s="50">
        <v>18315</v>
      </c>
      <c r="H44" s="484">
        <f>213691-79237-3303-138-6.25</f>
        <v>131006.75</v>
      </c>
      <c r="I44" s="434">
        <f>170230-7095+13894+580-47+72.31</f>
        <v>177634.31</v>
      </c>
      <c r="J44" s="434">
        <f>232313+9690+403+18.39</f>
        <v>242424.39</v>
      </c>
      <c r="K44" s="434">
        <f>313989+13877+579+24.68</f>
        <v>328469.68</v>
      </c>
      <c r="L44" s="453">
        <f>418449+19498.19+812-35+68+3</f>
        <v>438795.19</v>
      </c>
    </row>
    <row r="45" spans="2:12" outlineLevel="1" x14ac:dyDescent="0.25">
      <c r="B45" s="49" t="s">
        <v>136</v>
      </c>
      <c r="C45" s="71">
        <v>53892</v>
      </c>
      <c r="D45" s="71">
        <v>40388</v>
      </c>
      <c r="E45" s="55">
        <v>90826</v>
      </c>
      <c r="F45" s="55">
        <v>76558</v>
      </c>
      <c r="G45" s="55">
        <v>57228</v>
      </c>
      <c r="H45" s="458">
        <f>'Supporting Schedules'!F10</f>
        <v>100773.52984226882</v>
      </c>
      <c r="I45" s="169">
        <f>'Supporting Schedules'!G10</f>
        <v>116490.47163229703</v>
      </c>
      <c r="J45" s="169">
        <f>'Supporting Schedules'!H10</f>
        <v>132797.48952119367</v>
      </c>
      <c r="K45" s="169">
        <f>'Supporting Schedules'!I10</f>
        <v>149210.89055092487</v>
      </c>
      <c r="L45" s="170">
        <f>'Supporting Schedules'!J10</f>
        <v>165155.77466412351</v>
      </c>
    </row>
    <row r="46" spans="2:12" outlineLevel="1" x14ac:dyDescent="0.25">
      <c r="B46" s="49" t="s">
        <v>76</v>
      </c>
      <c r="C46" s="71">
        <v>17874</v>
      </c>
      <c r="D46" s="71">
        <v>23186</v>
      </c>
      <c r="E46" s="55">
        <v>50361</v>
      </c>
      <c r="F46" s="55">
        <v>57888</v>
      </c>
      <c r="G46" s="55">
        <v>67424</v>
      </c>
      <c r="H46" s="475">
        <f>'Supporting Schedules'!F11</f>
        <v>76787.246373270973</v>
      </c>
      <c r="I46" s="451">
        <f>'Supporting Schedules'!G11</f>
        <v>88763.215492882431</v>
      </c>
      <c r="J46" s="451">
        <f>'Supporting Schedules'!H11</f>
        <v>101188.80981520047</v>
      </c>
      <c r="K46" s="451">
        <f>'Supporting Schedules'!I11</f>
        <v>113695.46578592967</v>
      </c>
      <c r="L46" s="192">
        <f>'Supporting Schedules'!J11</f>
        <v>125845.12201718224</v>
      </c>
    </row>
    <row r="47" spans="2:12" outlineLevel="1" x14ac:dyDescent="0.25">
      <c r="B47" s="49" t="s">
        <v>77</v>
      </c>
      <c r="C47" s="71">
        <v>4855</v>
      </c>
      <c r="D47" s="71">
        <v>3956</v>
      </c>
      <c r="E47" s="55">
        <v>3742</v>
      </c>
      <c r="F47" s="55">
        <v>2500</v>
      </c>
      <c r="G47" s="55">
        <v>1246</v>
      </c>
      <c r="H47" s="475">
        <f>'Supporting Schedules'!F12</f>
        <v>3710.1641671222956</v>
      </c>
      <c r="I47" s="451">
        <f>'Supporting Schedules'!G12</f>
        <v>4050.0915458064692</v>
      </c>
      <c r="J47" s="451">
        <f>'Supporting Schedules'!H12</f>
        <v>4344.9085591034418</v>
      </c>
      <c r="K47" s="451">
        <f>'Supporting Schedules'!I12</f>
        <v>4576.1531300486658</v>
      </c>
      <c r="L47" s="192">
        <f>'Supporting Schedules'!J12</f>
        <v>4726.7177353478901</v>
      </c>
    </row>
    <row r="48" spans="2:12" outlineLevel="1" x14ac:dyDescent="0.25">
      <c r="B48" s="49" t="s">
        <v>78</v>
      </c>
      <c r="C48" s="71">
        <v>17799</v>
      </c>
      <c r="D48" s="71">
        <v>25809</v>
      </c>
      <c r="E48" s="55">
        <v>14625</v>
      </c>
      <c r="F48" s="55">
        <v>17108</v>
      </c>
      <c r="G48" s="55">
        <v>20421</v>
      </c>
      <c r="H48" s="475">
        <f>'Supporting Schedules'!F13</f>
        <v>22761.819241406807</v>
      </c>
      <c r="I48" s="451">
        <f>'Supporting Schedules'!G13</f>
        <v>26311.820800469799</v>
      </c>
      <c r="J48" s="451">
        <f>'Supporting Schedules'!H13</f>
        <v>29995.10344556937</v>
      </c>
      <c r="K48" s="451">
        <f>'Supporting Schedules'!I13</f>
        <v>33702.414958426176</v>
      </c>
      <c r="L48" s="192">
        <f>'Supporting Schedules'!J13</f>
        <v>37303.90208086669</v>
      </c>
    </row>
    <row r="49" spans="2:13" outlineLevel="1" x14ac:dyDescent="0.25">
      <c r="B49" s="49"/>
      <c r="C49" s="71">
        <v>13936</v>
      </c>
      <c r="D49" s="71">
        <v>12087</v>
      </c>
      <c r="E49" s="55"/>
      <c r="F49" s="55"/>
      <c r="G49" s="55"/>
      <c r="H49" s="485"/>
      <c r="I49" s="486"/>
      <c r="J49" s="486"/>
      <c r="K49" s="486"/>
      <c r="L49" s="487"/>
    </row>
    <row r="50" spans="2:13" outlineLevel="1" x14ac:dyDescent="0.25">
      <c r="B50" s="60" t="s">
        <v>79</v>
      </c>
      <c r="C50" s="123">
        <f t="shared" ref="C50:D50" si="25">SUM(C44:C49)</f>
        <v>128645</v>
      </c>
      <c r="D50" s="123">
        <f t="shared" si="25"/>
        <v>131339</v>
      </c>
      <c r="E50" s="123">
        <f>SUM(E44:E49)</f>
        <v>173485</v>
      </c>
      <c r="F50" s="123">
        <f>SUM(F44:F49)</f>
        <v>188758</v>
      </c>
      <c r="G50" s="123">
        <f>SUM(G44:G49)</f>
        <v>164634</v>
      </c>
      <c r="H50" s="178">
        <f t="shared" ref="H50:L50" si="26">SUM(H44:H49)</f>
        <v>335039.50962406886</v>
      </c>
      <c r="I50" s="193">
        <f t="shared" si="26"/>
        <v>413249.90947145567</v>
      </c>
      <c r="J50" s="193">
        <f t="shared" si="26"/>
        <v>510750.70134106692</v>
      </c>
      <c r="K50" s="193">
        <f t="shared" si="26"/>
        <v>629654.60442532937</v>
      </c>
      <c r="L50" s="194">
        <f t="shared" si="26"/>
        <v>771826.70649752032</v>
      </c>
    </row>
    <row r="51" spans="2:13" outlineLevel="1" x14ac:dyDescent="0.25">
      <c r="B51" s="104"/>
      <c r="C51" s="105"/>
      <c r="D51" s="105"/>
      <c r="E51" s="105"/>
      <c r="F51" s="105"/>
      <c r="G51" s="105"/>
      <c r="H51" s="455"/>
      <c r="I51" s="377"/>
      <c r="J51" s="377"/>
      <c r="K51" s="377"/>
      <c r="L51" s="378"/>
    </row>
    <row r="52" spans="2:13" outlineLevel="1" x14ac:dyDescent="0.25">
      <c r="B52" s="45" t="s">
        <v>80</v>
      </c>
      <c r="C52" s="105"/>
      <c r="D52" s="105"/>
      <c r="E52" s="105"/>
      <c r="F52" s="105"/>
      <c r="G52" s="105"/>
      <c r="H52" s="460"/>
      <c r="I52" s="167"/>
      <c r="J52" s="167"/>
      <c r="K52" s="167"/>
      <c r="L52" s="168"/>
    </row>
    <row r="53" spans="2:13" outlineLevel="1" x14ac:dyDescent="0.25">
      <c r="B53" s="49"/>
      <c r="C53" s="71">
        <v>194714</v>
      </c>
      <c r="D53" s="71">
        <v>170799</v>
      </c>
      <c r="E53" s="55"/>
      <c r="F53" s="55"/>
      <c r="G53" s="55"/>
      <c r="H53" s="475"/>
      <c r="I53" s="451"/>
      <c r="J53" s="451"/>
      <c r="K53" s="451"/>
      <c r="L53" s="192"/>
      <c r="M53" s="195"/>
    </row>
    <row r="54" spans="2:13" outlineLevel="1" x14ac:dyDescent="0.25">
      <c r="B54" s="49" t="s">
        <v>81</v>
      </c>
      <c r="C54" s="71">
        <v>33783</v>
      </c>
      <c r="D54" s="71">
        <v>41304</v>
      </c>
      <c r="E54" s="55">
        <v>87546</v>
      </c>
      <c r="F54" s="55">
        <v>109987</v>
      </c>
      <c r="G54" s="55">
        <v>154552</v>
      </c>
      <c r="H54" s="488">
        <f>Depreciation!E12</f>
        <v>77299.771428571417</v>
      </c>
      <c r="I54" s="489">
        <f>Depreciation!F12</f>
        <v>116684.46857142856</v>
      </c>
      <c r="J54" s="489">
        <f>Depreciation!G12</f>
        <v>157899.07657142857</v>
      </c>
      <c r="K54" s="489">
        <f>Depreciation!H12</f>
        <v>201309.57759999999</v>
      </c>
      <c r="L54" s="490">
        <f>Depreciation!I12</f>
        <v>247355.15026285712</v>
      </c>
      <c r="M54" s="196"/>
    </row>
    <row r="55" spans="2:13" outlineLevel="1" x14ac:dyDescent="0.25">
      <c r="B55" s="49" t="s">
        <v>333</v>
      </c>
      <c r="C55" s="71">
        <v>10162</v>
      </c>
      <c r="D55" s="71">
        <v>22283</v>
      </c>
      <c r="E55" s="55">
        <v>6891</v>
      </c>
      <c r="F55" s="55">
        <v>9879</v>
      </c>
      <c r="G55" s="55">
        <v>14600</v>
      </c>
      <c r="H55" s="475">
        <f>'Supporting Schedules'!F16</f>
        <v>13489.946726280292</v>
      </c>
      <c r="I55" s="451">
        <f>'Supporting Schedules'!G16</f>
        <v>15593.879254786387</v>
      </c>
      <c r="J55" s="451">
        <f>'Supporting Schedules'!H16</f>
        <v>17776.801723911267</v>
      </c>
      <c r="K55" s="451">
        <f>'Supporting Schedules'!I16</f>
        <v>19973.965064668599</v>
      </c>
      <c r="L55" s="192">
        <f>'Supporting Schedules'!J16</f>
        <v>22108.410861897606</v>
      </c>
    </row>
    <row r="56" spans="2:13" outlineLevel="1" x14ac:dyDescent="0.25">
      <c r="B56" s="49" t="s">
        <v>82</v>
      </c>
      <c r="C56" s="71"/>
      <c r="D56" s="71"/>
      <c r="E56" s="55">
        <v>67524</v>
      </c>
      <c r="F56" s="55">
        <v>67886</v>
      </c>
      <c r="G56" s="55">
        <v>119220</v>
      </c>
      <c r="H56" s="475">
        <f>'Supporting Schedules'!F17</f>
        <v>109814.47482429008</v>
      </c>
      <c r="I56" s="451">
        <f>'Supporting Schedules'!G17</f>
        <v>126941.46949459039</v>
      </c>
      <c r="J56" s="451">
        <f>'Supporting Schedules'!H17</f>
        <v>144711.47922058066</v>
      </c>
      <c r="K56" s="451">
        <f>'Supporting Schedules'!I17</f>
        <v>162597.41630129583</v>
      </c>
      <c r="L56" s="192">
        <f>'Supporting Schedules'!J17</f>
        <v>179972.80324830182</v>
      </c>
    </row>
    <row r="57" spans="2:13" outlineLevel="1" x14ac:dyDescent="0.25">
      <c r="B57" s="49" t="s">
        <v>83</v>
      </c>
      <c r="C57" s="71"/>
      <c r="D57" s="71"/>
      <c r="E57" s="55">
        <v>11298</v>
      </c>
      <c r="F57" s="55">
        <v>9366</v>
      </c>
      <c r="G57" s="55">
        <v>27597</v>
      </c>
      <c r="H57" s="475">
        <f>'Supporting Schedules'!F18</f>
        <v>20460.943696467511</v>
      </c>
      <c r="I57" s="451">
        <f>'Supporting Schedules'!G18</f>
        <v>23652.093808503567</v>
      </c>
      <c r="J57" s="451">
        <f>'Supporting Schedules'!H18</f>
        <v>26963.052305285848</v>
      </c>
      <c r="K57" s="451">
        <f>'Supporting Schedules'!I18</f>
        <v>30295.610714845581</v>
      </c>
      <c r="L57" s="192">
        <f>'Supporting Schedules'!J18</f>
        <v>33533.041978764792</v>
      </c>
    </row>
    <row r="58" spans="2:13" outlineLevel="1" x14ac:dyDescent="0.25">
      <c r="B58" s="49" t="s">
        <v>334</v>
      </c>
      <c r="C58" s="71"/>
      <c r="D58" s="71"/>
      <c r="E58" s="55">
        <v>13515</v>
      </c>
      <c r="F58" s="55">
        <v>20163</v>
      </c>
      <c r="G58" s="55">
        <v>22270</v>
      </c>
      <c r="H58" s="475">
        <f>'Supporting Schedules'!F19</f>
        <v>24327.839100679801</v>
      </c>
      <c r="I58" s="451">
        <f>'Supporting Schedules'!G19</f>
        <v>28122.081811250991</v>
      </c>
      <c r="J58" s="451">
        <f>'Supporting Schedules'!H19</f>
        <v>32058.775385783156</v>
      </c>
      <c r="K58" s="451">
        <f>'Supporting Schedules'!I19</f>
        <v>36021.151021242418</v>
      </c>
      <c r="L58" s="192">
        <f>'Supporting Schedules'!J19</f>
        <v>39870.421517096154</v>
      </c>
    </row>
    <row r="59" spans="2:13" outlineLevel="1" x14ac:dyDescent="0.25">
      <c r="B59" s="49" t="s">
        <v>335</v>
      </c>
      <c r="C59" s="71"/>
      <c r="D59" s="71"/>
      <c r="E59" s="55">
        <v>4582</v>
      </c>
      <c r="F59" s="55">
        <v>5938</v>
      </c>
      <c r="G59" s="55">
        <v>9290</v>
      </c>
      <c r="H59" s="485">
        <f>'Supporting Schedules'!F20</f>
        <v>8521.701897958761</v>
      </c>
      <c r="I59" s="486">
        <f>'Supporting Schedules'!G20</f>
        <v>9850.7720703723571</v>
      </c>
      <c r="J59" s="486">
        <f>'Supporting Schedules'!H20</f>
        <v>11229.740788758667</v>
      </c>
      <c r="K59" s="486">
        <f>'Supporting Schedules'!I20</f>
        <v>12617.705574014715</v>
      </c>
      <c r="L59" s="487">
        <f>'Supporting Schedules'!J20</f>
        <v>13966.051210243329</v>
      </c>
    </row>
    <row r="60" spans="2:13" ht="15.75" outlineLevel="1" thickBot="1" x14ac:dyDescent="0.3">
      <c r="B60" s="60" t="s">
        <v>85</v>
      </c>
      <c r="C60" s="131">
        <f>SUM(C53:C55)</f>
        <v>238659</v>
      </c>
      <c r="D60" s="61">
        <f>SUM(D53:D55)</f>
        <v>234386</v>
      </c>
      <c r="E60" s="61">
        <f>SUM(E53:E59)</f>
        <v>191356</v>
      </c>
      <c r="F60" s="61">
        <f t="shared" ref="F60:G60" si="27">SUM(F53:F59)</f>
        <v>223219</v>
      </c>
      <c r="G60" s="61">
        <f t="shared" si="27"/>
        <v>347529</v>
      </c>
      <c r="H60" s="178">
        <f>SUM(H54:H59)</f>
        <v>253914.67767424783</v>
      </c>
      <c r="I60" s="178">
        <f>SUM(I54:I59)</f>
        <v>320844.76501093229</v>
      </c>
      <c r="J60" s="178">
        <f>SUM(J54:J59)</f>
        <v>390638.9259957482</v>
      </c>
      <c r="K60" s="178">
        <f>SUM(K54:K59)</f>
        <v>462815.4262760671</v>
      </c>
      <c r="L60" s="178">
        <f>SUM(L54:L59)</f>
        <v>536805.87907916086</v>
      </c>
    </row>
    <row r="61" spans="2:13" ht="16.5" outlineLevel="1" thickTop="1" thickBot="1" x14ac:dyDescent="0.3">
      <c r="B61" s="119" t="s">
        <v>86</v>
      </c>
      <c r="C61" s="131">
        <f t="shared" ref="C61:L61" si="28">+C50+C60</f>
        <v>367304</v>
      </c>
      <c r="D61" s="131">
        <f t="shared" si="28"/>
        <v>365725</v>
      </c>
      <c r="E61" s="131">
        <f t="shared" si="28"/>
        <v>364841</v>
      </c>
      <c r="F61" s="131">
        <f t="shared" si="28"/>
        <v>411977</v>
      </c>
      <c r="G61" s="131">
        <f t="shared" si="28"/>
        <v>512163</v>
      </c>
      <c r="H61" s="197">
        <f t="shared" si="28"/>
        <v>588954.18729831674</v>
      </c>
      <c r="I61" s="198">
        <f t="shared" si="28"/>
        <v>734094.67448238796</v>
      </c>
      <c r="J61" s="198">
        <f t="shared" si="28"/>
        <v>901389.62733681512</v>
      </c>
      <c r="K61" s="198">
        <f t="shared" si="28"/>
        <v>1092470.0307013965</v>
      </c>
      <c r="L61" s="199">
        <f t="shared" si="28"/>
        <v>1308632.5855766812</v>
      </c>
    </row>
    <row r="62" spans="2:13" ht="15.75" outlineLevel="1" thickTop="1" x14ac:dyDescent="0.25">
      <c r="B62" s="104"/>
      <c r="C62" s="105"/>
      <c r="D62" s="105"/>
      <c r="E62" s="105"/>
      <c r="F62" s="105"/>
      <c r="G62" s="105"/>
      <c r="H62" s="491"/>
      <c r="I62" s="450"/>
      <c r="J62" s="450"/>
      <c r="K62" s="450"/>
      <c r="L62" s="492"/>
    </row>
    <row r="63" spans="2:13" outlineLevel="1" x14ac:dyDescent="0.25">
      <c r="B63" s="70" t="s">
        <v>87</v>
      </c>
      <c r="C63" s="71"/>
      <c r="D63" s="71"/>
      <c r="E63" s="71"/>
      <c r="F63" s="71"/>
      <c r="G63" s="71"/>
      <c r="H63" s="460"/>
      <c r="I63" s="167"/>
      <c r="J63" s="167"/>
      <c r="K63" s="167"/>
      <c r="L63" s="168"/>
    </row>
    <row r="64" spans="2:13" outlineLevel="1" x14ac:dyDescent="0.25">
      <c r="B64" s="45" t="s">
        <v>88</v>
      </c>
      <c r="C64" s="71"/>
      <c r="D64" s="71"/>
      <c r="E64" s="71"/>
      <c r="F64" s="71"/>
      <c r="G64" s="71"/>
      <c r="H64" s="460"/>
      <c r="I64" s="167"/>
      <c r="J64" s="167"/>
      <c r="K64" s="167"/>
      <c r="L64" s="168"/>
    </row>
    <row r="65" spans="2:12" outlineLevel="1" x14ac:dyDescent="0.25">
      <c r="B65" s="49" t="s">
        <v>89</v>
      </c>
      <c r="C65" s="71">
        <v>49049</v>
      </c>
      <c r="D65" s="71">
        <v>55888</v>
      </c>
      <c r="E65" s="55">
        <v>19000</v>
      </c>
      <c r="F65" s="55">
        <v>18095</v>
      </c>
      <c r="G65" s="55">
        <v>21996</v>
      </c>
      <c r="H65" s="475">
        <f>'Supporting Schedules'!F22</f>
        <v>20094.801256471928</v>
      </c>
      <c r="I65" s="451">
        <f>'Supporting Schedules'!G22</f>
        <v>21935.898525650202</v>
      </c>
      <c r="J65" s="451">
        <f>'Supporting Schedules'!H22</f>
        <v>23532.671342801401</v>
      </c>
      <c r="K65" s="451">
        <f>'Supporting Schedules'!I22</f>
        <v>24785.126351655254</v>
      </c>
      <c r="L65" s="192">
        <f>'Supporting Schedules'!J22</f>
        <v>25600.606660197442</v>
      </c>
    </row>
    <row r="66" spans="2:12" outlineLevel="1" x14ac:dyDescent="0.25">
      <c r="B66" s="49" t="s">
        <v>130</v>
      </c>
      <c r="C66" s="71">
        <v>11977</v>
      </c>
      <c r="D66" s="71">
        <v>11964</v>
      </c>
      <c r="E66" s="55">
        <v>10661</v>
      </c>
      <c r="F66" s="55">
        <v>11009</v>
      </c>
      <c r="G66" s="55">
        <v>12564</v>
      </c>
      <c r="H66" s="475">
        <f>'Supporting Schedules'!F23</f>
        <v>11693.56984302023</v>
      </c>
      <c r="I66" s="451">
        <f>'Supporting Schedules'!G23</f>
        <v>12764.941449544387</v>
      </c>
      <c r="J66" s="451">
        <f>'Supporting Schedules'!H23</f>
        <v>13694.135733303725</v>
      </c>
      <c r="K66" s="451">
        <f>'Supporting Schedules'!I23</f>
        <v>14422.964545012232</v>
      </c>
      <c r="L66" s="192">
        <f>'Supporting Schedules'!J23</f>
        <v>14897.508971793986</v>
      </c>
    </row>
    <row r="67" spans="2:12" outlineLevel="1" x14ac:dyDescent="0.25">
      <c r="B67" s="49" t="s">
        <v>129</v>
      </c>
      <c r="C67" s="71">
        <v>7548</v>
      </c>
      <c r="D67" s="71">
        <v>5966</v>
      </c>
      <c r="E67" s="55">
        <v>2749</v>
      </c>
      <c r="F67" s="55">
        <v>5247</v>
      </c>
      <c r="G67" s="55">
        <v>2249</v>
      </c>
      <c r="H67" s="475">
        <f>'Supporting Schedules'!F24</f>
        <v>3993.9899060409048</v>
      </c>
      <c r="I67" s="451">
        <f>'Supporting Schedules'!G24</f>
        <v>4359.9215624572244</v>
      </c>
      <c r="J67" s="451">
        <f>'Supporting Schedules'!H24</f>
        <v>4677.2919326612282</v>
      </c>
      <c r="K67" s="451">
        <f>'Supporting Schedules'!I24</f>
        <v>4926.2265998563844</v>
      </c>
      <c r="L67" s="192">
        <f>'Supporting Schedules'!J24</f>
        <v>5088.3093236078139</v>
      </c>
    </row>
    <row r="68" spans="2:12" outlineLevel="1" x14ac:dyDescent="0.25">
      <c r="B68" s="49" t="s">
        <v>336</v>
      </c>
      <c r="C68" s="71"/>
      <c r="D68" s="71"/>
      <c r="E68" s="55">
        <v>3288</v>
      </c>
      <c r="F68" s="55">
        <v>3606</v>
      </c>
      <c r="G68" s="55">
        <v>5929</v>
      </c>
      <c r="H68" s="475">
        <f>'Supporting Schedules'!F25</f>
        <v>3954.8981069580364</v>
      </c>
      <c r="I68" s="451">
        <f>'Supporting Schedules'!G25</f>
        <v>4317.2481502187866</v>
      </c>
      <c r="J68" s="451">
        <f>'Supporting Schedules'!H25</f>
        <v>4631.5122084293362</v>
      </c>
      <c r="K68" s="451">
        <f>'Supporting Schedules'!I25</f>
        <v>4878.0103887470386</v>
      </c>
      <c r="L68" s="192">
        <f>'Supporting Schedules'!J25</f>
        <v>5038.5067025623503</v>
      </c>
    </row>
    <row r="69" spans="2:12" outlineLevel="1" x14ac:dyDescent="0.25">
      <c r="B69" s="49" t="s">
        <v>131</v>
      </c>
      <c r="C69" s="71"/>
      <c r="D69" s="71"/>
      <c r="E69" s="55">
        <v>4067</v>
      </c>
      <c r="F69" s="55">
        <v>4152</v>
      </c>
      <c r="G69" s="55">
        <v>5017</v>
      </c>
      <c r="H69" s="475">
        <f>'Supporting Schedules'!F26</f>
        <v>5797.8286154004236</v>
      </c>
      <c r="I69" s="451">
        <f>'Supporting Schedules'!G26</f>
        <v>6702.0753456621924</v>
      </c>
      <c r="J69" s="451">
        <f>'Supporting Schedules'!H26</f>
        <v>7640.2710712269736</v>
      </c>
      <c r="K69" s="451">
        <f>'Supporting Schedules'!I26</f>
        <v>8584.5873645548581</v>
      </c>
      <c r="L69" s="192">
        <f>'Supporting Schedules'!J26</f>
        <v>9501.9483573219386</v>
      </c>
    </row>
    <row r="70" spans="2:12" outlineLevel="1" x14ac:dyDescent="0.25">
      <c r="B70" s="49" t="s">
        <v>132</v>
      </c>
      <c r="C70" s="71"/>
      <c r="D70" s="71"/>
      <c r="E70" s="55">
        <v>45538</v>
      </c>
      <c r="F70" s="55">
        <v>50901</v>
      </c>
      <c r="G70" s="55">
        <v>57582</v>
      </c>
      <c r="H70" s="475">
        <f>'Supporting Schedules'!F27</f>
        <v>67459.841111243717</v>
      </c>
      <c r="I70" s="451">
        <f>'Supporting Schedules'!G27</f>
        <v>77981.080146628286</v>
      </c>
      <c r="J70" s="451">
        <f>'Supporting Schedules'!H27</f>
        <v>88897.328069123498</v>
      </c>
      <c r="K70" s="451">
        <f>'Supporting Schedules'!I27</f>
        <v>99884.791019898927</v>
      </c>
      <c r="L70" s="192">
        <f>'Supporting Schedules'!J27</f>
        <v>110558.61926127509</v>
      </c>
    </row>
    <row r="71" spans="2:12" outlineLevel="1" x14ac:dyDescent="0.25">
      <c r="B71" s="49" t="s">
        <v>90</v>
      </c>
      <c r="C71" s="71">
        <v>25744</v>
      </c>
      <c r="D71" s="71">
        <v>33327</v>
      </c>
      <c r="E71" s="55">
        <v>9779</v>
      </c>
      <c r="F71" s="55">
        <v>11139</v>
      </c>
      <c r="G71" s="55">
        <v>13256</v>
      </c>
      <c r="H71" s="475">
        <f>'Supporting Schedules'!F28</f>
        <v>11414.261859904524</v>
      </c>
      <c r="I71" s="451">
        <f>'Supporting Schedules'!G28</f>
        <v>12460.0431080862</v>
      </c>
      <c r="J71" s="451">
        <f>'Supporting Schedules'!H28</f>
        <v>13367.043024787103</v>
      </c>
      <c r="K71" s="451">
        <f>'Supporting Schedules'!I28</f>
        <v>14078.46331983494</v>
      </c>
      <c r="L71" s="192">
        <f>'Supporting Schedules'!J28</f>
        <v>14541.672966175602</v>
      </c>
    </row>
    <row r="72" spans="2:12" outlineLevel="1" x14ac:dyDescent="0.25">
      <c r="B72" s="49" t="s">
        <v>91</v>
      </c>
      <c r="C72" s="71"/>
      <c r="D72" s="71"/>
      <c r="E72" s="55">
        <v>1</v>
      </c>
      <c r="F72" s="55">
        <v>1</v>
      </c>
      <c r="G72" s="55">
        <v>6693</v>
      </c>
      <c r="H72" s="485">
        <f>'Supporting Schedules'!F29</f>
        <v>2614.474742597366</v>
      </c>
      <c r="I72" s="486">
        <f>'Supporting Schedules'!G29</f>
        <v>3022.23606052697</v>
      </c>
      <c r="J72" s="486">
        <f>'Supporting Schedules'!H29</f>
        <v>3445.3063495635361</v>
      </c>
      <c r="K72" s="486">
        <f>'Supporting Schedules'!I29</f>
        <v>3871.1366494401063</v>
      </c>
      <c r="L72" s="487">
        <f>'Supporting Schedules'!J29</f>
        <v>4284.8117172168259</v>
      </c>
    </row>
    <row r="73" spans="2:12" outlineLevel="1" x14ac:dyDescent="0.25">
      <c r="B73" s="60" t="s">
        <v>92</v>
      </c>
      <c r="C73" s="61">
        <f t="shared" ref="C73:L73" si="29">SUM(C65:C72)</f>
        <v>94318</v>
      </c>
      <c r="D73" s="61">
        <f t="shared" si="29"/>
        <v>107145</v>
      </c>
      <c r="E73" s="61">
        <f t="shared" si="29"/>
        <v>95083</v>
      </c>
      <c r="F73" s="61">
        <f t="shared" si="29"/>
        <v>104150</v>
      </c>
      <c r="G73" s="61">
        <f t="shared" si="29"/>
        <v>125286</v>
      </c>
      <c r="H73" s="493">
        <f t="shared" si="29"/>
        <v>127023.66544163713</v>
      </c>
      <c r="I73" s="452">
        <f t="shared" si="29"/>
        <v>143543.44434877424</v>
      </c>
      <c r="J73" s="452">
        <f t="shared" si="29"/>
        <v>159885.55973189679</v>
      </c>
      <c r="K73" s="452">
        <f t="shared" si="29"/>
        <v>175431.30623899974</v>
      </c>
      <c r="L73" s="494">
        <f t="shared" si="29"/>
        <v>189511.98396015106</v>
      </c>
    </row>
    <row r="74" spans="2:12" outlineLevel="1" x14ac:dyDescent="0.25">
      <c r="B74" s="45" t="s">
        <v>137</v>
      </c>
      <c r="C74" s="71"/>
      <c r="D74" s="71"/>
      <c r="E74" s="55">
        <v>47032</v>
      </c>
      <c r="F74" s="55">
        <v>41990</v>
      </c>
      <c r="G74" s="55">
        <v>42688</v>
      </c>
      <c r="H74" s="475">
        <f>'Supporting Schedules'!F31</f>
        <v>47018.063466335661</v>
      </c>
      <c r="I74" s="451">
        <f>'Supporting Schedules'!G31</f>
        <v>51325.885531609463</v>
      </c>
      <c r="J74" s="451">
        <f>'Supporting Schedules'!H31</f>
        <v>55062.034234944091</v>
      </c>
      <c r="K74" s="451">
        <f>'Supporting Schedules'!I31</f>
        <v>57992.543889825814</v>
      </c>
      <c r="L74" s="192">
        <f>'Supporting Schedules'!J31</f>
        <v>59900.614759162461</v>
      </c>
    </row>
    <row r="75" spans="2:12" outlineLevel="1" x14ac:dyDescent="0.25">
      <c r="B75" s="45" t="s">
        <v>337</v>
      </c>
      <c r="C75" s="105"/>
      <c r="D75" s="105"/>
      <c r="E75" s="55">
        <v>25331</v>
      </c>
      <c r="F75" s="55">
        <v>28598</v>
      </c>
      <c r="G75" s="55">
        <v>40293</v>
      </c>
      <c r="H75" s="475">
        <f>'Supporting Schedules'!F32</f>
        <v>30181.125819775705</v>
      </c>
      <c r="I75" s="451">
        <f>'Supporting Schedules'!G32</f>
        <v>32946.337956900912</v>
      </c>
      <c r="J75" s="451">
        <f>'Supporting Schedules'!H32</f>
        <v>35344.590155813137</v>
      </c>
      <c r="K75" s="451">
        <f>'Supporting Schedules'!I32</f>
        <v>37225.69869345802</v>
      </c>
      <c r="L75" s="192">
        <f>'Supporting Schedules'!J32</f>
        <v>38450.498754007727</v>
      </c>
    </row>
    <row r="76" spans="2:12" outlineLevel="1" x14ac:dyDescent="0.25">
      <c r="B76" s="45" t="s">
        <v>338</v>
      </c>
      <c r="C76" s="71"/>
      <c r="D76" s="71"/>
      <c r="E76" s="55">
        <v>2870</v>
      </c>
      <c r="F76" s="55">
        <v>2912</v>
      </c>
      <c r="G76" s="55">
        <v>2602</v>
      </c>
      <c r="H76" s="475">
        <f>'Supporting Schedules'!F33</f>
        <v>3716.8555976142261</v>
      </c>
      <c r="I76" s="451">
        <f>'Supporting Schedules'!G33</f>
        <v>4296.5475381573315</v>
      </c>
      <c r="J76" s="451">
        <f>'Supporting Schedules'!H33</f>
        <v>4898.0034047485797</v>
      </c>
      <c r="K76" s="451">
        <f>'Supporting Schedules'!I33</f>
        <v>5503.3830276389435</v>
      </c>
      <c r="L76" s="192">
        <f>'Supporting Schedules'!J33</f>
        <v>6091.4822225586213</v>
      </c>
    </row>
    <row r="77" spans="2:12" outlineLevel="1" x14ac:dyDescent="0.25">
      <c r="B77" s="45" t="s">
        <v>138</v>
      </c>
      <c r="C77" s="71"/>
      <c r="D77" s="71"/>
      <c r="E77" s="55">
        <v>230</v>
      </c>
      <c r="F77" s="55">
        <v>433</v>
      </c>
      <c r="G77" s="55">
        <v>2618</v>
      </c>
      <c r="H77" s="475">
        <f>'Supporting Schedules'!F34</f>
        <v>417.81125177140916</v>
      </c>
      <c r="I77" s="451">
        <f>'Supporting Schedules'!G34</f>
        <v>456.09135938981876</v>
      </c>
      <c r="J77" s="451">
        <f>'Supporting Schedules'!H34</f>
        <v>489.29147125027487</v>
      </c>
      <c r="K77" s="451">
        <f>'Supporting Schedules'!I34</f>
        <v>515.33252477241729</v>
      </c>
      <c r="L77" s="192">
        <f>'Supporting Schedules'!J34</f>
        <v>532.28799719328583</v>
      </c>
    </row>
    <row r="78" spans="2:12" outlineLevel="1" x14ac:dyDescent="0.25">
      <c r="B78" s="45" t="s">
        <v>93</v>
      </c>
      <c r="C78" s="71"/>
      <c r="D78" s="71"/>
      <c r="E78" s="55">
        <v>27753</v>
      </c>
      <c r="F78" s="55">
        <v>27671</v>
      </c>
      <c r="G78" s="55">
        <v>30199</v>
      </c>
      <c r="H78" s="485">
        <f>'Supporting Schedules'!F35</f>
        <v>29681.71984692373</v>
      </c>
      <c r="I78" s="486">
        <f>'Supporting Schedules'!G35</f>
        <v>32401.176121072538</v>
      </c>
      <c r="J78" s="486">
        <f>'Supporting Schedules'!H35</f>
        <v>34759.744529535921</v>
      </c>
      <c r="K78" s="486">
        <f>'Supporting Schedules'!I35</f>
        <v>36609.726433771153</v>
      </c>
      <c r="L78" s="487">
        <f>'Supporting Schedules'!J35</f>
        <v>37814.259773011639</v>
      </c>
    </row>
    <row r="79" spans="2:12" outlineLevel="1" x14ac:dyDescent="0.25">
      <c r="B79" s="60" t="s">
        <v>163</v>
      </c>
      <c r="C79" s="61">
        <f>SUM(C76:C78)</f>
        <v>0</v>
      </c>
      <c r="D79" s="61">
        <f>SUM(D76:D78)</f>
        <v>0</v>
      </c>
      <c r="E79" s="61">
        <f>SUM(E74:E78)</f>
        <v>103216</v>
      </c>
      <c r="F79" s="61">
        <f t="shared" ref="F79:G79" si="30">SUM(F74:F78)</f>
        <v>101604</v>
      </c>
      <c r="G79" s="61">
        <f t="shared" si="30"/>
        <v>118400</v>
      </c>
      <c r="H79" s="474">
        <f>SUM(H74:H78)</f>
        <v>111015.57598242072</v>
      </c>
      <c r="I79" s="202">
        <f t="shared" ref="I79:L79" si="31">SUM(I74:I78)</f>
        <v>121426.03850713007</v>
      </c>
      <c r="J79" s="202">
        <f t="shared" si="31"/>
        <v>130553.66379629201</v>
      </c>
      <c r="K79" s="202">
        <f t="shared" si="31"/>
        <v>137846.68456946634</v>
      </c>
      <c r="L79" s="203">
        <f t="shared" si="31"/>
        <v>142789.14350593375</v>
      </c>
    </row>
    <row r="80" spans="2:12" outlineLevel="1" x14ac:dyDescent="0.25">
      <c r="B80" s="60"/>
      <c r="C80" s="61"/>
      <c r="D80" s="61"/>
      <c r="E80" s="61"/>
      <c r="F80" s="61"/>
      <c r="G80" s="61"/>
      <c r="H80" s="460"/>
      <c r="I80" s="167"/>
      <c r="J80" s="167"/>
      <c r="K80" s="167"/>
      <c r="L80" s="168"/>
    </row>
    <row r="81" spans="2:12" ht="15.75" outlineLevel="1" thickBot="1" x14ac:dyDescent="0.3">
      <c r="B81" s="119" t="s">
        <v>94</v>
      </c>
      <c r="C81" s="131">
        <f t="shared" ref="C81:L81" si="32">+C73+C79</f>
        <v>94318</v>
      </c>
      <c r="D81" s="131">
        <f t="shared" si="32"/>
        <v>107145</v>
      </c>
      <c r="E81" s="131">
        <f t="shared" si="32"/>
        <v>198299</v>
      </c>
      <c r="F81" s="131">
        <f t="shared" si="32"/>
        <v>205754</v>
      </c>
      <c r="G81" s="131">
        <f t="shared" si="32"/>
        <v>243686</v>
      </c>
      <c r="H81" s="476">
        <f t="shared" si="32"/>
        <v>238039.24142405787</v>
      </c>
      <c r="I81" s="204">
        <f t="shared" si="32"/>
        <v>264969.48285590432</v>
      </c>
      <c r="J81" s="204">
        <f t="shared" si="32"/>
        <v>290439.22352818877</v>
      </c>
      <c r="K81" s="204">
        <f t="shared" si="32"/>
        <v>313277.9908084661</v>
      </c>
      <c r="L81" s="205">
        <f t="shared" si="32"/>
        <v>332301.12746608478</v>
      </c>
    </row>
    <row r="82" spans="2:12" ht="15.75" outlineLevel="1" thickTop="1" x14ac:dyDescent="0.25">
      <c r="B82" s="45" t="s">
        <v>95</v>
      </c>
      <c r="C82" s="71"/>
      <c r="D82" s="71"/>
      <c r="E82" s="71"/>
      <c r="F82" s="71">
        <v>0</v>
      </c>
      <c r="G82" s="71">
        <v>0</v>
      </c>
      <c r="H82" s="460">
        <v>0</v>
      </c>
      <c r="I82" s="166">
        <v>0</v>
      </c>
      <c r="J82" s="166">
        <v>0</v>
      </c>
      <c r="K82" s="166">
        <v>0</v>
      </c>
      <c r="L82" s="206">
        <v>0</v>
      </c>
    </row>
    <row r="83" spans="2:12" outlineLevel="1" x14ac:dyDescent="0.25">
      <c r="B83" s="45" t="s">
        <v>96</v>
      </c>
      <c r="C83" s="71"/>
      <c r="D83" s="71"/>
      <c r="E83" s="71"/>
      <c r="F83" s="71">
        <v>0</v>
      </c>
      <c r="G83" s="71">
        <v>0</v>
      </c>
      <c r="H83" s="460">
        <v>0</v>
      </c>
      <c r="I83" s="166">
        <v>0</v>
      </c>
      <c r="J83" s="166">
        <v>0</v>
      </c>
      <c r="K83" s="166">
        <v>0</v>
      </c>
      <c r="L83" s="206">
        <v>0</v>
      </c>
    </row>
    <row r="84" spans="2:12" outlineLevel="1" x14ac:dyDescent="0.25">
      <c r="B84" s="70" t="s">
        <v>97</v>
      </c>
      <c r="C84" s="71"/>
      <c r="D84" s="71"/>
      <c r="E84" s="71"/>
      <c r="F84" s="71"/>
      <c r="G84" s="71"/>
      <c r="H84" s="460"/>
      <c r="I84" s="167"/>
      <c r="J84" s="167"/>
      <c r="K84" s="167"/>
      <c r="L84" s="168"/>
    </row>
    <row r="85" spans="2:12" outlineLevel="1" x14ac:dyDescent="0.25">
      <c r="B85" s="45" t="s">
        <v>98</v>
      </c>
      <c r="C85" s="71"/>
      <c r="D85" s="71"/>
      <c r="E85" s="71"/>
      <c r="F85" s="71"/>
      <c r="G85" s="71"/>
      <c r="H85" s="460"/>
      <c r="I85" s="167"/>
      <c r="J85" s="167"/>
      <c r="K85" s="167"/>
      <c r="L85" s="168"/>
    </row>
    <row r="86" spans="2:12" outlineLevel="1" x14ac:dyDescent="0.25">
      <c r="B86" s="49" t="s">
        <v>99</v>
      </c>
      <c r="C86" s="207">
        <v>1.0000000000000001E-5</v>
      </c>
      <c r="D86" s="207">
        <v>1.0000000000000001E-5</v>
      </c>
      <c r="E86" s="117"/>
      <c r="F86" s="117"/>
      <c r="G86" s="117"/>
      <c r="H86" s="477">
        <v>1.0000000000000001E-5</v>
      </c>
      <c r="I86" s="478">
        <v>1.0000000000000001E-5</v>
      </c>
      <c r="J86" s="478">
        <v>1.0000000000000001E-5</v>
      </c>
      <c r="K86" s="478">
        <v>1.0000000000000001E-5</v>
      </c>
      <c r="L86" s="208">
        <v>1.0000000000000001E-5</v>
      </c>
    </row>
    <row r="87" spans="2:12" outlineLevel="1" x14ac:dyDescent="0.25">
      <c r="B87" s="49" t="s">
        <v>100</v>
      </c>
      <c r="C87" s="71">
        <v>35867</v>
      </c>
      <c r="D87" s="71">
        <v>40201</v>
      </c>
      <c r="E87" s="55">
        <v>86939</v>
      </c>
      <c r="F87" s="55">
        <v>93718</v>
      </c>
      <c r="G87" s="55">
        <v>100923</v>
      </c>
      <c r="H87" s="479">
        <v>100923</v>
      </c>
      <c r="I87" s="209">
        <v>100923</v>
      </c>
      <c r="J87" s="209">
        <v>100923</v>
      </c>
      <c r="K87" s="209">
        <v>100923</v>
      </c>
      <c r="L87" s="210">
        <v>100923</v>
      </c>
    </row>
    <row r="88" spans="2:12" outlineLevel="1" x14ac:dyDescent="0.25">
      <c r="B88" s="49" t="s">
        <v>101</v>
      </c>
      <c r="C88" s="71">
        <v>98330</v>
      </c>
      <c r="D88" s="71">
        <v>70400</v>
      </c>
      <c r="E88" s="55">
        <v>84281</v>
      </c>
      <c r="F88" s="55">
        <v>118848</v>
      </c>
      <c r="G88" s="55">
        <v>173144</v>
      </c>
      <c r="H88" s="458">
        <f>'Supporting Schedules'!F122</f>
        <v>258884.40139743255</v>
      </c>
      <c r="I88" s="169">
        <f>'Supporting Schedules'!G122</f>
        <v>374825.03239655873</v>
      </c>
      <c r="J88" s="169">
        <f>'Supporting Schedules'!H122</f>
        <v>514251.5576873137</v>
      </c>
      <c r="K88" s="169">
        <f>'Supporting Schedules'!I122</f>
        <v>680032.45774470759</v>
      </c>
      <c r="L88" s="170">
        <f>'Supporting Schedules'!J122</f>
        <v>874734.99065243709</v>
      </c>
    </row>
    <row r="89" spans="2:12" outlineLevel="1" x14ac:dyDescent="0.25">
      <c r="B89" s="49" t="s">
        <v>102</v>
      </c>
      <c r="C89" s="71">
        <v>-150</v>
      </c>
      <c r="D89" s="71">
        <v>-3454</v>
      </c>
      <c r="E89" s="55">
        <v>-4678</v>
      </c>
      <c r="F89" s="55">
        <v>-6343</v>
      </c>
      <c r="G89" s="55">
        <v>-5590</v>
      </c>
      <c r="H89" s="463">
        <f>+G89</f>
        <v>-5590</v>
      </c>
      <c r="I89" s="480">
        <f>+H89</f>
        <v>-5590</v>
      </c>
      <c r="J89" s="480">
        <f t="shared" ref="J89:L89" si="33">+I89</f>
        <v>-5590</v>
      </c>
      <c r="K89" s="480">
        <f t="shared" si="33"/>
        <v>-5590</v>
      </c>
      <c r="L89" s="481">
        <f t="shared" si="33"/>
        <v>-5590</v>
      </c>
    </row>
    <row r="90" spans="2:12" outlineLevel="1" x14ac:dyDescent="0.25">
      <c r="B90" s="60" t="s">
        <v>103</v>
      </c>
      <c r="C90" s="61">
        <f t="shared" ref="C90:F90" si="34">SUM(C87:C89)</f>
        <v>134047</v>
      </c>
      <c r="D90" s="61">
        <f t="shared" si="34"/>
        <v>107147</v>
      </c>
      <c r="E90" s="61">
        <f t="shared" si="34"/>
        <v>166542</v>
      </c>
      <c r="F90" s="61">
        <f t="shared" si="34"/>
        <v>206223</v>
      </c>
      <c r="G90" s="61">
        <f>SUM(G87:G89)</f>
        <v>268477</v>
      </c>
      <c r="H90" s="178">
        <f t="shared" ref="H90:L90" si="35">SUM(H87:H89)</f>
        <v>354217.40139743255</v>
      </c>
      <c r="I90" s="178">
        <f t="shared" si="35"/>
        <v>470158.03239655873</v>
      </c>
      <c r="J90" s="178">
        <f t="shared" si="35"/>
        <v>609584.55768731376</v>
      </c>
      <c r="K90" s="178">
        <f t="shared" si="35"/>
        <v>775365.45774470759</v>
      </c>
      <c r="L90" s="178">
        <f t="shared" si="35"/>
        <v>970067.99065243709</v>
      </c>
    </row>
    <row r="91" spans="2:12" ht="15.75" outlineLevel="1" thickBot="1" x14ac:dyDescent="0.3">
      <c r="B91" s="119" t="s">
        <v>104</v>
      </c>
      <c r="C91" s="89">
        <f t="shared" ref="C91:D91" si="36">SUM(C81:C83,C90:C90)</f>
        <v>228365</v>
      </c>
      <c r="D91" s="89">
        <f t="shared" si="36"/>
        <v>214292</v>
      </c>
      <c r="E91" s="89">
        <f t="shared" ref="E91:L91" si="37">+E90+E83+E82+E81</f>
        <v>364841</v>
      </c>
      <c r="F91" s="89">
        <f t="shared" si="37"/>
        <v>411977</v>
      </c>
      <c r="G91" s="89">
        <f t="shared" si="37"/>
        <v>512163</v>
      </c>
      <c r="H91" s="449">
        <f t="shared" si="37"/>
        <v>592256.64282149042</v>
      </c>
      <c r="I91" s="449">
        <f t="shared" si="37"/>
        <v>735127.51525246305</v>
      </c>
      <c r="J91" s="449">
        <f t="shared" si="37"/>
        <v>900023.78121550253</v>
      </c>
      <c r="K91" s="449">
        <f t="shared" si="37"/>
        <v>1088643.4485531738</v>
      </c>
      <c r="L91" s="449">
        <f t="shared" si="37"/>
        <v>1302369.1181185218</v>
      </c>
    </row>
    <row r="92" spans="2:12" ht="15.75" outlineLevel="1" thickTop="1" x14ac:dyDescent="0.25">
      <c r="B92" s="211" t="s">
        <v>105</v>
      </c>
      <c r="C92" s="212">
        <f t="shared" ref="C92:K92" si="38">C61-C91</f>
        <v>138939</v>
      </c>
      <c r="D92" s="212">
        <f t="shared" si="38"/>
        <v>151433</v>
      </c>
      <c r="E92" s="212">
        <f t="shared" si="38"/>
        <v>0</v>
      </c>
      <c r="F92" s="212">
        <f t="shared" si="38"/>
        <v>0</v>
      </c>
      <c r="G92" s="212">
        <f t="shared" si="38"/>
        <v>0</v>
      </c>
      <c r="H92" s="434">
        <f>H61-H91</f>
        <v>-3302.455523173674</v>
      </c>
      <c r="I92" s="213">
        <f t="shared" si="38"/>
        <v>-1032.8407700750977</v>
      </c>
      <c r="J92" s="213">
        <f t="shared" si="38"/>
        <v>1365.8461213125847</v>
      </c>
      <c r="K92" s="213">
        <f t="shared" si="38"/>
        <v>3826.5821482227184</v>
      </c>
      <c r="L92" s="453">
        <f>L61-L91</f>
        <v>6263.46745815943</v>
      </c>
    </row>
    <row r="93" spans="2:12" x14ac:dyDescent="0.25">
      <c r="B93" s="45"/>
      <c r="H93" s="166"/>
      <c r="I93" s="167"/>
      <c r="J93" s="167"/>
      <c r="K93" s="167"/>
      <c r="L93" s="168"/>
    </row>
    <row r="94" spans="2:12" ht="17.25" x14ac:dyDescent="0.4">
      <c r="B94" s="140"/>
      <c r="C94" s="220"/>
      <c r="D94" s="220"/>
      <c r="E94" s="221" t="s">
        <v>48</v>
      </c>
      <c r="F94" s="222"/>
      <c r="G94" s="222"/>
      <c r="H94" s="547" t="s">
        <v>158</v>
      </c>
      <c r="I94" s="547"/>
      <c r="J94" s="547"/>
      <c r="K94" s="547"/>
      <c r="L94" s="548"/>
    </row>
    <row r="95" spans="2:12" ht="15.75" thickBot="1" x14ac:dyDescent="0.3">
      <c r="B95" s="150" t="s">
        <v>106</v>
      </c>
      <c r="C95" s="155">
        <v>2017</v>
      </c>
      <c r="D95" s="155">
        <v>2018</v>
      </c>
      <c r="E95" s="151">
        <v>44926</v>
      </c>
      <c r="F95" s="151">
        <v>45291</v>
      </c>
      <c r="G95" s="151">
        <v>45657</v>
      </c>
      <c r="H95" s="164">
        <v>2022</v>
      </c>
      <c r="I95" s="164">
        <v>2023</v>
      </c>
      <c r="J95" s="164">
        <v>2024</v>
      </c>
      <c r="K95" s="164">
        <v>2025</v>
      </c>
      <c r="L95" s="165">
        <v>2026</v>
      </c>
    </row>
    <row r="96" spans="2:12" outlineLevel="1" x14ac:dyDescent="0.25">
      <c r="B96" s="41" t="s">
        <v>107</v>
      </c>
      <c r="C96" s="214">
        <v>20484</v>
      </c>
      <c r="D96" s="214">
        <v>20289</v>
      </c>
      <c r="E96" s="126">
        <v>14224</v>
      </c>
      <c r="F96" s="126">
        <v>13931</v>
      </c>
      <c r="G96" s="126">
        <v>34704</v>
      </c>
      <c r="H96" s="466">
        <f>G44</f>
        <v>18315</v>
      </c>
      <c r="I96" s="467">
        <f t="shared" ref="I96:L96" si="39">H44</f>
        <v>131006.75</v>
      </c>
      <c r="J96" s="467">
        <f t="shared" si="39"/>
        <v>177634.31</v>
      </c>
      <c r="K96" s="467">
        <f t="shared" si="39"/>
        <v>242424.39</v>
      </c>
      <c r="L96" s="468">
        <f t="shared" si="39"/>
        <v>328469.68</v>
      </c>
    </row>
    <row r="97" spans="2:12" outlineLevel="1" x14ac:dyDescent="0.25">
      <c r="B97" s="70" t="s">
        <v>108</v>
      </c>
      <c r="H97" s="460"/>
      <c r="I97" s="167"/>
      <c r="J97" s="167"/>
      <c r="K97" s="167"/>
      <c r="L97" s="168"/>
    </row>
    <row r="98" spans="2:12" outlineLevel="1" x14ac:dyDescent="0.25">
      <c r="B98" s="45" t="s">
        <v>109</v>
      </c>
      <c r="C98" s="120">
        <f>C26</f>
        <v>48351</v>
      </c>
      <c r="D98" s="120">
        <f>D26</f>
        <v>59531</v>
      </c>
      <c r="E98" s="532">
        <f>E26</f>
        <v>72769</v>
      </c>
      <c r="F98" s="120">
        <f>F26</f>
        <v>73387</v>
      </c>
      <c r="G98" s="120">
        <f>G26</f>
        <v>88357</v>
      </c>
      <c r="H98" s="469">
        <f>+H26</f>
        <v>92013.40139743255</v>
      </c>
      <c r="I98" s="470">
        <f>+I26</f>
        <v>115940.6309991262</v>
      </c>
      <c r="J98" s="470">
        <f>+J26</f>
        <v>139426.52529075497</v>
      </c>
      <c r="K98" s="470">
        <f>+K26</f>
        <v>165780.90005739391</v>
      </c>
      <c r="L98" s="191">
        <f>+L26</f>
        <v>194702.5329077295</v>
      </c>
    </row>
    <row r="99" spans="2:12" outlineLevel="1" x14ac:dyDescent="0.25">
      <c r="B99" s="45" t="s">
        <v>110</v>
      </c>
      <c r="C99" s="120"/>
      <c r="D99" s="120"/>
      <c r="E99" s="120"/>
      <c r="F99" s="120"/>
      <c r="G99" s="120"/>
      <c r="H99" s="460"/>
      <c r="I99" s="167"/>
      <c r="J99" s="167"/>
      <c r="K99" s="167"/>
      <c r="L99" s="168"/>
    </row>
    <row r="100" spans="2:12" outlineLevel="1" x14ac:dyDescent="0.25">
      <c r="B100" s="49" t="s">
        <v>111</v>
      </c>
      <c r="C100" s="71">
        <v>10157</v>
      </c>
      <c r="D100" s="71">
        <v>10903</v>
      </c>
      <c r="E100" s="55">
        <v>14460</v>
      </c>
      <c r="F100" s="55">
        <v>13861</v>
      </c>
      <c r="G100" s="55">
        <v>22287</v>
      </c>
      <c r="H100" s="458">
        <f>Depreciation!E23</f>
        <v>15512.628571428571</v>
      </c>
      <c r="I100" s="169">
        <f>Depreciation!F23</f>
        <v>24662.182857142856</v>
      </c>
      <c r="J100" s="169">
        <f>Depreciation!G23</f>
        <v>35641.648000000001</v>
      </c>
      <c r="K100" s="169">
        <f>Depreciation!H23</f>
        <v>48817.006171428569</v>
      </c>
      <c r="L100" s="170">
        <f>Depreciation!I23</f>
        <v>64627.435977142857</v>
      </c>
    </row>
    <row r="101" spans="2:12" outlineLevel="1" x14ac:dyDescent="0.25">
      <c r="B101" s="49" t="s">
        <v>112</v>
      </c>
      <c r="C101" s="71">
        <v>4840</v>
      </c>
      <c r="D101" s="71">
        <v>5340</v>
      </c>
      <c r="E101" s="55">
        <v>7502</v>
      </c>
      <c r="F101" s="55">
        <v>9611</v>
      </c>
      <c r="G101" s="55">
        <v>10734</v>
      </c>
      <c r="H101" s="459">
        <f>G101</f>
        <v>10734</v>
      </c>
      <c r="I101" s="445">
        <f t="shared" ref="I101:L101" si="40">H101</f>
        <v>10734</v>
      </c>
      <c r="J101" s="445">
        <f t="shared" si="40"/>
        <v>10734</v>
      </c>
      <c r="K101" s="445">
        <f t="shared" si="40"/>
        <v>10734</v>
      </c>
      <c r="L101" s="215">
        <f t="shared" si="40"/>
        <v>10734</v>
      </c>
    </row>
    <row r="102" spans="2:12" outlineLevel="1" x14ac:dyDescent="0.25">
      <c r="B102" s="156" t="s">
        <v>140</v>
      </c>
      <c r="C102" s="71">
        <v>5966</v>
      </c>
      <c r="D102" s="71">
        <v>-32590</v>
      </c>
      <c r="E102" s="55">
        <v>-409</v>
      </c>
      <c r="F102" s="55">
        <v>196</v>
      </c>
      <c r="G102" s="55">
        <v>305</v>
      </c>
      <c r="H102" s="460">
        <v>0</v>
      </c>
      <c r="I102" s="167">
        <v>0</v>
      </c>
      <c r="J102" s="167">
        <v>0</v>
      </c>
      <c r="K102" s="167">
        <v>0</v>
      </c>
      <c r="L102" s="168">
        <v>0</v>
      </c>
    </row>
    <row r="103" spans="2:12" outlineLevel="1" x14ac:dyDescent="0.25">
      <c r="B103" s="49" t="s">
        <v>113</v>
      </c>
      <c r="C103" s="71">
        <v>-166</v>
      </c>
      <c r="D103" s="71">
        <v>-444</v>
      </c>
      <c r="E103" s="55">
        <v>-5702</v>
      </c>
      <c r="F103" s="55">
        <v>-6059</v>
      </c>
      <c r="G103" s="55">
        <v>-4738</v>
      </c>
      <c r="H103" s="457">
        <f>G103*0.8</f>
        <v>-3790.4</v>
      </c>
      <c r="I103" s="173">
        <f t="shared" ref="I103:L103" si="41">H103*0.8</f>
        <v>-3032.32</v>
      </c>
      <c r="J103" s="173">
        <f t="shared" si="41"/>
        <v>-2425.8560000000002</v>
      </c>
      <c r="K103" s="173">
        <f t="shared" si="41"/>
        <v>-1940.6848000000002</v>
      </c>
      <c r="L103" s="177">
        <f t="shared" si="41"/>
        <v>-1552.5478400000002</v>
      </c>
    </row>
    <row r="104" spans="2:12" outlineLevel="1" x14ac:dyDescent="0.25">
      <c r="B104" s="45" t="s">
        <v>114</v>
      </c>
      <c r="C104" s="71"/>
      <c r="D104" s="71"/>
      <c r="E104" s="55"/>
      <c r="F104" s="55"/>
      <c r="G104" s="55"/>
      <c r="H104" s="460"/>
      <c r="I104" s="167"/>
      <c r="J104" s="167"/>
      <c r="K104" s="167"/>
      <c r="L104" s="168"/>
    </row>
    <row r="105" spans="2:12" outlineLevel="1" x14ac:dyDescent="0.25">
      <c r="B105" s="49" t="s">
        <v>76</v>
      </c>
      <c r="C105" s="71">
        <v>-2093</v>
      </c>
      <c r="D105" s="71">
        <v>-5322</v>
      </c>
      <c r="E105" s="55">
        <v>-6834</v>
      </c>
      <c r="F105" s="55">
        <v>-4087</v>
      </c>
      <c r="G105" s="55">
        <v>-7191</v>
      </c>
      <c r="H105" s="459">
        <f t="shared" ref="H105:L108" si="42">-H46+G46</f>
        <v>-9363.246373270973</v>
      </c>
      <c r="I105" s="445">
        <f t="shared" si="42"/>
        <v>-11975.969119611458</v>
      </c>
      <c r="J105" s="445">
        <f t="shared" si="42"/>
        <v>-12425.594322318037</v>
      </c>
      <c r="K105" s="445">
        <f t="shared" si="42"/>
        <v>-12506.655970729204</v>
      </c>
      <c r="L105" s="215">
        <f t="shared" si="42"/>
        <v>-12149.656231252564</v>
      </c>
    </row>
    <row r="106" spans="2:12" outlineLevel="1" x14ac:dyDescent="0.25">
      <c r="B106" s="49" t="s">
        <v>77</v>
      </c>
      <c r="C106" s="71">
        <v>-2723</v>
      </c>
      <c r="D106" s="71">
        <v>828</v>
      </c>
      <c r="E106" s="55">
        <v>-1123</v>
      </c>
      <c r="F106" s="55">
        <v>1242</v>
      </c>
      <c r="G106" s="55">
        <v>1284</v>
      </c>
      <c r="H106" s="459">
        <f t="shared" si="42"/>
        <v>-2464.1641671222956</v>
      </c>
      <c r="I106" s="445">
        <f t="shared" si="42"/>
        <v>-339.92737868417362</v>
      </c>
      <c r="J106" s="445">
        <f t="shared" si="42"/>
        <v>-294.81701329697262</v>
      </c>
      <c r="K106" s="445">
        <f t="shared" si="42"/>
        <v>-231.24457094522404</v>
      </c>
      <c r="L106" s="215">
        <f t="shared" si="42"/>
        <v>-150.56460529922424</v>
      </c>
    </row>
    <row r="107" spans="2:12" outlineLevel="1" x14ac:dyDescent="0.25">
      <c r="B107" s="49" t="s">
        <v>115</v>
      </c>
      <c r="C107" s="71">
        <v>-4254</v>
      </c>
      <c r="D107" s="71">
        <v>-8010</v>
      </c>
      <c r="E107" s="55">
        <v>-709</v>
      </c>
      <c r="F107" s="55">
        <v>-1991</v>
      </c>
      <c r="G107" s="55">
        <v>-1648</v>
      </c>
      <c r="H107" s="459">
        <f t="shared" si="42"/>
        <v>-2340.8192414068071</v>
      </c>
      <c r="I107" s="445">
        <f t="shared" si="42"/>
        <v>-3550.0015590629919</v>
      </c>
      <c r="J107" s="445">
        <f t="shared" si="42"/>
        <v>-3683.2826450995708</v>
      </c>
      <c r="K107" s="445">
        <f t="shared" si="42"/>
        <v>-3707.3115128568061</v>
      </c>
      <c r="L107" s="215">
        <f t="shared" si="42"/>
        <v>-3601.4871224405142</v>
      </c>
    </row>
    <row r="108" spans="2:12" outlineLevel="1" x14ac:dyDescent="0.25">
      <c r="B108" s="49" t="s">
        <v>141</v>
      </c>
      <c r="C108" s="71">
        <v>-5318</v>
      </c>
      <c r="D108" s="71">
        <v>-423</v>
      </c>
      <c r="E108" s="55">
        <v>-2805</v>
      </c>
      <c r="F108" s="55">
        <v>-2833</v>
      </c>
      <c r="G108" s="55">
        <v>-6817</v>
      </c>
      <c r="H108" s="459">
        <f>-G48+H48</f>
        <v>2340.8192414068071</v>
      </c>
      <c r="I108" s="445">
        <f t="shared" si="42"/>
        <v>0</v>
      </c>
      <c r="J108" s="445">
        <f t="shared" si="42"/>
        <v>0</v>
      </c>
      <c r="K108" s="445">
        <f t="shared" si="42"/>
        <v>0</v>
      </c>
      <c r="L108" s="215">
        <f t="shared" si="42"/>
        <v>0</v>
      </c>
    </row>
    <row r="109" spans="2:12" outlineLevel="1" x14ac:dyDescent="0.25">
      <c r="B109" s="49" t="s">
        <v>89</v>
      </c>
      <c r="C109" s="71">
        <v>8966</v>
      </c>
      <c r="D109" s="71">
        <v>9175</v>
      </c>
      <c r="E109" s="55">
        <v>2943</v>
      </c>
      <c r="F109" s="55">
        <v>-2721</v>
      </c>
      <c r="G109" s="55">
        <v>3545</v>
      </c>
      <c r="H109" s="459">
        <f>H65-G65</f>
        <v>-1901.1987435280716</v>
      </c>
      <c r="I109" s="445">
        <f t="shared" ref="I109:L109" si="43">I65-H65</f>
        <v>1841.0972691782736</v>
      </c>
      <c r="J109" s="445">
        <f t="shared" si="43"/>
        <v>1596.772817151199</v>
      </c>
      <c r="K109" s="445">
        <f t="shared" si="43"/>
        <v>1252.4550088538526</v>
      </c>
      <c r="L109" s="215">
        <f t="shared" si="43"/>
        <v>815.48030854218814</v>
      </c>
    </row>
    <row r="110" spans="2:12" outlineLevel="1" x14ac:dyDescent="0.25">
      <c r="B110" s="49" t="s">
        <v>142</v>
      </c>
      <c r="C110" s="71">
        <v>-593</v>
      </c>
      <c r="D110" s="71">
        <v>-3</v>
      </c>
      <c r="E110" s="55">
        <v>5109</v>
      </c>
      <c r="F110" s="55">
        <v>5535</v>
      </c>
      <c r="G110" s="55">
        <v>5348</v>
      </c>
      <c r="H110" s="459">
        <f>G76-H76</f>
        <v>-1114.8555976142261</v>
      </c>
      <c r="I110" s="445">
        <f t="shared" ref="I110:L110" si="44">H76-I76</f>
        <v>-579.69194054310537</v>
      </c>
      <c r="J110" s="445">
        <f t="shared" si="44"/>
        <v>-601.4558665912482</v>
      </c>
      <c r="K110" s="445">
        <f t="shared" si="44"/>
        <v>-605.37962289036386</v>
      </c>
      <c r="L110" s="215">
        <f t="shared" si="44"/>
        <v>-588.09919491967776</v>
      </c>
    </row>
    <row r="111" spans="2:12" outlineLevel="1" x14ac:dyDescent="0.25">
      <c r="B111" s="49" t="s">
        <v>144</v>
      </c>
      <c r="C111" s="71"/>
      <c r="D111" s="71"/>
      <c r="E111" s="55">
        <v>696</v>
      </c>
      <c r="F111" s="55">
        <v>-358</v>
      </c>
      <c r="G111" s="55">
        <v>1687</v>
      </c>
      <c r="H111" s="459"/>
      <c r="I111" s="445"/>
      <c r="J111" s="445"/>
      <c r="K111" s="445"/>
      <c r="L111" s="215"/>
    </row>
    <row r="112" spans="2:12" outlineLevel="1" x14ac:dyDescent="0.25">
      <c r="B112" s="49" t="s">
        <v>90</v>
      </c>
      <c r="C112" s="71"/>
      <c r="D112" s="71"/>
      <c r="E112" s="55">
        <v>2344</v>
      </c>
      <c r="F112" s="55">
        <v>2272</v>
      </c>
      <c r="G112" s="55">
        <v>4867</v>
      </c>
      <c r="H112" s="459">
        <f>-G71+H71</f>
        <v>-1841.7381400954764</v>
      </c>
      <c r="I112" s="445">
        <f t="shared" ref="I112:L112" si="45">-H71+I71</f>
        <v>1045.7812481816763</v>
      </c>
      <c r="J112" s="445">
        <f t="shared" si="45"/>
        <v>906.99991670090276</v>
      </c>
      <c r="K112" s="445">
        <f t="shared" si="45"/>
        <v>711.4202950478375</v>
      </c>
      <c r="L112" s="215">
        <f t="shared" si="45"/>
        <v>463.20964634066149</v>
      </c>
    </row>
    <row r="113" spans="2:17" outlineLevel="1" x14ac:dyDescent="0.25">
      <c r="B113" s="49" t="s">
        <v>143</v>
      </c>
      <c r="C113" s="71"/>
      <c r="D113" s="71"/>
      <c r="E113" s="55">
        <v>825</v>
      </c>
      <c r="F113" s="55">
        <v>553</v>
      </c>
      <c r="G113" s="55">
        <v>749</v>
      </c>
      <c r="H113" s="471">
        <f>-G72+H72</f>
        <v>-4078.525257402634</v>
      </c>
      <c r="I113" s="472">
        <f t="shared" ref="I113:L113" si="46">-H72+I72</f>
        <v>407.76131792960405</v>
      </c>
      <c r="J113" s="472">
        <f t="shared" si="46"/>
        <v>423.07028903656601</v>
      </c>
      <c r="K113" s="472">
        <f t="shared" si="46"/>
        <v>425.83029987657028</v>
      </c>
      <c r="L113" s="473">
        <f t="shared" si="46"/>
        <v>413.67506777671952</v>
      </c>
    </row>
    <row r="114" spans="2:17" outlineLevel="1" x14ac:dyDescent="0.25">
      <c r="B114" s="122" t="s">
        <v>116</v>
      </c>
      <c r="C114" s="123">
        <f t="shared" ref="C114:L114" si="47">SUM(C98:C113)</f>
        <v>63133</v>
      </c>
      <c r="D114" s="123">
        <f t="shared" si="47"/>
        <v>38985</v>
      </c>
      <c r="E114" s="123">
        <f t="shared" si="47"/>
        <v>89066</v>
      </c>
      <c r="F114" s="123">
        <f t="shared" si="47"/>
        <v>88608</v>
      </c>
      <c r="G114" s="123">
        <f t="shared" si="47"/>
        <v>118769</v>
      </c>
      <c r="H114" s="474">
        <f t="shared" si="47"/>
        <v>93705.901689827457</v>
      </c>
      <c r="I114" s="202">
        <f t="shared" si="47"/>
        <v>135153.54369365689</v>
      </c>
      <c r="J114" s="202">
        <f t="shared" si="47"/>
        <v>169298.01046633784</v>
      </c>
      <c r="K114" s="202">
        <f t="shared" si="47"/>
        <v>208730.33535517921</v>
      </c>
      <c r="L114" s="203">
        <f t="shared" si="47"/>
        <v>253713.97891361994</v>
      </c>
    </row>
    <row r="115" spans="2:17" outlineLevel="1" x14ac:dyDescent="0.25">
      <c r="B115" s="125" t="s">
        <v>117</v>
      </c>
      <c r="C115" s="71"/>
      <c r="D115" s="71"/>
      <c r="E115" s="71"/>
      <c r="F115" s="71"/>
      <c r="G115" s="71"/>
      <c r="H115" s="460"/>
      <c r="I115" s="167"/>
      <c r="J115" s="167"/>
      <c r="K115" s="167"/>
      <c r="L115" s="168"/>
    </row>
    <row r="116" spans="2:17" outlineLevel="1" x14ac:dyDescent="0.25">
      <c r="B116" s="49" t="s">
        <v>151</v>
      </c>
      <c r="C116" s="71">
        <v>-159486</v>
      </c>
      <c r="D116" s="71">
        <v>-71356</v>
      </c>
      <c r="E116" s="55">
        <v>-23886</v>
      </c>
      <c r="F116" s="55">
        <v>-28107</v>
      </c>
      <c r="G116" s="55">
        <v>-44477</v>
      </c>
      <c r="H116" s="459">
        <f>G54-H54</f>
        <v>77252.228571428583</v>
      </c>
      <c r="I116" s="445">
        <f t="shared" ref="I116:L116" si="48">H54-I54</f>
        <v>-39384.697142857141</v>
      </c>
      <c r="J116" s="445">
        <f t="shared" si="48"/>
        <v>-41214.608000000007</v>
      </c>
      <c r="K116" s="445">
        <f t="shared" si="48"/>
        <v>-43410.501028571423</v>
      </c>
      <c r="L116" s="215">
        <f t="shared" si="48"/>
        <v>-46045.572662857128</v>
      </c>
    </row>
    <row r="117" spans="2:17" outlineLevel="1" x14ac:dyDescent="0.25">
      <c r="B117" s="49" t="s">
        <v>152</v>
      </c>
      <c r="C117" s="71">
        <v>-12451</v>
      </c>
      <c r="D117" s="71">
        <v>-13313</v>
      </c>
      <c r="E117" s="55">
        <v>-22038</v>
      </c>
      <c r="F117" s="55">
        <v>-1670</v>
      </c>
      <c r="G117" s="55">
        <v>-69132</v>
      </c>
      <c r="H117" s="475">
        <f>'Supporting Schedules'!F68</f>
        <v>53372.4</v>
      </c>
      <c r="I117" s="451">
        <f>'Supporting Schedules'!G68</f>
        <v>64046.879999999997</v>
      </c>
      <c r="J117" s="451">
        <f>'Supporting Schedules'!H68</f>
        <v>76856.255999999994</v>
      </c>
      <c r="K117" s="451">
        <f>'Supporting Schedules'!I68</f>
        <v>92227.507199999993</v>
      </c>
      <c r="L117" s="192">
        <f>'Supporting Schedules'!J68</f>
        <v>110673.00863999999</v>
      </c>
    </row>
    <row r="118" spans="2:17" outlineLevel="1" x14ac:dyDescent="0.25">
      <c r="B118" s="49" t="s">
        <v>153</v>
      </c>
      <c r="C118" s="71">
        <v>-329</v>
      </c>
      <c r="D118" s="71">
        <v>-721</v>
      </c>
      <c r="E118" s="55">
        <v>-26456</v>
      </c>
      <c r="F118" s="55">
        <v>-37651</v>
      </c>
      <c r="G118" s="55">
        <v>-17732</v>
      </c>
      <c r="H118" s="460">
        <v>0</v>
      </c>
      <c r="I118" s="167">
        <v>0</v>
      </c>
      <c r="J118" s="167">
        <v>0</v>
      </c>
      <c r="K118" s="167">
        <v>0</v>
      </c>
      <c r="L118" s="168">
        <v>0</v>
      </c>
    </row>
    <row r="119" spans="2:17" outlineLevel="1" x14ac:dyDescent="0.25">
      <c r="B119" s="49" t="s">
        <v>154</v>
      </c>
      <c r="C119" s="71">
        <v>-521</v>
      </c>
      <c r="D119" s="71">
        <v>-1871</v>
      </c>
      <c r="E119" s="55">
        <v>16451</v>
      </c>
      <c r="F119" s="55">
        <v>33510</v>
      </c>
      <c r="G119" s="55">
        <v>24775</v>
      </c>
      <c r="H119" s="460">
        <v>0</v>
      </c>
      <c r="I119" s="167">
        <v>0</v>
      </c>
      <c r="J119" s="167">
        <v>0</v>
      </c>
      <c r="K119" s="167">
        <v>0</v>
      </c>
      <c r="L119" s="168">
        <v>0</v>
      </c>
    </row>
    <row r="120" spans="2:17" outlineLevel="1" x14ac:dyDescent="0.25">
      <c r="B120" s="49" t="s">
        <v>155</v>
      </c>
      <c r="C120" s="71">
        <v>126</v>
      </c>
      <c r="D120" s="71">
        <v>353</v>
      </c>
      <c r="E120" s="55">
        <v>28443</v>
      </c>
      <c r="F120" s="55">
        <v>14354</v>
      </c>
      <c r="G120" s="55">
        <v>10894</v>
      </c>
      <c r="H120" s="460">
        <v>0</v>
      </c>
      <c r="I120" s="167">
        <v>0</v>
      </c>
      <c r="J120" s="167">
        <v>0</v>
      </c>
      <c r="K120" s="167">
        <v>0</v>
      </c>
      <c r="L120" s="168">
        <v>0</v>
      </c>
    </row>
    <row r="121" spans="2:17" outlineLevel="1" x14ac:dyDescent="0.25">
      <c r="B121" s="49" t="s">
        <v>150</v>
      </c>
      <c r="C121" s="71"/>
      <c r="D121" s="71"/>
      <c r="E121" s="55">
        <v>-2825</v>
      </c>
      <c r="F121" s="55">
        <v>-3116</v>
      </c>
      <c r="G121" s="55">
        <v>-1298</v>
      </c>
      <c r="H121" s="459">
        <f>G59-H59</f>
        <v>768.29810204123896</v>
      </c>
      <c r="I121" s="445">
        <f t="shared" ref="I121:L121" si="49">H59-I59</f>
        <v>-1329.0701724135961</v>
      </c>
      <c r="J121" s="445">
        <f t="shared" si="49"/>
        <v>-1378.9687183863098</v>
      </c>
      <c r="K121" s="445">
        <f t="shared" si="49"/>
        <v>-1387.9647852560483</v>
      </c>
      <c r="L121" s="215">
        <f t="shared" si="49"/>
        <v>-1348.3456362286142</v>
      </c>
    </row>
    <row r="122" spans="2:17" outlineLevel="1" x14ac:dyDescent="0.25">
      <c r="B122" s="49" t="s">
        <v>156</v>
      </c>
      <c r="C122" s="71"/>
      <c r="D122" s="71"/>
      <c r="E122" s="55">
        <v>-141</v>
      </c>
      <c r="F122" s="55">
        <v>-194</v>
      </c>
      <c r="G122" s="55">
        <v>-210</v>
      </c>
      <c r="H122" s="460"/>
      <c r="I122" s="167"/>
      <c r="J122" s="167"/>
      <c r="K122" s="167"/>
      <c r="L122" s="168"/>
    </row>
    <row r="123" spans="2:17" outlineLevel="1" x14ac:dyDescent="0.25">
      <c r="B123" s="49"/>
      <c r="C123" s="71">
        <v>-124</v>
      </c>
      <c r="D123" s="71">
        <v>-745</v>
      </c>
      <c r="E123" s="55"/>
      <c r="F123" s="55"/>
      <c r="G123" s="55"/>
      <c r="H123" s="471">
        <f>G55-H55</f>
        <v>1110.0532737197082</v>
      </c>
      <c r="I123" s="472">
        <f>H55-I55</f>
        <v>-2103.932528506095</v>
      </c>
      <c r="J123" s="472">
        <f>I55-J55</f>
        <v>-2182.9224691248801</v>
      </c>
      <c r="K123" s="472">
        <f>J55-K55</f>
        <v>-2197.1633407573318</v>
      </c>
      <c r="L123" s="473">
        <f>K55-L55</f>
        <v>-2134.4457972290074</v>
      </c>
    </row>
    <row r="124" spans="2:17" outlineLevel="1" x14ac:dyDescent="0.25">
      <c r="B124" s="122" t="s">
        <v>118</v>
      </c>
      <c r="C124" s="123">
        <f>SUM(C116:C123)</f>
        <v>-172785</v>
      </c>
      <c r="D124" s="123">
        <f>SUM(D116:D123)</f>
        <v>-87653</v>
      </c>
      <c r="E124" s="123">
        <f>SUM(E116:E123)</f>
        <v>-30452</v>
      </c>
      <c r="F124" s="123">
        <f>SUM(F116:F123)</f>
        <v>-22874</v>
      </c>
      <c r="G124" s="123">
        <f>SUM(G116:G123)</f>
        <v>-97180</v>
      </c>
      <c r="H124" s="202">
        <f t="shared" ref="H124:L124" si="50">SUM(H116:H123)</f>
        <v>132502.97994718954</v>
      </c>
      <c r="I124" s="202">
        <f t="shared" si="50"/>
        <v>21229.180156223167</v>
      </c>
      <c r="J124" s="202">
        <f t="shared" si="50"/>
        <v>32079.756812488791</v>
      </c>
      <c r="K124" s="202">
        <f t="shared" si="50"/>
        <v>45231.878045415193</v>
      </c>
      <c r="L124" s="203">
        <f t="shared" si="50"/>
        <v>61144.644543685237</v>
      </c>
    </row>
    <row r="125" spans="2:17" outlineLevel="1" x14ac:dyDescent="0.25">
      <c r="B125" s="125" t="s">
        <v>119</v>
      </c>
      <c r="C125" s="71"/>
      <c r="D125" s="71"/>
      <c r="E125" s="71"/>
      <c r="F125" s="71"/>
      <c r="G125" s="71"/>
      <c r="H125" s="455"/>
      <c r="I125" s="377"/>
      <c r="J125" s="377"/>
      <c r="K125" s="377"/>
      <c r="L125" s="378"/>
    </row>
    <row r="126" spans="2:17" outlineLevel="1" x14ac:dyDescent="0.25">
      <c r="B126" s="49" t="s">
        <v>120</v>
      </c>
      <c r="C126" s="71">
        <v>555</v>
      </c>
      <c r="D126" s="71">
        <v>669</v>
      </c>
      <c r="E126" s="55">
        <v>0</v>
      </c>
      <c r="F126" s="55">
        <v>0</v>
      </c>
      <c r="G126" s="55">
        <v>5250</v>
      </c>
      <c r="H126" s="456">
        <v>0</v>
      </c>
      <c r="I126" s="216">
        <v>0</v>
      </c>
      <c r="J126" s="216">
        <v>0</v>
      </c>
      <c r="K126" s="216">
        <v>0</v>
      </c>
      <c r="L126" s="217">
        <v>0</v>
      </c>
    </row>
    <row r="127" spans="2:17" outlineLevel="1" x14ac:dyDescent="0.25">
      <c r="B127" s="49" t="s">
        <v>145</v>
      </c>
      <c r="C127" s="71">
        <v>-1874</v>
      </c>
      <c r="D127" s="71">
        <v>-2527</v>
      </c>
      <c r="E127" s="55">
        <v>0</v>
      </c>
      <c r="F127" s="55">
        <v>0</v>
      </c>
      <c r="G127" s="55">
        <v>24395</v>
      </c>
      <c r="H127" s="456">
        <v>0</v>
      </c>
      <c r="I127" s="216">
        <v>0</v>
      </c>
      <c r="J127" s="216">
        <v>0</v>
      </c>
      <c r="K127" s="216">
        <v>0</v>
      </c>
      <c r="L127" s="217">
        <v>0</v>
      </c>
    </row>
    <row r="128" spans="2:17" outlineLevel="1" x14ac:dyDescent="0.25">
      <c r="B128" s="49" t="s">
        <v>146</v>
      </c>
      <c r="C128" s="71">
        <v>-12769</v>
      </c>
      <c r="D128" s="71">
        <v>-13712</v>
      </c>
      <c r="E128" s="55">
        <v>-9023</v>
      </c>
      <c r="F128" s="55">
        <v>-2750</v>
      </c>
      <c r="G128" s="55">
        <v>-29070</v>
      </c>
      <c r="H128" s="457">
        <f>-H28*0.3</f>
        <v>-27604.020419229764</v>
      </c>
      <c r="I128" s="173">
        <f>-I28*0.3</f>
        <v>-34782.18929973786</v>
      </c>
      <c r="J128" s="173">
        <f>-J28*0.3</f>
        <v>-41827.95758722649</v>
      </c>
      <c r="K128" s="173">
        <f>-K28*0.3</f>
        <v>-49734.270017218172</v>
      </c>
      <c r="L128" s="177">
        <f>-L28*0.3</f>
        <v>-58410.759872318849</v>
      </c>
      <c r="N128" s="218"/>
      <c r="O128" s="218"/>
      <c r="P128" s="218"/>
      <c r="Q128" s="218"/>
    </row>
    <row r="129" spans="2:12" outlineLevel="1" x14ac:dyDescent="0.25">
      <c r="B129" s="49" t="s">
        <v>147</v>
      </c>
      <c r="C129" s="71">
        <v>-32900</v>
      </c>
      <c r="D129" s="71">
        <v>-72738</v>
      </c>
      <c r="E129" s="55">
        <v>1841</v>
      </c>
      <c r="F129" s="55">
        <v>1866</v>
      </c>
      <c r="G129" s="55">
        <v>2002</v>
      </c>
      <c r="H129" s="458">
        <f>'Supporting Schedules'!F92</f>
        <v>0</v>
      </c>
      <c r="I129" s="169">
        <f>'Supporting Schedules'!G92</f>
        <v>0</v>
      </c>
      <c r="J129" s="169">
        <f>'Supporting Schedules'!H92</f>
        <v>0</v>
      </c>
      <c r="K129" s="169">
        <f>'Supporting Schedules'!I92</f>
        <v>0</v>
      </c>
      <c r="L129" s="170">
        <f>'Supporting Schedules'!J92</f>
        <v>11723.766666666668</v>
      </c>
    </row>
    <row r="130" spans="2:12" outlineLevel="1" x14ac:dyDescent="0.25">
      <c r="B130" s="49" t="s">
        <v>148</v>
      </c>
      <c r="C130" s="71">
        <v>28662</v>
      </c>
      <c r="D130" s="71">
        <v>6969</v>
      </c>
      <c r="E130" s="55">
        <v>-32696</v>
      </c>
      <c r="F130" s="55">
        <v>-22245</v>
      </c>
      <c r="G130" s="55">
        <v>-17254</v>
      </c>
      <c r="H130" s="458"/>
      <c r="I130" s="169"/>
      <c r="J130" s="169"/>
      <c r="K130" s="169"/>
      <c r="L130" s="170"/>
    </row>
    <row r="131" spans="2:12" outlineLevel="1" x14ac:dyDescent="0.25">
      <c r="B131" s="49" t="s">
        <v>149</v>
      </c>
      <c r="C131" s="71">
        <v>-3500</v>
      </c>
      <c r="D131" s="71">
        <v>-6500</v>
      </c>
      <c r="E131" s="55">
        <v>-18135</v>
      </c>
      <c r="F131" s="55">
        <v>-19800</v>
      </c>
      <c r="G131" s="55">
        <v>-21771</v>
      </c>
      <c r="H131" s="458"/>
      <c r="I131" s="169"/>
      <c r="J131" s="169"/>
      <c r="K131" s="169"/>
      <c r="L131" s="170"/>
    </row>
    <row r="132" spans="2:12" outlineLevel="1" x14ac:dyDescent="0.25">
      <c r="B132" s="49" t="s">
        <v>150</v>
      </c>
      <c r="C132" s="71">
        <v>3852</v>
      </c>
      <c r="D132" s="71">
        <v>-37</v>
      </c>
      <c r="E132" s="55">
        <v>-863</v>
      </c>
      <c r="F132" s="55">
        <v>-1006</v>
      </c>
      <c r="G132" s="55">
        <v>-1309</v>
      </c>
      <c r="H132" s="459"/>
      <c r="I132" s="445"/>
      <c r="J132" s="445"/>
      <c r="K132" s="445"/>
      <c r="L132" s="215"/>
    </row>
    <row r="133" spans="2:12" outlineLevel="1" x14ac:dyDescent="0.25">
      <c r="B133" s="49"/>
      <c r="C133" s="71"/>
      <c r="D133" s="71">
        <v>0</v>
      </c>
      <c r="E133" s="55"/>
      <c r="F133" s="55"/>
      <c r="G133" s="55"/>
      <c r="H133" s="460"/>
      <c r="I133" s="167"/>
      <c r="J133" s="167"/>
      <c r="K133" s="167"/>
      <c r="L133" s="168"/>
    </row>
    <row r="134" spans="2:12" outlineLevel="1" x14ac:dyDescent="0.25">
      <c r="B134" s="122" t="s">
        <v>121</v>
      </c>
      <c r="C134" s="123">
        <f>SUM(C126:C133)</f>
        <v>-17974</v>
      </c>
      <c r="D134" s="123">
        <f>SUM(D126:D133)</f>
        <v>-87876</v>
      </c>
      <c r="E134" s="123">
        <f>SUM(E126:E133)</f>
        <v>-58876</v>
      </c>
      <c r="F134" s="123">
        <f t="shared" ref="F134:L134" si="51">SUM(F126:F133)</f>
        <v>-43935</v>
      </c>
      <c r="G134" s="123">
        <f t="shared" si="51"/>
        <v>-37757</v>
      </c>
      <c r="H134" s="461">
        <f t="shared" si="51"/>
        <v>-27604.020419229764</v>
      </c>
      <c r="I134" s="193">
        <f t="shared" si="51"/>
        <v>-34782.18929973786</v>
      </c>
      <c r="J134" s="193">
        <f t="shared" si="51"/>
        <v>-41827.95758722649</v>
      </c>
      <c r="K134" s="193">
        <f t="shared" si="51"/>
        <v>-49734.270017218172</v>
      </c>
      <c r="L134" s="194">
        <f t="shared" si="51"/>
        <v>-46686.993205652179</v>
      </c>
    </row>
    <row r="135" spans="2:12" outlineLevel="1" x14ac:dyDescent="0.25">
      <c r="B135" s="70" t="s">
        <v>122</v>
      </c>
      <c r="C135" s="126">
        <f t="shared" ref="C135:L135" si="52">+C136-C96</f>
        <v>-127626</v>
      </c>
      <c r="D135" s="126">
        <f t="shared" si="52"/>
        <v>-136544</v>
      </c>
      <c r="E135" s="126">
        <f t="shared" si="52"/>
        <v>-262</v>
      </c>
      <c r="F135" s="126">
        <f t="shared" si="52"/>
        <v>21799</v>
      </c>
      <c r="G135" s="126">
        <f t="shared" si="52"/>
        <v>-16168</v>
      </c>
      <c r="H135" s="462">
        <f t="shared" si="52"/>
        <v>198604.86121778726</v>
      </c>
      <c r="I135" s="200">
        <f t="shared" si="52"/>
        <v>121600.53455014224</v>
      </c>
      <c r="J135" s="200">
        <f t="shared" si="52"/>
        <v>159549.80969160015</v>
      </c>
      <c r="K135" s="200">
        <f t="shared" si="52"/>
        <v>204227.94338337623</v>
      </c>
      <c r="L135" s="201">
        <f t="shared" si="52"/>
        <v>268171.63025165297</v>
      </c>
    </row>
    <row r="136" spans="2:12" outlineLevel="1" x14ac:dyDescent="0.25">
      <c r="B136" s="85" t="s">
        <v>123</v>
      </c>
      <c r="C136" s="182">
        <f>C96+C114+C124+C134</f>
        <v>-107142</v>
      </c>
      <c r="D136" s="182">
        <f>D96+D114+D124+D134</f>
        <v>-116255</v>
      </c>
      <c r="E136" s="182">
        <f t="shared" ref="E136:L136" si="53">+E96+E114+E124+E134</f>
        <v>13962</v>
      </c>
      <c r="F136" s="182">
        <f t="shared" si="53"/>
        <v>35730</v>
      </c>
      <c r="G136" s="182">
        <f t="shared" si="53"/>
        <v>18536</v>
      </c>
      <c r="H136" s="463">
        <f t="shared" si="53"/>
        <v>216919.86121778726</v>
      </c>
      <c r="I136" s="464">
        <f t="shared" si="53"/>
        <v>252607.28455014224</v>
      </c>
      <c r="J136" s="464">
        <f t="shared" si="53"/>
        <v>337184.11969160015</v>
      </c>
      <c r="K136" s="464">
        <f t="shared" si="53"/>
        <v>446652.33338337624</v>
      </c>
      <c r="L136" s="465">
        <f t="shared" si="53"/>
        <v>596641.31025165296</v>
      </c>
    </row>
    <row r="137" spans="2:12" x14ac:dyDescent="0.25">
      <c r="G137" s="71"/>
    </row>
  </sheetData>
  <mergeCells count="4">
    <mergeCell ref="C4:G4"/>
    <mergeCell ref="H4:L4"/>
    <mergeCell ref="H40:L40"/>
    <mergeCell ref="H94:L9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589DE-AE18-4679-8AB1-722242738E29}">
  <sheetPr>
    <tabColor theme="5" tint="-0.249977111117893"/>
  </sheetPr>
  <dimension ref="A1:S1048"/>
  <sheetViews>
    <sheetView showGridLines="0" topLeftCell="B1" workbookViewId="0">
      <selection activeCell="G21" sqref="G21"/>
    </sheetView>
  </sheetViews>
  <sheetFormatPr defaultRowHeight="15" x14ac:dyDescent="0.25"/>
  <cols>
    <col min="1" max="1" width="10.7109375" bestFit="1" customWidth="1"/>
    <col min="2" max="2" width="19.140625" customWidth="1"/>
    <col min="3" max="3" width="17" bestFit="1" customWidth="1"/>
    <col min="8" max="8" width="18" bestFit="1" customWidth="1"/>
    <col min="9" max="9" width="11.5703125" bestFit="1" customWidth="1"/>
    <col min="10" max="10" width="14.5703125" bestFit="1" customWidth="1"/>
    <col min="11" max="11" width="9" customWidth="1"/>
    <col min="12" max="12" width="13.140625" customWidth="1"/>
    <col min="13" max="13" width="9.28515625" bestFit="1" customWidth="1"/>
  </cols>
  <sheetData>
    <row r="1" spans="1:19" x14ac:dyDescent="0.25">
      <c r="A1" s="500" t="s">
        <v>339</v>
      </c>
      <c r="B1" s="500" t="s">
        <v>364</v>
      </c>
      <c r="C1" s="500" t="s">
        <v>363</v>
      </c>
      <c r="H1" s="495"/>
    </row>
    <row r="2" spans="1:19" x14ac:dyDescent="0.25">
      <c r="A2" s="437">
        <v>44014</v>
      </c>
      <c r="B2" s="435">
        <v>0.45412823425956528</v>
      </c>
      <c r="C2" s="436">
        <v>0.72378989880933287</v>
      </c>
      <c r="L2" s="549"/>
      <c r="M2" s="549"/>
      <c r="N2" s="549"/>
      <c r="O2" s="549"/>
      <c r="P2" s="549"/>
      <c r="Q2" s="549"/>
      <c r="R2" s="549"/>
      <c r="S2" s="549"/>
    </row>
    <row r="3" spans="1:19" x14ac:dyDescent="0.25">
      <c r="A3" s="437">
        <v>44018</v>
      </c>
      <c r="B3" s="435">
        <v>1.5881738397001792</v>
      </c>
      <c r="C3" s="436">
        <v>2.1143239249642147</v>
      </c>
      <c r="H3" s="496"/>
      <c r="J3" s="496"/>
      <c r="L3" s="549"/>
      <c r="M3" s="549"/>
      <c r="N3" s="549"/>
      <c r="O3" s="549"/>
      <c r="P3" s="549"/>
      <c r="Q3" s="549"/>
      <c r="R3" s="549"/>
      <c r="S3" s="549"/>
    </row>
    <row r="4" spans="1:19" x14ac:dyDescent="0.25">
      <c r="A4" s="437">
        <v>44019</v>
      </c>
      <c r="B4" s="435">
        <v>-1.0818562640735547</v>
      </c>
      <c r="C4" s="436">
        <v>-1.2010892904051613</v>
      </c>
    </row>
    <row r="5" spans="1:19" x14ac:dyDescent="0.25">
      <c r="A5" s="437">
        <v>44020</v>
      </c>
      <c r="B5" s="435">
        <v>0.78275024480815603</v>
      </c>
      <c r="C5" s="436">
        <v>2.1609806722689111</v>
      </c>
      <c r="H5" s="1" t="s">
        <v>362</v>
      </c>
    </row>
    <row r="6" spans="1:19" ht="15.75" thickBot="1" x14ac:dyDescent="0.3">
      <c r="A6" s="437">
        <v>44021</v>
      </c>
      <c r="B6" s="435">
        <v>-0.56436399427118089</v>
      </c>
      <c r="C6" s="436">
        <v>0.66179161584276847</v>
      </c>
    </row>
    <row r="7" spans="1:19" x14ac:dyDescent="0.25">
      <c r="A7" s="437">
        <v>44022</v>
      </c>
      <c r="B7" s="435">
        <v>1.0466204533557457</v>
      </c>
      <c r="C7" s="436">
        <v>-0.34158899718634828</v>
      </c>
      <c r="H7" s="441" t="s">
        <v>361</v>
      </c>
      <c r="I7" s="441"/>
      <c r="K7" s="1"/>
    </row>
    <row r="8" spans="1:19" x14ac:dyDescent="0.25">
      <c r="A8" s="437">
        <v>44025</v>
      </c>
      <c r="B8" s="435">
        <v>-0.93625197799714166</v>
      </c>
      <c r="C8" s="436">
        <v>-3.127171185368752</v>
      </c>
      <c r="H8" t="s">
        <v>360</v>
      </c>
      <c r="I8" s="436">
        <v>0.77946817312578764</v>
      </c>
      <c r="K8" s="1"/>
    </row>
    <row r="9" spans="1:19" x14ac:dyDescent="0.25">
      <c r="A9" s="437">
        <v>44026</v>
      </c>
      <c r="B9" s="435">
        <v>1.3406355182839924</v>
      </c>
      <c r="C9" s="436">
        <v>0.57984794838926323</v>
      </c>
      <c r="H9" t="s">
        <v>359</v>
      </c>
      <c r="I9" s="436">
        <v>0.60757063291605284</v>
      </c>
      <c r="K9" s="1"/>
    </row>
    <row r="10" spans="1:19" x14ac:dyDescent="0.25">
      <c r="A10" s="437">
        <v>44027</v>
      </c>
      <c r="B10" s="435">
        <v>0.90820385798994108</v>
      </c>
      <c r="C10" s="436">
        <v>-0.18709433216814875</v>
      </c>
      <c r="H10" t="s">
        <v>358</v>
      </c>
      <c r="I10" s="436">
        <v>0.60719510242123576</v>
      </c>
      <c r="K10" s="1"/>
    </row>
    <row r="11" spans="1:19" x14ac:dyDescent="0.25">
      <c r="A11" s="437">
        <v>44028</v>
      </c>
      <c r="B11" s="435">
        <v>-0.34061043340275038</v>
      </c>
      <c r="C11" s="436">
        <v>-2.0186860500995198</v>
      </c>
      <c r="H11" t="s">
        <v>346</v>
      </c>
      <c r="I11" s="436">
        <v>1.0676784638452157</v>
      </c>
    </row>
    <row r="12" spans="1:19" ht="15.75" thickBot="1" x14ac:dyDescent="0.3">
      <c r="A12" s="437">
        <v>44029</v>
      </c>
      <c r="B12" s="435">
        <v>0.28486395880045695</v>
      </c>
      <c r="C12" s="436">
        <v>-0.54830049539034487</v>
      </c>
      <c r="H12" s="439" t="s">
        <v>357</v>
      </c>
      <c r="I12" s="438">
        <v>1047</v>
      </c>
    </row>
    <row r="13" spans="1:19" x14ac:dyDescent="0.25">
      <c r="A13" s="437">
        <v>44032</v>
      </c>
      <c r="B13" s="435">
        <v>0.84069053843267905</v>
      </c>
      <c r="C13" s="436">
        <v>4.2598076424953728</v>
      </c>
    </row>
    <row r="14" spans="1:19" ht="15.75" thickBot="1" x14ac:dyDescent="0.3">
      <c r="A14" s="437">
        <v>44033</v>
      </c>
      <c r="B14" s="435">
        <v>0.16790493997244749</v>
      </c>
      <c r="C14" s="436">
        <v>-1.3851837047197473</v>
      </c>
      <c r="H14" t="s">
        <v>356</v>
      </c>
    </row>
    <row r="15" spans="1:19" x14ac:dyDescent="0.25">
      <c r="A15" s="437">
        <v>44034</v>
      </c>
      <c r="B15" s="435">
        <v>0.57470911491111654</v>
      </c>
      <c r="C15" s="436">
        <v>1.398825748502994</v>
      </c>
      <c r="H15" s="440"/>
      <c r="I15" s="440" t="s">
        <v>355</v>
      </c>
      <c r="J15" s="440" t="s">
        <v>354</v>
      </c>
      <c r="K15" s="440" t="s">
        <v>353</v>
      </c>
      <c r="L15" s="440" t="s">
        <v>352</v>
      </c>
      <c r="M15" s="440" t="s">
        <v>351</v>
      </c>
    </row>
    <row r="16" spans="1:19" x14ac:dyDescent="0.25">
      <c r="A16" s="437">
        <v>44035</v>
      </c>
      <c r="B16" s="435">
        <v>-1.2319827107282657</v>
      </c>
      <c r="C16" s="436">
        <v>-4.3877720188901961</v>
      </c>
      <c r="H16" t="s">
        <v>350</v>
      </c>
      <c r="I16" s="436">
        <v>1</v>
      </c>
      <c r="J16" s="436">
        <v>1844.3040917208987</v>
      </c>
      <c r="K16" s="436">
        <v>1844.3040917208987</v>
      </c>
      <c r="L16" s="436">
        <v>1617.8995881861645</v>
      </c>
      <c r="M16" s="436">
        <v>1.7401866991868381E-214</v>
      </c>
    </row>
    <row r="17" spans="1:16" x14ac:dyDescent="0.25">
      <c r="A17" s="437">
        <v>44036</v>
      </c>
      <c r="B17" s="435">
        <v>-0.61903908321639933</v>
      </c>
      <c r="C17" s="436">
        <v>-0.65051982959188015</v>
      </c>
      <c r="H17" t="s">
        <v>349</v>
      </c>
      <c r="I17" s="436">
        <v>1045</v>
      </c>
      <c r="J17" s="436">
        <v>1191.2344807560294</v>
      </c>
      <c r="K17" s="436">
        <v>1.1399373021588797</v>
      </c>
      <c r="L17" s="436"/>
      <c r="M17" s="436"/>
    </row>
    <row r="18" spans="1:16" ht="15.75" thickBot="1" x14ac:dyDescent="0.3">
      <c r="A18" s="437">
        <v>44039</v>
      </c>
      <c r="B18" s="435">
        <v>0.73951294147646784</v>
      </c>
      <c r="C18" s="436">
        <v>1.2284674922985488</v>
      </c>
      <c r="H18" s="439" t="s">
        <v>348</v>
      </c>
      <c r="I18" s="438">
        <v>1046</v>
      </c>
      <c r="J18" s="438">
        <v>3035.538572476928</v>
      </c>
      <c r="K18" s="438"/>
      <c r="L18" s="438"/>
      <c r="M18" s="438"/>
    </row>
    <row r="19" spans="1:16" ht="15.75" thickBot="1" x14ac:dyDescent="0.3">
      <c r="A19" s="437">
        <v>44040</v>
      </c>
      <c r="B19" s="435">
        <v>-0.6473401020556151</v>
      </c>
      <c r="C19" s="436">
        <v>-0.93601986565455753</v>
      </c>
    </row>
    <row r="20" spans="1:16" x14ac:dyDescent="0.25">
      <c r="A20" s="437">
        <v>44041</v>
      </c>
      <c r="B20" s="435">
        <v>1.2428381451883521</v>
      </c>
      <c r="C20" s="436">
        <v>0.97149801980402262</v>
      </c>
      <c r="H20" s="440"/>
      <c r="I20" s="440" t="s">
        <v>347</v>
      </c>
      <c r="J20" s="440" t="s">
        <v>346</v>
      </c>
      <c r="K20" s="440" t="s">
        <v>345</v>
      </c>
      <c r="L20" s="440" t="s">
        <v>344</v>
      </c>
      <c r="M20" s="440" t="s">
        <v>343</v>
      </c>
      <c r="N20" s="440" t="s">
        <v>342</v>
      </c>
      <c r="O20" s="440" t="s">
        <v>341</v>
      </c>
      <c r="P20" s="440" t="s">
        <v>340</v>
      </c>
    </row>
    <row r="21" spans="1:16" x14ac:dyDescent="0.25">
      <c r="A21" s="437">
        <v>44042</v>
      </c>
      <c r="B21" s="435">
        <v>-0.37502608610255994</v>
      </c>
      <c r="C21" s="436">
        <v>-0.11671027225728725</v>
      </c>
      <c r="H21" t="s">
        <v>387</v>
      </c>
      <c r="I21" s="436">
        <v>-3.3930751992277235E-2</v>
      </c>
      <c r="J21" s="436">
        <v>3.3052239815710038E-2</v>
      </c>
      <c r="K21" s="436">
        <v>-1.026579505094527</v>
      </c>
      <c r="L21" s="436">
        <v>0.30485607165448608</v>
      </c>
      <c r="M21" s="436">
        <v>-9.878706956064412E-2</v>
      </c>
      <c r="N21" s="436">
        <v>3.0925565576089657E-2</v>
      </c>
      <c r="O21" s="436">
        <v>-9.878706956064412E-2</v>
      </c>
      <c r="P21" s="436">
        <v>3.0925565576089657E-2</v>
      </c>
    </row>
    <row r="22" spans="1:16" ht="15.75" thickBot="1" x14ac:dyDescent="0.3">
      <c r="A22" s="437">
        <v>44043</v>
      </c>
      <c r="B22" s="435">
        <v>0.76704597963169752</v>
      </c>
      <c r="C22" s="436">
        <v>0.50608500866263451</v>
      </c>
      <c r="H22" s="439" t="s">
        <v>370</v>
      </c>
      <c r="I22" s="497">
        <v>1.2563482235150236</v>
      </c>
      <c r="J22" s="438">
        <v>3.1234477675217556E-2</v>
      </c>
      <c r="K22" s="438">
        <v>40.223122556387452</v>
      </c>
      <c r="L22" s="438">
        <v>1.7401866991867394E-214</v>
      </c>
      <c r="M22" s="438">
        <v>1.1950587855077659</v>
      </c>
      <c r="N22" s="438">
        <v>1.3176376615222813</v>
      </c>
      <c r="O22" s="438">
        <v>1.1950587855077659</v>
      </c>
      <c r="P22" s="438">
        <v>1.3176376615222813</v>
      </c>
    </row>
    <row r="23" spans="1:16" x14ac:dyDescent="0.25">
      <c r="A23" s="437">
        <v>44046</v>
      </c>
      <c r="B23" s="435">
        <v>0.71810266819927848</v>
      </c>
      <c r="C23" s="436">
        <v>5.5858150583902049</v>
      </c>
    </row>
    <row r="24" spans="1:16" x14ac:dyDescent="0.25">
      <c r="A24" s="437">
        <v>44047</v>
      </c>
      <c r="B24" s="435">
        <v>0.36119601409575308</v>
      </c>
      <c r="C24" s="436">
        <v>-1.5391774845577832</v>
      </c>
    </row>
    <row r="25" spans="1:16" x14ac:dyDescent="0.25">
      <c r="A25" s="437">
        <v>44048</v>
      </c>
      <c r="B25" s="435">
        <v>0.6429740118735392</v>
      </c>
      <c r="C25" s="436">
        <v>-0.20239161774411846</v>
      </c>
    </row>
    <row r="26" spans="1:16" ht="18" x14ac:dyDescent="0.25">
      <c r="A26" s="437">
        <v>44049</v>
      </c>
      <c r="B26" s="435">
        <v>0.64277278778280567</v>
      </c>
      <c r="C26" s="436">
        <v>1.5630919263511676</v>
      </c>
      <c r="H26" s="498" t="s">
        <v>365</v>
      </c>
    </row>
    <row r="27" spans="1:16" x14ac:dyDescent="0.25">
      <c r="A27" s="437">
        <v>44050</v>
      </c>
      <c r="B27" s="435">
        <v>6.3299454191509077E-2</v>
      </c>
      <c r="C27" s="436">
        <v>-1.827072772208755</v>
      </c>
      <c r="H27" s="499"/>
    </row>
    <row r="28" spans="1:16" x14ac:dyDescent="0.25">
      <c r="A28" s="437">
        <v>44053</v>
      </c>
      <c r="B28" s="435">
        <v>0.27422358024395455</v>
      </c>
      <c r="C28" s="436">
        <v>-2.0290737573564339</v>
      </c>
      <c r="H28" s="499" t="s">
        <v>366</v>
      </c>
    </row>
    <row r="29" spans="1:16" x14ac:dyDescent="0.25">
      <c r="A29" s="437">
        <v>44054</v>
      </c>
      <c r="B29" s="435">
        <v>-0.79691233666718486</v>
      </c>
      <c r="C29" s="436">
        <v>-2.3768330132052768</v>
      </c>
      <c r="H29" s="499" t="s">
        <v>386</v>
      </c>
    </row>
    <row r="30" spans="1:16" x14ac:dyDescent="0.25">
      <c r="A30" s="437">
        <v>44055</v>
      </c>
      <c r="B30" s="435">
        <v>1.3996502374245912</v>
      </c>
      <c r="C30" s="436">
        <v>2.8184198628990007</v>
      </c>
      <c r="H30" s="499" t="s">
        <v>367</v>
      </c>
    </row>
    <row r="31" spans="1:16" x14ac:dyDescent="0.25">
      <c r="A31" s="437">
        <v>44056</v>
      </c>
      <c r="B31" s="435">
        <v>-0.20471252976762977</v>
      </c>
      <c r="C31" s="436">
        <v>-0.27253920613567206</v>
      </c>
    </row>
    <row r="32" spans="1:16" x14ac:dyDescent="0.25">
      <c r="A32" s="437">
        <v>44057</v>
      </c>
      <c r="B32" s="435">
        <v>-1.7193183199293516E-2</v>
      </c>
      <c r="C32" s="436">
        <v>5.7529900754620625E-2</v>
      </c>
    </row>
    <row r="33" spans="1:3" x14ac:dyDescent="0.25">
      <c r="A33" s="437">
        <v>44060</v>
      </c>
      <c r="B33" s="435">
        <v>0.27098744385311746</v>
      </c>
      <c r="C33" s="436">
        <v>0.62230557186995961</v>
      </c>
    </row>
    <row r="34" spans="1:3" x14ac:dyDescent="0.25">
      <c r="A34" s="437">
        <v>44061</v>
      </c>
      <c r="B34" s="435">
        <v>0.23033775972135986</v>
      </c>
      <c r="C34" s="436">
        <v>0.53712610127175853</v>
      </c>
    </row>
    <row r="35" spans="1:3" x14ac:dyDescent="0.25">
      <c r="A35" s="437">
        <v>44062</v>
      </c>
      <c r="B35" s="435">
        <v>-0.44044156257929096</v>
      </c>
      <c r="C35" s="436">
        <v>-0.88467947783868106</v>
      </c>
    </row>
    <row r="36" spans="1:3" x14ac:dyDescent="0.25">
      <c r="A36" s="437">
        <v>44063</v>
      </c>
      <c r="B36" s="435">
        <v>0.31586589033587598</v>
      </c>
      <c r="C36" s="436">
        <v>2.2888364186047228</v>
      </c>
    </row>
    <row r="37" spans="1:3" x14ac:dyDescent="0.25">
      <c r="A37" s="437">
        <v>44064</v>
      </c>
      <c r="B37" s="435">
        <v>0.34411358997609326</v>
      </c>
      <c r="C37" s="436">
        <v>-0.76530064566128919</v>
      </c>
    </row>
    <row r="38" spans="1:3" x14ac:dyDescent="0.25">
      <c r="A38" s="437">
        <v>44067</v>
      </c>
      <c r="B38" s="435">
        <v>1.0043683547433842</v>
      </c>
      <c r="C38" s="436">
        <v>0.27622351301241765</v>
      </c>
    </row>
    <row r="39" spans="1:3" x14ac:dyDescent="0.25">
      <c r="A39" s="437">
        <v>44068</v>
      </c>
      <c r="B39" s="435">
        <v>0.35963255694666973</v>
      </c>
      <c r="C39" s="436">
        <v>1.2626494941181214</v>
      </c>
    </row>
    <row r="40" spans="1:3" x14ac:dyDescent="0.25">
      <c r="A40" s="437">
        <v>44069</v>
      </c>
      <c r="B40" s="435">
        <v>1.0195666188487733</v>
      </c>
      <c r="C40" s="436">
        <v>2.1236591529451676</v>
      </c>
    </row>
    <row r="41" spans="1:3" x14ac:dyDescent="0.25">
      <c r="A41" s="437">
        <v>44070</v>
      </c>
      <c r="B41" s="435">
        <v>0.16730243508407275</v>
      </c>
      <c r="C41" s="436">
        <v>2.4170507335840195</v>
      </c>
    </row>
    <row r="42" spans="1:3" x14ac:dyDescent="0.25">
      <c r="A42" s="437">
        <v>44071</v>
      </c>
      <c r="B42" s="435">
        <v>0.67325766598269599</v>
      </c>
      <c r="C42" s="436">
        <v>0.99003523675226157</v>
      </c>
    </row>
    <row r="43" spans="1:3" x14ac:dyDescent="0.25">
      <c r="A43" s="437">
        <v>44074</v>
      </c>
      <c r="B43" s="435">
        <v>-0.21949766391772749</v>
      </c>
      <c r="C43" s="436">
        <v>-1.5148649997542192</v>
      </c>
    </row>
    <row r="44" spans="1:3" x14ac:dyDescent="0.25">
      <c r="A44" s="437">
        <v>44075</v>
      </c>
      <c r="B44" s="435">
        <v>0.75250477814822525</v>
      </c>
      <c r="C44" s="436">
        <v>0.73321820499054602</v>
      </c>
    </row>
    <row r="45" spans="1:3" x14ac:dyDescent="0.25">
      <c r="A45" s="437">
        <v>44076</v>
      </c>
      <c r="B45" s="435">
        <v>1.5365857116527031</v>
      </c>
      <c r="C45" s="436">
        <v>1.8889186927052601</v>
      </c>
    </row>
    <row r="46" spans="1:3" x14ac:dyDescent="0.25">
      <c r="A46" s="437">
        <v>44077</v>
      </c>
      <c r="B46" s="435">
        <v>-3.5125836395929499</v>
      </c>
      <c r="C46" s="436">
        <v>-6.2329865407645926</v>
      </c>
    </row>
    <row r="47" spans="1:3" x14ac:dyDescent="0.25">
      <c r="A47" s="437">
        <v>44078</v>
      </c>
      <c r="B47" s="435">
        <v>-0.81329991374968635</v>
      </c>
      <c r="C47" s="436">
        <v>-1.4418908687953418</v>
      </c>
    </row>
    <row r="48" spans="1:3" x14ac:dyDescent="0.25">
      <c r="A48" s="437">
        <v>44082</v>
      </c>
      <c r="B48" s="435">
        <v>-2.7756378831384052</v>
      </c>
      <c r="C48" s="436">
        <v>-5.4478663943990728</v>
      </c>
    </row>
    <row r="49" spans="1:3" x14ac:dyDescent="0.25">
      <c r="A49" s="437">
        <v>44083</v>
      </c>
      <c r="B49" s="435">
        <v>2.014502497118706</v>
      </c>
      <c r="C49" s="436">
        <v>4.2200582501064314</v>
      </c>
    </row>
    <row r="50" spans="1:3" x14ac:dyDescent="0.25">
      <c r="A50" s="437">
        <v>44084</v>
      </c>
      <c r="B50" s="435">
        <v>-1.7584790641843384</v>
      </c>
      <c r="C50" s="436">
        <v>-2.840135484939422</v>
      </c>
    </row>
    <row r="51" spans="1:3" x14ac:dyDescent="0.25">
      <c r="A51" s="437">
        <v>44085</v>
      </c>
      <c r="B51" s="435">
        <v>5.3306340759278308E-2</v>
      </c>
      <c r="C51" s="436">
        <v>-0.69077895633438813</v>
      </c>
    </row>
    <row r="52" spans="1:3" x14ac:dyDescent="0.25">
      <c r="A52" s="437">
        <v>44088</v>
      </c>
      <c r="B52" s="435">
        <v>1.2741808516688318</v>
      </c>
      <c r="C52" s="436">
        <v>0.63807357582890678</v>
      </c>
    </row>
    <row r="53" spans="1:3" x14ac:dyDescent="0.25">
      <c r="A53" s="437">
        <v>44089</v>
      </c>
      <c r="B53" s="435">
        <v>0.52193856138836414</v>
      </c>
      <c r="C53" s="436">
        <v>1.602318730526882</v>
      </c>
    </row>
    <row r="54" spans="1:3" x14ac:dyDescent="0.25">
      <c r="A54" s="437">
        <v>44090</v>
      </c>
      <c r="B54" s="435">
        <v>-0.46189580148183101</v>
      </c>
      <c r="C54" s="436">
        <v>-1.8248676874536243</v>
      </c>
    </row>
    <row r="55" spans="1:3" x14ac:dyDescent="0.25">
      <c r="A55" s="437">
        <v>44091</v>
      </c>
      <c r="B55" s="435">
        <v>-0.84123716212422917</v>
      </c>
      <c r="C55" s="436">
        <v>-1.0819473878032653</v>
      </c>
    </row>
    <row r="56" spans="1:3" x14ac:dyDescent="0.25">
      <c r="A56" s="437">
        <v>44092</v>
      </c>
      <c r="B56" s="435">
        <v>-1.1182570203842235</v>
      </c>
      <c r="C56" s="436">
        <v>-1.2802323593330558</v>
      </c>
    </row>
    <row r="57" spans="1:3" x14ac:dyDescent="0.25">
      <c r="A57" s="437">
        <v>44095</v>
      </c>
      <c r="B57" s="435">
        <v>-1.1571124305988563</v>
      </c>
      <c r="C57" s="436">
        <v>1.0346048409247315</v>
      </c>
    </row>
    <row r="58" spans="1:3" x14ac:dyDescent="0.25">
      <c r="A58" s="437">
        <v>44096</v>
      </c>
      <c r="B58" s="435">
        <v>1.0517942372282196</v>
      </c>
      <c r="C58" s="436">
        <v>2.3711031641444675</v>
      </c>
    </row>
    <row r="59" spans="1:3" x14ac:dyDescent="0.25">
      <c r="A59" s="437">
        <v>44097</v>
      </c>
      <c r="B59" s="435">
        <v>-2.3721411401357861</v>
      </c>
      <c r="C59" s="436">
        <v>-3.3311367880902107</v>
      </c>
    </row>
    <row r="60" spans="1:3" x14ac:dyDescent="0.25">
      <c r="A60" s="437">
        <v>44098</v>
      </c>
      <c r="B60" s="435">
        <v>0.29874077827070405</v>
      </c>
      <c r="C60" s="436">
        <v>1.2578792969974331</v>
      </c>
    </row>
    <row r="61" spans="1:3" x14ac:dyDescent="0.25">
      <c r="A61" s="437">
        <v>44099</v>
      </c>
      <c r="B61" s="435">
        <v>1.5976763311659277</v>
      </c>
      <c r="C61" s="436">
        <v>2.2403578839641978</v>
      </c>
    </row>
    <row r="62" spans="1:3" x14ac:dyDescent="0.25">
      <c r="A62" s="437">
        <v>44102</v>
      </c>
      <c r="B62" s="435">
        <v>1.6110548559024476</v>
      </c>
      <c r="C62" s="436">
        <v>0.74121830691642154</v>
      </c>
    </row>
    <row r="63" spans="1:3" x14ac:dyDescent="0.25">
      <c r="A63" s="437">
        <v>44103</v>
      </c>
      <c r="B63" s="435">
        <v>-0.48126268051080406</v>
      </c>
      <c r="C63" s="436">
        <v>-1.0791742261184611</v>
      </c>
    </row>
    <row r="64" spans="1:3" x14ac:dyDescent="0.25">
      <c r="A64" s="437">
        <v>44104</v>
      </c>
      <c r="B64" s="435">
        <v>0.82537093722924204</v>
      </c>
      <c r="C64" s="436">
        <v>1.4429347168106434</v>
      </c>
    </row>
    <row r="65" spans="1:3" x14ac:dyDescent="0.25">
      <c r="A65" s="437">
        <v>44105</v>
      </c>
      <c r="B65" s="435">
        <v>0.5292893250074393</v>
      </c>
      <c r="C65" s="436">
        <v>0.97439670505683873</v>
      </c>
    </row>
    <row r="66" spans="1:3" x14ac:dyDescent="0.25">
      <c r="A66" s="437">
        <v>44106</v>
      </c>
      <c r="B66" s="435">
        <v>-0.95776147657359523</v>
      </c>
      <c r="C66" s="436">
        <v>-2.9894460008565273</v>
      </c>
    </row>
    <row r="67" spans="1:3" x14ac:dyDescent="0.25">
      <c r="A67" s="437">
        <v>44109</v>
      </c>
      <c r="B67" s="435">
        <v>1.7972655760030054</v>
      </c>
      <c r="C67" s="436">
        <v>1.993807744972047</v>
      </c>
    </row>
    <row r="68" spans="1:3" x14ac:dyDescent="0.25">
      <c r="A68" s="437">
        <v>44110</v>
      </c>
      <c r="B68" s="435">
        <v>-1.3973478847620755</v>
      </c>
      <c r="C68" s="436">
        <v>-2.163027109879109</v>
      </c>
    </row>
    <row r="69" spans="1:3" x14ac:dyDescent="0.25">
      <c r="A69" s="437">
        <v>44111</v>
      </c>
      <c r="B69" s="435">
        <v>1.7396763434365752</v>
      </c>
      <c r="C69" s="436">
        <v>1.8654433460493844</v>
      </c>
    </row>
    <row r="70" spans="1:3" x14ac:dyDescent="0.25">
      <c r="A70" s="437">
        <v>44112</v>
      </c>
      <c r="B70" s="435">
        <v>0.80100835224480826</v>
      </c>
      <c r="C70" s="436">
        <v>0.31913220361786016</v>
      </c>
    </row>
    <row r="71" spans="1:3" x14ac:dyDescent="0.25">
      <c r="A71" s="437">
        <v>44113</v>
      </c>
      <c r="B71" s="435">
        <v>0.87935871510924379</v>
      </c>
      <c r="C71" s="436">
        <v>2.4453147546432255</v>
      </c>
    </row>
    <row r="72" spans="1:3" x14ac:dyDescent="0.25">
      <c r="A72" s="437">
        <v>44116</v>
      </c>
      <c r="B72" s="435">
        <v>1.6415789988323719</v>
      </c>
      <c r="C72" s="436">
        <v>2.5519395865830021</v>
      </c>
    </row>
    <row r="73" spans="1:3" x14ac:dyDescent="0.25">
      <c r="A73" s="437">
        <v>44117</v>
      </c>
      <c r="B73" s="435">
        <v>-0.63069078891523345</v>
      </c>
      <c r="C73" s="436">
        <v>0.62114310730198974</v>
      </c>
    </row>
    <row r="74" spans="1:3" x14ac:dyDescent="0.25">
      <c r="A74" s="437">
        <v>44118</v>
      </c>
      <c r="B74" s="435">
        <v>-0.66231388438834959</v>
      </c>
      <c r="C74" s="436">
        <v>-0.93572438796812163</v>
      </c>
    </row>
    <row r="75" spans="1:3" x14ac:dyDescent="0.25">
      <c r="A75" s="437">
        <v>44119</v>
      </c>
      <c r="B75" s="435">
        <v>-0.15278028589691564</v>
      </c>
      <c r="C75" s="436">
        <v>-0.58162925589365755</v>
      </c>
    </row>
    <row r="76" spans="1:3" x14ac:dyDescent="0.25">
      <c r="A76" s="437">
        <v>44120</v>
      </c>
      <c r="B76" s="435">
        <v>1.3492797142966232E-2</v>
      </c>
      <c r="C76" s="436">
        <v>-3.8300000000000001E-2</v>
      </c>
    </row>
    <row r="77" spans="1:3" x14ac:dyDescent="0.25">
      <c r="A77" s="437">
        <v>44123</v>
      </c>
      <c r="B77" s="435">
        <v>-1.6329822808936159</v>
      </c>
      <c r="C77" s="436">
        <v>-2.5148559960565198</v>
      </c>
    </row>
    <row r="78" spans="1:3" x14ac:dyDescent="0.25">
      <c r="A78" s="437">
        <v>44124</v>
      </c>
      <c r="B78" s="435">
        <v>0.47272769717413354</v>
      </c>
      <c r="C78" s="436">
        <v>0.16242495471606133</v>
      </c>
    </row>
    <row r="79" spans="1:3" x14ac:dyDescent="0.25">
      <c r="A79" s="437">
        <v>44125</v>
      </c>
      <c r="B79" s="435">
        <v>-0.21956829851994547</v>
      </c>
      <c r="C79" s="436">
        <v>3.1585396782266573E-2</v>
      </c>
    </row>
    <row r="80" spans="1:3" x14ac:dyDescent="0.25">
      <c r="A80" s="437">
        <v>44126</v>
      </c>
      <c r="B80" s="435">
        <v>0.52189453829942822</v>
      </c>
      <c r="C80" s="436">
        <v>3.5975785582205433E-3</v>
      </c>
    </row>
    <row r="81" spans="1:3" x14ac:dyDescent="0.25">
      <c r="A81" s="437">
        <v>44127</v>
      </c>
      <c r="B81" s="435">
        <v>0.34457896215133366</v>
      </c>
      <c r="C81" s="436">
        <v>0.58527345908871775</v>
      </c>
    </row>
    <row r="82" spans="1:3" x14ac:dyDescent="0.25">
      <c r="A82" s="437">
        <v>44130</v>
      </c>
      <c r="B82" s="435">
        <v>-1.8589538262648668</v>
      </c>
      <c r="C82" s="436">
        <v>-2.8824909604438012</v>
      </c>
    </row>
    <row r="83" spans="1:3" x14ac:dyDescent="0.25">
      <c r="A83" s="437">
        <v>44131</v>
      </c>
      <c r="B83" s="435">
        <v>-0.30256074002416855</v>
      </c>
      <c r="C83" s="436">
        <v>1.4706480054365156</v>
      </c>
    </row>
    <row r="84" spans="1:3" x14ac:dyDescent="0.25">
      <c r="A84" s="437">
        <v>44132</v>
      </c>
      <c r="B84" s="435">
        <v>-3.5287906850543149</v>
      </c>
      <c r="C84" s="436">
        <v>-4.9949269636576812</v>
      </c>
    </row>
    <row r="85" spans="1:3" x14ac:dyDescent="0.25">
      <c r="A85" s="437">
        <v>44133</v>
      </c>
      <c r="B85" s="435">
        <v>1.1947307117329993</v>
      </c>
      <c r="C85" s="436">
        <v>0.96821671129670928</v>
      </c>
    </row>
    <row r="86" spans="1:3" x14ac:dyDescent="0.25">
      <c r="A86" s="437">
        <v>44134</v>
      </c>
      <c r="B86" s="435">
        <v>-1.21295062701844</v>
      </c>
      <c r="C86" s="436">
        <v>-1.1373621282773441</v>
      </c>
    </row>
    <row r="87" spans="1:3" x14ac:dyDescent="0.25">
      <c r="A87" s="437">
        <v>44137</v>
      </c>
      <c r="B87" s="435">
        <v>1.231819349472157</v>
      </c>
      <c r="C87" s="436">
        <v>-0.10744555208600454</v>
      </c>
    </row>
    <row r="88" spans="1:3" x14ac:dyDescent="0.25">
      <c r="A88" s="437">
        <v>44138</v>
      </c>
      <c r="B88" s="435">
        <v>1.7799313644932111</v>
      </c>
      <c r="C88" s="436">
        <v>1.9880880588505052</v>
      </c>
    </row>
    <row r="89" spans="1:3" x14ac:dyDescent="0.25">
      <c r="A89" s="437">
        <v>44139</v>
      </c>
      <c r="B89" s="435">
        <v>2.204703843094427</v>
      </c>
      <c r="C89" s="436">
        <v>4.7865831748010539</v>
      </c>
    </row>
    <row r="90" spans="1:3" x14ac:dyDescent="0.25">
      <c r="A90" s="437">
        <v>44140</v>
      </c>
      <c r="B90" s="435">
        <v>1.9460190971818809</v>
      </c>
      <c r="C90" s="436">
        <v>3.1503843347136482</v>
      </c>
    </row>
    <row r="91" spans="1:3" x14ac:dyDescent="0.25">
      <c r="A91" s="437">
        <v>44141</v>
      </c>
      <c r="B91" s="435">
        <v>-2.8771240154389425E-2</v>
      </c>
      <c r="C91" s="436">
        <v>0.15427826749091555</v>
      </c>
    </row>
    <row r="92" spans="1:3" x14ac:dyDescent="0.25">
      <c r="A92" s="437">
        <v>44144</v>
      </c>
      <c r="B92" s="435">
        <v>1.1699872344305629</v>
      </c>
      <c r="C92" s="436">
        <v>-2.4207432219629781</v>
      </c>
    </row>
    <row r="93" spans="1:3" x14ac:dyDescent="0.25">
      <c r="A93" s="437">
        <v>44145</v>
      </c>
      <c r="B93" s="435">
        <v>-0.13998028446697083</v>
      </c>
      <c r="C93" s="436">
        <v>-3.4175774549167821</v>
      </c>
    </row>
    <row r="94" spans="1:3" x14ac:dyDescent="0.25">
      <c r="A94" s="437">
        <v>44146</v>
      </c>
      <c r="B94" s="435">
        <v>0.76518884341691229</v>
      </c>
      <c r="C94" s="436">
        <v>2.5871718408007167</v>
      </c>
    </row>
    <row r="95" spans="1:3" x14ac:dyDescent="0.25">
      <c r="A95" s="437">
        <v>44147</v>
      </c>
      <c r="B95" s="435">
        <v>-0.99785593927212879</v>
      </c>
      <c r="C95" s="436">
        <v>-0.5508841536007788</v>
      </c>
    </row>
    <row r="96" spans="1:3" x14ac:dyDescent="0.25">
      <c r="A96" s="437">
        <v>44148</v>
      </c>
      <c r="B96" s="435">
        <v>1.3610365817455949</v>
      </c>
      <c r="C96" s="436">
        <v>0.45835474845289448</v>
      </c>
    </row>
    <row r="97" spans="1:3" x14ac:dyDescent="0.25">
      <c r="A97" s="437">
        <v>44151</v>
      </c>
      <c r="B97" s="435">
        <v>1.1648048198820067</v>
      </c>
      <c r="C97" s="436">
        <v>0.29424861975309563</v>
      </c>
    </row>
    <row r="98" spans="1:3" x14ac:dyDescent="0.25">
      <c r="A98" s="437">
        <v>44152</v>
      </c>
      <c r="B98" s="435">
        <v>-0.4791957892531013</v>
      </c>
      <c r="C98" s="436">
        <v>-1.3134411181722847</v>
      </c>
    </row>
    <row r="99" spans="1:3" x14ac:dyDescent="0.25">
      <c r="A99" s="437">
        <v>44153</v>
      </c>
      <c r="B99" s="435">
        <v>-1.1563832410313872</v>
      </c>
      <c r="C99" s="436">
        <v>-1.6143537581256271</v>
      </c>
    </row>
    <row r="100" spans="1:3" x14ac:dyDescent="0.25">
      <c r="A100" s="437">
        <v>44154</v>
      </c>
      <c r="B100" s="435">
        <v>0.39464206133208307</v>
      </c>
      <c r="C100" s="436">
        <v>0.59652849502720073</v>
      </c>
    </row>
    <row r="101" spans="1:3" x14ac:dyDescent="0.25">
      <c r="A101" s="437">
        <v>44155</v>
      </c>
      <c r="B101" s="435">
        <v>-0.67925413261787637</v>
      </c>
      <c r="C101" s="436">
        <v>-0.99395343146270243</v>
      </c>
    </row>
    <row r="102" spans="1:3" x14ac:dyDescent="0.25">
      <c r="A102" s="437">
        <v>44158</v>
      </c>
      <c r="B102" s="435">
        <v>0.5635916953850183</v>
      </c>
      <c r="C102" s="436">
        <v>-0.17138522331424022</v>
      </c>
    </row>
    <row r="103" spans="1:3" x14ac:dyDescent="0.25">
      <c r="A103" s="437">
        <v>44159</v>
      </c>
      <c r="B103" s="435">
        <v>1.6161717804443692</v>
      </c>
      <c r="C103" s="436">
        <v>1.7464793927715034</v>
      </c>
    </row>
    <row r="104" spans="1:3" x14ac:dyDescent="0.25">
      <c r="A104" s="437">
        <v>44160</v>
      </c>
      <c r="B104" s="435">
        <v>-0.15844155129682108</v>
      </c>
      <c r="C104" s="436">
        <v>-3.3626849362552079E-2</v>
      </c>
    </row>
    <row r="105" spans="1:3" x14ac:dyDescent="0.25">
      <c r="A105" s="437">
        <v>44162</v>
      </c>
      <c r="B105" s="435">
        <v>0.23969253233782367</v>
      </c>
      <c r="C105" s="436">
        <v>0.59760079571471036</v>
      </c>
    </row>
    <row r="106" spans="1:3" x14ac:dyDescent="0.25">
      <c r="A106" s="437">
        <v>44165</v>
      </c>
      <c r="B106" s="435">
        <v>-0.45954897137438128</v>
      </c>
      <c r="C106" s="436">
        <v>-0.57725322285839564</v>
      </c>
    </row>
    <row r="107" spans="1:3" x14ac:dyDescent="0.25">
      <c r="A107" s="437">
        <v>44166</v>
      </c>
      <c r="B107" s="435">
        <v>1.1271167954760621</v>
      </c>
      <c r="C107" s="436">
        <v>0.96137297146862155</v>
      </c>
    </row>
    <row r="108" spans="1:3" x14ac:dyDescent="0.25">
      <c r="A108" s="437">
        <v>44167</v>
      </c>
      <c r="B108" s="435">
        <v>0.17911507324333167</v>
      </c>
      <c r="C108" s="436">
        <v>-0.42681670727710652</v>
      </c>
    </row>
    <row r="109" spans="1:3" x14ac:dyDescent="0.25">
      <c r="A109" s="437">
        <v>44168</v>
      </c>
      <c r="B109" s="435">
        <v>-6.2414656814792496E-2</v>
      </c>
      <c r="C109" s="436">
        <v>-0.56297382933262941</v>
      </c>
    </row>
    <row r="110" spans="1:3" x14ac:dyDescent="0.25">
      <c r="A110" s="437">
        <v>44169</v>
      </c>
      <c r="B110" s="435">
        <v>0.88362351093075264</v>
      </c>
      <c r="C110" s="436">
        <v>1.7710080843684937E-2</v>
      </c>
    </row>
    <row r="111" spans="1:3" x14ac:dyDescent="0.25">
      <c r="A111" s="437">
        <v>44172</v>
      </c>
      <c r="B111" s="435">
        <v>-0.19355954929820754</v>
      </c>
      <c r="C111" s="436">
        <v>-7.0959078033873219E-2</v>
      </c>
    </row>
    <row r="112" spans="1:3" x14ac:dyDescent="0.25">
      <c r="A112" s="437">
        <v>44173</v>
      </c>
      <c r="B112" s="435">
        <v>0.27871374554437112</v>
      </c>
      <c r="C112" s="436">
        <v>0.76435157318848479</v>
      </c>
    </row>
    <row r="113" spans="1:3" x14ac:dyDescent="0.25">
      <c r="A113" s="437">
        <v>44174</v>
      </c>
      <c r="B113" s="435">
        <v>-0.7949220068876991</v>
      </c>
      <c r="C113" s="436">
        <v>-1.9872801849215356</v>
      </c>
    </row>
    <row r="114" spans="1:3" x14ac:dyDescent="0.25">
      <c r="A114" s="437">
        <v>44175</v>
      </c>
      <c r="B114" s="435">
        <v>-0.12851160688517962</v>
      </c>
      <c r="C114" s="436">
        <v>-0.64264323978739679</v>
      </c>
    </row>
    <row r="115" spans="1:3" x14ac:dyDescent="0.25">
      <c r="A115" s="437">
        <v>44176</v>
      </c>
      <c r="B115" s="435">
        <v>-0.12649600610670025</v>
      </c>
      <c r="C115" s="436">
        <v>1.263234746313231</v>
      </c>
    </row>
    <row r="116" spans="1:3" x14ac:dyDescent="0.25">
      <c r="A116" s="437">
        <v>44179</v>
      </c>
      <c r="B116" s="435">
        <v>-0.4359266922526861</v>
      </c>
      <c r="C116" s="436">
        <v>0.40247746508434112</v>
      </c>
    </row>
    <row r="117" spans="1:3" x14ac:dyDescent="0.25">
      <c r="A117" s="437">
        <v>44180</v>
      </c>
      <c r="B117" s="435">
        <v>1.2921214314501237</v>
      </c>
      <c r="C117" s="436">
        <v>-7.0976004192467357E-2</v>
      </c>
    </row>
    <row r="118" spans="1:3" x14ac:dyDescent="0.25">
      <c r="A118" s="437">
        <v>44181</v>
      </c>
      <c r="B118" s="435">
        <v>0.17728480872187619</v>
      </c>
      <c r="C118" s="436">
        <v>2.3667781673497799</v>
      </c>
    </row>
    <row r="119" spans="1:3" x14ac:dyDescent="0.25">
      <c r="A119" s="437">
        <v>44182</v>
      </c>
      <c r="B119" s="435">
        <v>0.57576388007035462</v>
      </c>
      <c r="C119" s="436">
        <v>2.5544856183161907E-2</v>
      </c>
    </row>
    <row r="120" spans="1:3" x14ac:dyDescent="0.25">
      <c r="A120" s="437">
        <v>44183</v>
      </c>
      <c r="B120" s="435">
        <v>-0.3511100126797233</v>
      </c>
      <c r="C120" s="436">
        <v>-0.41657089944644837</v>
      </c>
    </row>
    <row r="121" spans="1:3" x14ac:dyDescent="0.25">
      <c r="A121" s="437">
        <v>44186</v>
      </c>
      <c r="B121" s="435">
        <v>-0.39062815919512217</v>
      </c>
      <c r="C121" s="436">
        <v>1.7916099104242629</v>
      </c>
    </row>
    <row r="122" spans="1:3" x14ac:dyDescent="0.25">
      <c r="A122" s="437">
        <v>44187</v>
      </c>
      <c r="B122" s="435">
        <v>-0.20731166033364332</v>
      </c>
      <c r="C122" s="436">
        <v>0.56819895514620478</v>
      </c>
    </row>
    <row r="123" spans="1:3" x14ac:dyDescent="0.25">
      <c r="A123" s="437">
        <v>44188</v>
      </c>
      <c r="B123" s="435">
        <v>7.4581125280018229E-2</v>
      </c>
      <c r="C123" s="436">
        <v>-1.3422197883011506</v>
      </c>
    </row>
    <row r="124" spans="1:3" x14ac:dyDescent="0.25">
      <c r="A124" s="437">
        <v>44189</v>
      </c>
      <c r="B124" s="435">
        <v>0.35365757816373738</v>
      </c>
      <c r="C124" s="436">
        <v>0.74443277019757903</v>
      </c>
    </row>
    <row r="125" spans="1:3" x14ac:dyDescent="0.25">
      <c r="A125" s="437">
        <v>44193</v>
      </c>
      <c r="B125" s="435">
        <v>0.87225159732762048</v>
      </c>
      <c r="C125" s="436">
        <v>0.95384680134679689</v>
      </c>
    </row>
    <row r="126" spans="1:3" x14ac:dyDescent="0.25">
      <c r="A126" s="437">
        <v>44194</v>
      </c>
      <c r="B126" s="435">
        <v>-0.22273622890431347</v>
      </c>
      <c r="C126" s="436">
        <v>-0.39836977898075809</v>
      </c>
    </row>
    <row r="127" spans="1:3" x14ac:dyDescent="0.25">
      <c r="A127" s="437">
        <v>44195</v>
      </c>
      <c r="B127" s="435">
        <v>0.13415471795312098</v>
      </c>
      <c r="C127" s="436">
        <v>-1.1402411403597881</v>
      </c>
    </row>
    <row r="128" spans="1:3" x14ac:dyDescent="0.25">
      <c r="A128" s="437">
        <v>44196</v>
      </c>
      <c r="B128" s="435">
        <v>0.64388377402172003</v>
      </c>
      <c r="C128" s="436">
        <v>0.29551677344242633</v>
      </c>
    </row>
    <row r="129" spans="1:3" x14ac:dyDescent="0.25">
      <c r="A129" s="437">
        <v>44200</v>
      </c>
      <c r="B129" s="435">
        <v>-1.4754783590295193</v>
      </c>
      <c r="C129" s="436">
        <v>-2.1649055402086641</v>
      </c>
    </row>
    <row r="130" spans="1:3" x14ac:dyDescent="0.25">
      <c r="A130" s="437">
        <v>44201</v>
      </c>
      <c r="B130" s="435">
        <v>0.70825395538621694</v>
      </c>
      <c r="C130" s="436">
        <v>5.8163777881723638E-2</v>
      </c>
    </row>
    <row r="131" spans="1:3" x14ac:dyDescent="0.25">
      <c r="A131" s="437">
        <v>44202</v>
      </c>
      <c r="B131" s="435">
        <v>0.57099005597204466</v>
      </c>
      <c r="C131" s="436">
        <v>-2.6312298557025171</v>
      </c>
    </row>
    <row r="132" spans="1:3" x14ac:dyDescent="0.25">
      <c r="A132" s="437">
        <v>44203</v>
      </c>
      <c r="B132" s="435">
        <v>1.48473642926892</v>
      </c>
      <c r="C132" s="436">
        <v>2.8073975265017714</v>
      </c>
    </row>
    <row r="133" spans="1:3" x14ac:dyDescent="0.25">
      <c r="A133" s="437">
        <v>44204</v>
      </c>
      <c r="B133" s="435">
        <v>0.54918909824148732</v>
      </c>
      <c r="C133" s="436">
        <v>0.57098216713991967</v>
      </c>
    </row>
    <row r="134" spans="1:3" x14ac:dyDescent="0.25">
      <c r="A134" s="437">
        <v>44207</v>
      </c>
      <c r="B134" s="435">
        <v>-0.65547967411651986</v>
      </c>
      <c r="C134" s="436">
        <v>-1.0081524945326552</v>
      </c>
    </row>
    <row r="135" spans="1:3" x14ac:dyDescent="0.25">
      <c r="A135" s="437">
        <v>44208</v>
      </c>
      <c r="B135" s="435">
        <v>4.1583215119444551E-2</v>
      </c>
      <c r="C135" s="436">
        <v>-1.2153711026467631</v>
      </c>
    </row>
    <row r="136" spans="1:3" x14ac:dyDescent="0.25">
      <c r="A136" s="437">
        <v>44209</v>
      </c>
      <c r="B136" s="435">
        <v>0.22756031663768692</v>
      </c>
      <c r="C136" s="436">
        <v>0.61772896102081831</v>
      </c>
    </row>
    <row r="137" spans="1:3" x14ac:dyDescent="0.25">
      <c r="A137" s="437">
        <v>44210</v>
      </c>
      <c r="B137" s="435">
        <v>-0.37534384646074853</v>
      </c>
      <c r="C137" s="436">
        <v>-1.5729177597229933</v>
      </c>
    </row>
    <row r="138" spans="1:3" x14ac:dyDescent="0.25">
      <c r="A138" s="437">
        <v>44211</v>
      </c>
      <c r="B138" s="435">
        <v>-0.71900177576840096</v>
      </c>
      <c r="C138" s="436">
        <v>-0.21199730215572041</v>
      </c>
    </row>
    <row r="139" spans="1:3" x14ac:dyDescent="0.25">
      <c r="A139" s="437">
        <v>44215</v>
      </c>
      <c r="B139" s="435">
        <v>0.81364028395143251</v>
      </c>
      <c r="C139" s="436">
        <v>1.7439751502170275</v>
      </c>
    </row>
    <row r="140" spans="1:3" x14ac:dyDescent="0.25">
      <c r="A140" s="437">
        <v>44216</v>
      </c>
      <c r="B140" s="435">
        <v>1.3935576257400164</v>
      </c>
      <c r="C140" s="436">
        <v>3.6116694728334093</v>
      </c>
    </row>
    <row r="141" spans="1:3" x14ac:dyDescent="0.25">
      <c r="A141" s="437">
        <v>44217</v>
      </c>
      <c r="B141" s="435">
        <v>3.1673092150531684E-2</v>
      </c>
      <c r="C141" s="436">
        <v>0.2425259834327459</v>
      </c>
    </row>
    <row r="142" spans="1:3" x14ac:dyDescent="0.25">
      <c r="A142" s="437">
        <v>44218</v>
      </c>
      <c r="B142" s="435">
        <v>-0.30105863636010671</v>
      </c>
      <c r="C142" s="436">
        <v>0.39731185742271474</v>
      </c>
    </row>
    <row r="143" spans="1:3" x14ac:dyDescent="0.25">
      <c r="A143" s="437">
        <v>44221</v>
      </c>
      <c r="B143" s="435">
        <v>0.36158033252896227</v>
      </c>
      <c r="C143" s="436">
        <v>1.5461222383415245</v>
      </c>
    </row>
    <row r="144" spans="1:3" x14ac:dyDescent="0.25">
      <c r="A144" s="437">
        <v>44222</v>
      </c>
      <c r="B144" s="435">
        <v>-0.14888363213812034</v>
      </c>
      <c r="C144" s="436">
        <v>1.1815854233428564</v>
      </c>
    </row>
    <row r="145" spans="1:3" x14ac:dyDescent="0.25">
      <c r="A145" s="437">
        <v>44223</v>
      </c>
      <c r="B145" s="435">
        <v>-2.567785911336701</v>
      </c>
      <c r="C145" s="436">
        <v>0.20703723371636906</v>
      </c>
    </row>
    <row r="146" spans="1:3" x14ac:dyDescent="0.25">
      <c r="A146" s="437">
        <v>44224</v>
      </c>
      <c r="B146" s="435">
        <v>0.97606624773046935</v>
      </c>
      <c r="C146" s="436">
        <v>2.5507936691050337</v>
      </c>
    </row>
    <row r="147" spans="1:3" x14ac:dyDescent="0.25">
      <c r="A147" s="437">
        <v>44225</v>
      </c>
      <c r="B147" s="435">
        <v>-1.9311502938707055</v>
      </c>
      <c r="C147" s="436">
        <v>-2.9554666195963963</v>
      </c>
    </row>
    <row r="148" spans="1:3" x14ac:dyDescent="0.25">
      <c r="A148" s="437">
        <v>44228</v>
      </c>
      <c r="B148" s="435">
        <v>1.6051736021366509</v>
      </c>
      <c r="C148" s="436">
        <v>3.2769210587750162</v>
      </c>
    </row>
    <row r="149" spans="1:3" x14ac:dyDescent="0.25">
      <c r="A149" s="437">
        <v>44229</v>
      </c>
      <c r="B149" s="435">
        <v>1.3898236818535878</v>
      </c>
      <c r="C149" s="436">
        <v>-9.671811120595683E-2</v>
      </c>
    </row>
    <row r="150" spans="1:3" x14ac:dyDescent="0.25">
      <c r="A150" s="437">
        <v>44230</v>
      </c>
      <c r="B150" s="435">
        <v>0.10088048276276954</v>
      </c>
      <c r="C150" s="436">
        <v>1.4188437822459126</v>
      </c>
    </row>
    <row r="151" spans="1:3" x14ac:dyDescent="0.25">
      <c r="A151" s="437">
        <v>44231</v>
      </c>
      <c r="B151" s="435">
        <v>1.0853304161434012</v>
      </c>
      <c r="C151" s="436">
        <v>-0.44570946502057474</v>
      </c>
    </row>
    <row r="152" spans="1:3" x14ac:dyDescent="0.25">
      <c r="A152" s="437">
        <v>44232</v>
      </c>
      <c r="B152" s="435">
        <v>0.38974724542454159</v>
      </c>
      <c r="C152" s="436">
        <v>4.0209980548527632E-2</v>
      </c>
    </row>
    <row r="153" spans="1:3" x14ac:dyDescent="0.25">
      <c r="A153" s="437">
        <v>44235</v>
      </c>
      <c r="B153" s="435">
        <v>0.7399345996609118</v>
      </c>
      <c r="C153" s="436">
        <v>7.3179770166966668E-2</v>
      </c>
    </row>
    <row r="154" spans="1:3" x14ac:dyDescent="0.25">
      <c r="A154" s="437">
        <v>44236</v>
      </c>
      <c r="B154" s="435">
        <v>-0.11134975827397985</v>
      </c>
      <c r="C154" s="436">
        <v>0.49785003696890473</v>
      </c>
    </row>
    <row r="155" spans="1:3" x14ac:dyDescent="0.25">
      <c r="A155" s="437">
        <v>44237</v>
      </c>
      <c r="B155" s="435">
        <v>-3.4515996246702672E-2</v>
      </c>
      <c r="C155" s="436">
        <v>-0.42801037634310257</v>
      </c>
    </row>
    <row r="156" spans="1:3" x14ac:dyDescent="0.25">
      <c r="A156" s="437">
        <v>44238</v>
      </c>
      <c r="B156" s="435">
        <v>0.16624551137119298</v>
      </c>
      <c r="C156" s="436">
        <v>0.64945140097907683</v>
      </c>
    </row>
    <row r="157" spans="1:3" x14ac:dyDescent="0.25">
      <c r="A157" s="437">
        <v>44239</v>
      </c>
      <c r="B157" s="435">
        <v>0.4710983101741868</v>
      </c>
      <c r="C157" s="436">
        <v>0.16620733763124593</v>
      </c>
    </row>
    <row r="158" spans="1:3" x14ac:dyDescent="0.25">
      <c r="A158" s="437">
        <v>44243</v>
      </c>
      <c r="B158" s="435">
        <v>-5.6927491149548565E-2</v>
      </c>
      <c r="C158" s="436">
        <v>-0.56485535886045646</v>
      </c>
    </row>
    <row r="159" spans="1:3" x14ac:dyDescent="0.25">
      <c r="A159" s="437">
        <v>44244</v>
      </c>
      <c r="B159" s="435">
        <v>-3.2039953313216435E-2</v>
      </c>
      <c r="C159" s="436">
        <v>0.16687029386750463</v>
      </c>
    </row>
    <row r="160" spans="1:3" x14ac:dyDescent="0.25">
      <c r="A160" s="437">
        <v>44245</v>
      </c>
      <c r="B160" s="435">
        <v>-0.44158083905447076</v>
      </c>
      <c r="C160" s="436">
        <v>-0.20619680795941472</v>
      </c>
    </row>
    <row r="161" spans="1:3" x14ac:dyDescent="0.25">
      <c r="A161" s="437">
        <v>44246</v>
      </c>
      <c r="B161" s="435">
        <v>-0.18548941356218276</v>
      </c>
      <c r="C161" s="436">
        <v>-1.1950300057307985</v>
      </c>
    </row>
    <row r="162" spans="1:3" x14ac:dyDescent="0.25">
      <c r="A162" s="437">
        <v>44249</v>
      </c>
      <c r="B162" s="435">
        <v>-0.77328493796570608</v>
      </c>
      <c r="C162" s="436">
        <v>-2.7191341176045367</v>
      </c>
    </row>
    <row r="163" spans="1:3" x14ac:dyDescent="0.25">
      <c r="A163" s="437">
        <v>44250</v>
      </c>
      <c r="B163" s="435">
        <v>0.12562878885592393</v>
      </c>
      <c r="C163" s="436">
        <v>-0.56705827318149216</v>
      </c>
    </row>
    <row r="164" spans="1:3" x14ac:dyDescent="0.25">
      <c r="A164" s="437">
        <v>44251</v>
      </c>
      <c r="B164" s="435">
        <v>1.1351661913190432</v>
      </c>
      <c r="C164" s="436">
        <v>0.51041992885977905</v>
      </c>
    </row>
    <row r="165" spans="1:3" x14ac:dyDescent="0.25">
      <c r="A165" s="437">
        <v>44252</v>
      </c>
      <c r="B165" s="435">
        <v>-2.4478846903396492</v>
      </c>
      <c r="C165" s="436">
        <v>-2.4087958127841111</v>
      </c>
    </row>
    <row r="166" spans="1:3" x14ac:dyDescent="0.25">
      <c r="A166" s="437">
        <v>44253</v>
      </c>
      <c r="B166" s="435">
        <v>-0.4750165824920235</v>
      </c>
      <c r="C166" s="436">
        <v>1.4421139595525205</v>
      </c>
    </row>
    <row r="167" spans="1:3" x14ac:dyDescent="0.25">
      <c r="A167" s="437">
        <v>44256</v>
      </c>
      <c r="B167" s="435">
        <v>2.3790719336683175</v>
      </c>
      <c r="C167" s="436">
        <v>1.9240017909823959</v>
      </c>
    </row>
    <row r="168" spans="1:3" x14ac:dyDescent="0.25">
      <c r="A168" s="437">
        <v>44257</v>
      </c>
      <c r="B168" s="435">
        <v>-0.80808443239309347</v>
      </c>
      <c r="C168" s="436">
        <v>-1.333989615128814</v>
      </c>
    </row>
    <row r="169" spans="1:3" x14ac:dyDescent="0.25">
      <c r="A169" s="437">
        <v>44258</v>
      </c>
      <c r="B169" s="435">
        <v>-1.3066204341276795</v>
      </c>
      <c r="C169" s="436">
        <v>-2.7363789049061134</v>
      </c>
    </row>
    <row r="170" spans="1:3" x14ac:dyDescent="0.25">
      <c r="A170" s="437">
        <v>44259</v>
      </c>
      <c r="B170" s="435">
        <v>-1.3417213827191523</v>
      </c>
      <c r="C170" s="436">
        <v>-0.40303985203673953</v>
      </c>
    </row>
    <row r="171" spans="1:3" x14ac:dyDescent="0.25">
      <c r="A171" s="437">
        <v>44260</v>
      </c>
      <c r="B171" s="435">
        <v>1.9495975820425864</v>
      </c>
      <c r="C171" s="436">
        <v>2.1096337034875647</v>
      </c>
    </row>
    <row r="172" spans="1:3" x14ac:dyDescent="0.25">
      <c r="A172" s="437">
        <v>44263</v>
      </c>
      <c r="B172" s="435">
        <v>-0.53592716179847022</v>
      </c>
      <c r="C172" s="436">
        <v>-1.8560922672420046</v>
      </c>
    </row>
    <row r="173" spans="1:3" x14ac:dyDescent="0.25">
      <c r="A173" s="437">
        <v>44264</v>
      </c>
      <c r="B173" s="435">
        <v>1.4154683554241341</v>
      </c>
      <c r="C173" s="436">
        <v>2.7718499749775782</v>
      </c>
    </row>
    <row r="174" spans="1:3" x14ac:dyDescent="0.25">
      <c r="A174" s="437">
        <v>44265</v>
      </c>
      <c r="B174" s="435">
        <v>0.60302830130255891</v>
      </c>
      <c r="C174" s="436">
        <v>-0.62004394978931077</v>
      </c>
    </row>
    <row r="175" spans="1:3" x14ac:dyDescent="0.25">
      <c r="A175" s="437">
        <v>44266</v>
      </c>
      <c r="B175" s="435">
        <v>1.0395479646353682</v>
      </c>
      <c r="C175" s="436">
        <v>1.9882067724508019</v>
      </c>
    </row>
    <row r="176" spans="1:3" x14ac:dyDescent="0.25">
      <c r="A176" s="437">
        <v>44267</v>
      </c>
      <c r="B176" s="435">
        <v>0.10153985185335614</v>
      </c>
      <c r="C176" s="436">
        <v>-0.62026135912872404</v>
      </c>
    </row>
    <row r="177" spans="1:3" x14ac:dyDescent="0.25">
      <c r="A177" s="437">
        <v>44270</v>
      </c>
      <c r="B177" s="435">
        <v>0.64919585934765722</v>
      </c>
      <c r="C177" s="436">
        <v>-0.43702831389183144</v>
      </c>
    </row>
    <row r="178" spans="1:3" x14ac:dyDescent="0.25">
      <c r="A178" s="437">
        <v>44271</v>
      </c>
      <c r="B178" s="435">
        <v>-0.15696886322292647</v>
      </c>
      <c r="C178" s="436">
        <v>1.1967449404628772</v>
      </c>
    </row>
    <row r="179" spans="1:3" x14ac:dyDescent="0.25">
      <c r="A179" s="437">
        <v>44272</v>
      </c>
      <c r="B179" s="435">
        <v>0.2879342672060245</v>
      </c>
      <c r="C179" s="436">
        <v>-0.32016192430677964</v>
      </c>
    </row>
    <row r="180" spans="1:3" x14ac:dyDescent="0.25">
      <c r="A180" s="437">
        <v>44273</v>
      </c>
      <c r="B180" s="435">
        <v>-1.4760500437832742</v>
      </c>
      <c r="C180" s="436">
        <v>-2.7045133760694187</v>
      </c>
    </row>
    <row r="181" spans="1:3" x14ac:dyDescent="0.25">
      <c r="A181" s="437">
        <v>44274</v>
      </c>
      <c r="B181" s="435">
        <v>-6.0273888636332068E-2</v>
      </c>
      <c r="C181" s="436">
        <v>-0.19866537725222563</v>
      </c>
    </row>
    <row r="182" spans="1:3" x14ac:dyDescent="0.25">
      <c r="A182" s="437">
        <v>44277</v>
      </c>
      <c r="B182" s="435">
        <v>0.70251207482559197</v>
      </c>
      <c r="C182" s="436">
        <v>2.4101475159944159</v>
      </c>
    </row>
    <row r="183" spans="1:3" x14ac:dyDescent="0.25">
      <c r="A183" s="437">
        <v>44278</v>
      </c>
      <c r="B183" s="435">
        <v>-0.7630837006641179</v>
      </c>
      <c r="C183" s="436">
        <v>0.63545607708470997</v>
      </c>
    </row>
    <row r="184" spans="1:3" x14ac:dyDescent="0.25">
      <c r="A184" s="437">
        <v>44279</v>
      </c>
      <c r="B184" s="435">
        <v>-0.54673035811094461</v>
      </c>
      <c r="C184" s="436">
        <v>-0.93062889222722422</v>
      </c>
    </row>
    <row r="185" spans="1:3" x14ac:dyDescent="0.25">
      <c r="A185" s="437">
        <v>44280</v>
      </c>
      <c r="B185" s="435">
        <v>0.52402330592367752</v>
      </c>
      <c r="C185" s="436">
        <v>-1.3633704609042065</v>
      </c>
    </row>
    <row r="186" spans="1:3" x14ac:dyDescent="0.25">
      <c r="A186" s="437">
        <v>44281</v>
      </c>
      <c r="B186" s="435">
        <v>1.6631197691788244</v>
      </c>
      <c r="C186" s="436">
        <v>1.7435714260458133</v>
      </c>
    </row>
    <row r="187" spans="1:3" x14ac:dyDescent="0.25">
      <c r="A187" s="437">
        <v>44284</v>
      </c>
      <c r="B187" s="435">
        <v>-8.6802497899123365E-2</v>
      </c>
      <c r="C187" s="436">
        <v>-0.56265344256349004</v>
      </c>
    </row>
    <row r="188" spans="1:3" x14ac:dyDescent="0.25">
      <c r="A188" s="437">
        <v>44285</v>
      </c>
      <c r="B188" s="435">
        <v>-0.31578231669390427</v>
      </c>
      <c r="C188" s="436">
        <v>-1.4793809930054154</v>
      </c>
    </row>
    <row r="189" spans="1:3" x14ac:dyDescent="0.25">
      <c r="A189" s="437">
        <v>44286</v>
      </c>
      <c r="B189" s="435">
        <v>0.36225385557842366</v>
      </c>
      <c r="C189" s="436">
        <v>1.6524474222795544</v>
      </c>
    </row>
    <row r="190" spans="1:3" x14ac:dyDescent="0.25">
      <c r="A190" s="437">
        <v>44287</v>
      </c>
      <c r="B190" s="435">
        <v>1.1825144919693225</v>
      </c>
      <c r="C190" s="436">
        <v>2.7525562956973979</v>
      </c>
    </row>
    <row r="191" spans="1:3" x14ac:dyDescent="0.25">
      <c r="A191" s="437">
        <v>44291</v>
      </c>
      <c r="B191" s="435">
        <v>1.4438277854756489</v>
      </c>
      <c r="C191" s="436">
        <v>2.7345495290402413</v>
      </c>
    </row>
    <row r="192" spans="1:3" x14ac:dyDescent="0.25">
      <c r="A192" s="437">
        <v>44292</v>
      </c>
      <c r="B192" s="435">
        <v>-9.7353791525555983E-2</v>
      </c>
      <c r="C192" s="436">
        <v>-0.52410959810226876</v>
      </c>
    </row>
    <row r="193" spans="1:3" x14ac:dyDescent="0.25">
      <c r="A193" s="437">
        <v>44293</v>
      </c>
      <c r="B193" s="435">
        <v>0.14752303666720087</v>
      </c>
      <c r="C193" s="436">
        <v>0.78474243999417292</v>
      </c>
    </row>
    <row r="194" spans="1:3" x14ac:dyDescent="0.25">
      <c r="A194" s="437">
        <v>44294</v>
      </c>
      <c r="B194" s="435">
        <v>0.42206399588230875</v>
      </c>
      <c r="C194" s="436">
        <v>1.3022386476319834</v>
      </c>
    </row>
    <row r="195" spans="1:3" x14ac:dyDescent="0.25">
      <c r="A195" s="437">
        <v>44295</v>
      </c>
      <c r="B195" s="435">
        <v>0.77199628035937262</v>
      </c>
      <c r="C195" s="436">
        <v>0.98835587364264854</v>
      </c>
    </row>
    <row r="196" spans="1:3" x14ac:dyDescent="0.25">
      <c r="A196" s="437">
        <v>44298</v>
      </c>
      <c r="B196" s="435">
        <v>-1.9618291028880065E-2</v>
      </c>
      <c r="C196" s="436">
        <v>-1.4849541296481774E-2</v>
      </c>
    </row>
    <row r="197" spans="1:3" x14ac:dyDescent="0.25">
      <c r="A197" s="437">
        <v>44299</v>
      </c>
      <c r="B197" s="435">
        <v>0.32945816244710779</v>
      </c>
      <c r="C197" s="436">
        <v>0.96986144725627499</v>
      </c>
    </row>
    <row r="198" spans="1:3" x14ac:dyDescent="0.25">
      <c r="A198" s="437">
        <v>44300</v>
      </c>
      <c r="B198" s="435">
        <v>-0.40878020277237226</v>
      </c>
      <c r="C198" s="436">
        <v>-1.1601979891638992</v>
      </c>
    </row>
    <row r="199" spans="1:3" x14ac:dyDescent="0.25">
      <c r="A199" s="437">
        <v>44301</v>
      </c>
      <c r="B199" s="435">
        <v>1.1094247768300955</v>
      </c>
      <c r="C199" s="436">
        <v>1.4914953993473148</v>
      </c>
    </row>
    <row r="200" spans="1:3" x14ac:dyDescent="0.25">
      <c r="A200" s="437">
        <v>44302</v>
      </c>
      <c r="B200" s="435">
        <v>0.36087492386858355</v>
      </c>
      <c r="C200" s="436">
        <v>0.43953815028900861</v>
      </c>
    </row>
    <row r="201" spans="1:3" x14ac:dyDescent="0.25">
      <c r="A201" s="437">
        <v>44305</v>
      </c>
      <c r="B201" s="435">
        <v>-0.53064530387268416</v>
      </c>
      <c r="C201" s="436">
        <v>-0.80534766307615491</v>
      </c>
    </row>
    <row r="202" spans="1:3" x14ac:dyDescent="0.25">
      <c r="A202" s="437">
        <v>44306</v>
      </c>
      <c r="B202" s="435">
        <v>-0.68023616108531815</v>
      </c>
      <c r="C202" s="436">
        <v>-0.22380669341834444</v>
      </c>
    </row>
    <row r="203" spans="1:3" x14ac:dyDescent="0.25">
      <c r="A203" s="437">
        <v>44307</v>
      </c>
      <c r="B203" s="435">
        <v>0.93060600637495294</v>
      </c>
      <c r="C203" s="436">
        <v>0.8600105824242763</v>
      </c>
    </row>
    <row r="204" spans="1:3" x14ac:dyDescent="0.25">
      <c r="A204" s="437">
        <v>44308</v>
      </c>
      <c r="B204" s="435">
        <v>-0.92106713438859511</v>
      </c>
      <c r="C204" s="436">
        <v>-1.3469093215593082</v>
      </c>
    </row>
    <row r="205" spans="1:3" x14ac:dyDescent="0.25">
      <c r="A205" s="437">
        <v>44309</v>
      </c>
      <c r="B205" s="435">
        <v>1.0928710658818306</v>
      </c>
      <c r="C205" s="436">
        <v>1.5093069521371489</v>
      </c>
    </row>
    <row r="206" spans="1:3" x14ac:dyDescent="0.25">
      <c r="A206" s="437">
        <v>44312</v>
      </c>
      <c r="B206" s="435">
        <v>0.17822241679165723</v>
      </c>
      <c r="C206" s="436">
        <v>0.11486638299443822</v>
      </c>
    </row>
    <row r="207" spans="1:3" x14ac:dyDescent="0.25">
      <c r="A207" s="437">
        <v>44313</v>
      </c>
      <c r="B207" s="435">
        <v>-2.149192142552658E-2</v>
      </c>
      <c r="C207" s="436">
        <v>0.12228612856829493</v>
      </c>
    </row>
    <row r="208" spans="1:3" x14ac:dyDescent="0.25">
      <c r="A208" s="437">
        <v>44314</v>
      </c>
      <c r="B208" s="435">
        <v>-8.4553063018304619E-2</v>
      </c>
      <c r="C208" s="436">
        <v>-2.8668692910311577</v>
      </c>
    </row>
    <row r="209" spans="1:3" x14ac:dyDescent="0.25">
      <c r="A209" s="437">
        <v>44315</v>
      </c>
      <c r="B209" s="435">
        <v>0.67627976802336887</v>
      </c>
      <c r="C209" s="436">
        <v>-0.84361230990974612</v>
      </c>
    </row>
    <row r="210" spans="1:3" x14ac:dyDescent="0.25">
      <c r="A210" s="437">
        <v>44316</v>
      </c>
      <c r="B210" s="435">
        <v>-0.7194637501869936</v>
      </c>
      <c r="C210" s="436">
        <v>-0.16898868818440532</v>
      </c>
    </row>
    <row r="211" spans="1:3" x14ac:dyDescent="0.25">
      <c r="A211" s="437">
        <v>44319</v>
      </c>
      <c r="B211" s="435">
        <v>0.27480346410214801</v>
      </c>
      <c r="C211" s="436">
        <v>-0.16519031996284692</v>
      </c>
    </row>
    <row r="212" spans="1:3" x14ac:dyDescent="0.25">
      <c r="A212" s="437">
        <v>44320</v>
      </c>
      <c r="B212" s="435">
        <v>-0.6678337857112191</v>
      </c>
      <c r="C212" s="436">
        <v>-1.6542803001033108</v>
      </c>
    </row>
    <row r="213" spans="1:3" x14ac:dyDescent="0.25">
      <c r="A213" s="437">
        <v>44321</v>
      </c>
      <c r="B213" s="435">
        <v>7.0353882429785172E-2</v>
      </c>
      <c r="C213" s="436">
        <v>-0.57100593538457112</v>
      </c>
    </row>
    <row r="214" spans="1:3" x14ac:dyDescent="0.25">
      <c r="A214" s="437">
        <v>44322</v>
      </c>
      <c r="B214" s="435">
        <v>0.81653905494541801</v>
      </c>
      <c r="C214" s="436">
        <v>1.2843741537604016</v>
      </c>
    </row>
    <row r="215" spans="1:3" x14ac:dyDescent="0.25">
      <c r="A215" s="437">
        <v>44323</v>
      </c>
      <c r="B215" s="435">
        <v>0.73733464711231556</v>
      </c>
      <c r="C215" s="436">
        <v>1.0548850573528983</v>
      </c>
    </row>
    <row r="216" spans="1:3" x14ac:dyDescent="0.25">
      <c r="A216" s="437">
        <v>44326</v>
      </c>
      <c r="B216" s="435">
        <v>-1.0435666020885523</v>
      </c>
      <c r="C216" s="436">
        <v>-2.1297259104809396</v>
      </c>
    </row>
    <row r="217" spans="1:3" x14ac:dyDescent="0.25">
      <c r="A217" s="437">
        <v>44327</v>
      </c>
      <c r="B217" s="435">
        <v>-0.86738945141735502</v>
      </c>
      <c r="C217" s="436">
        <v>-0.42263409940261476</v>
      </c>
    </row>
    <row r="218" spans="1:3" x14ac:dyDescent="0.25">
      <c r="A218" s="437">
        <v>44328</v>
      </c>
      <c r="B218" s="435">
        <v>-2.1449387057151896</v>
      </c>
      <c r="C218" s="436">
        <v>-2.9745775118592781</v>
      </c>
    </row>
    <row r="219" spans="1:3" x14ac:dyDescent="0.25">
      <c r="A219" s="437">
        <v>44329</v>
      </c>
      <c r="B219" s="435">
        <v>1.217315113806412</v>
      </c>
      <c r="C219" s="436">
        <v>1.6478920502092065</v>
      </c>
    </row>
    <row r="220" spans="1:3" x14ac:dyDescent="0.25">
      <c r="A220" s="437">
        <v>44330</v>
      </c>
      <c r="B220" s="435">
        <v>1.4917933130699177</v>
      </c>
      <c r="C220" s="436">
        <v>2.0684337452443429</v>
      </c>
    </row>
    <row r="221" spans="1:3" x14ac:dyDescent="0.25">
      <c r="A221" s="437">
        <v>44333</v>
      </c>
      <c r="B221" s="435">
        <v>-0.25300382141189548</v>
      </c>
      <c r="C221" s="436">
        <v>-1.23515717179586</v>
      </c>
    </row>
    <row r="222" spans="1:3" x14ac:dyDescent="0.25">
      <c r="A222" s="437">
        <v>44334</v>
      </c>
      <c r="B222" s="435">
        <v>-0.85173024218827031</v>
      </c>
      <c r="C222" s="436">
        <v>-0.89480993553947474</v>
      </c>
    </row>
    <row r="223" spans="1:3" x14ac:dyDescent="0.25">
      <c r="A223" s="437">
        <v>44335</v>
      </c>
      <c r="B223" s="435">
        <v>-0.29434351705374584</v>
      </c>
      <c r="C223" s="436">
        <v>-2.1847391940542565E-2</v>
      </c>
    </row>
    <row r="224" spans="1:3" x14ac:dyDescent="0.25">
      <c r="A224" s="437">
        <v>44336</v>
      </c>
      <c r="B224" s="435">
        <v>1.0554756443649556</v>
      </c>
      <c r="C224" s="436">
        <v>1.3437340034146559</v>
      </c>
    </row>
    <row r="225" spans="1:3" x14ac:dyDescent="0.25">
      <c r="A225" s="437">
        <v>44337</v>
      </c>
      <c r="B225" s="435">
        <v>-7.838196541576628E-2</v>
      </c>
      <c r="C225" s="436">
        <v>-0.56978248184814451</v>
      </c>
    </row>
    <row r="226" spans="1:3" x14ac:dyDescent="0.25">
      <c r="A226" s="437">
        <v>44340</v>
      </c>
      <c r="B226" s="435">
        <v>0.99113059631461398</v>
      </c>
      <c r="C226" s="436">
        <v>2.2499086086242945</v>
      </c>
    </row>
    <row r="227" spans="1:3" x14ac:dyDescent="0.25">
      <c r="A227" s="437">
        <v>44341</v>
      </c>
      <c r="B227" s="435">
        <v>-0.2125302295660064</v>
      </c>
      <c r="C227" s="436">
        <v>0.3365313277567214</v>
      </c>
    </row>
    <row r="228" spans="1:3" x14ac:dyDescent="0.25">
      <c r="A228" s="437">
        <v>44342</v>
      </c>
      <c r="B228" s="435">
        <v>0.18767325751587635</v>
      </c>
      <c r="C228" s="436">
        <v>-0.12966977557854048</v>
      </c>
    </row>
    <row r="229" spans="1:3" x14ac:dyDescent="0.25">
      <c r="A229" s="437">
        <v>44343</v>
      </c>
      <c r="B229" s="435">
        <v>0.1165398392274607</v>
      </c>
      <c r="C229" s="436">
        <v>-0.90513643749579198</v>
      </c>
    </row>
    <row r="230" spans="1:3" x14ac:dyDescent="0.25">
      <c r="A230" s="437">
        <v>44344</v>
      </c>
      <c r="B230" s="435">
        <v>7.6888651901495964E-2</v>
      </c>
      <c r="C230" s="436">
        <v>0.11010760618031401</v>
      </c>
    </row>
    <row r="231" spans="1:3" x14ac:dyDescent="0.25">
      <c r="A231" s="437">
        <v>44348</v>
      </c>
      <c r="B231" s="435">
        <v>-4.9237531843831603E-2</v>
      </c>
      <c r="C231" s="436">
        <v>-0.95146848122468664</v>
      </c>
    </row>
    <row r="232" spans="1:3" x14ac:dyDescent="0.25">
      <c r="A232" s="437">
        <v>44349</v>
      </c>
      <c r="B232" s="435">
        <v>0.14469162597214513</v>
      </c>
      <c r="C232" s="436">
        <v>-7.8716735014144196E-2</v>
      </c>
    </row>
    <row r="233" spans="1:3" x14ac:dyDescent="0.25">
      <c r="A233" s="437">
        <v>44350</v>
      </c>
      <c r="B233" s="435">
        <v>-0.3628698801364868</v>
      </c>
      <c r="C233" s="436">
        <v>-0.68124216769581414</v>
      </c>
    </row>
    <row r="234" spans="1:3" x14ac:dyDescent="0.25">
      <c r="A234" s="437">
        <v>44351</v>
      </c>
      <c r="B234" s="435">
        <v>0.88340865998068041</v>
      </c>
      <c r="C234" s="436">
        <v>2.0291721644527971</v>
      </c>
    </row>
    <row r="235" spans="1:3" x14ac:dyDescent="0.25">
      <c r="A235" s="437">
        <v>44354</v>
      </c>
      <c r="B235" s="435">
        <v>-7.9671102558219964E-2</v>
      </c>
      <c r="C235" s="436">
        <v>1.1658967719182469</v>
      </c>
    </row>
    <row r="236" spans="1:3" x14ac:dyDescent="0.25">
      <c r="A236" s="437">
        <v>44355</v>
      </c>
      <c r="B236" s="435">
        <v>1.750849398559055E-2</v>
      </c>
      <c r="C236" s="436">
        <v>-0.52685088836965499</v>
      </c>
    </row>
    <row r="237" spans="1:3" x14ac:dyDescent="0.25">
      <c r="A237" s="437">
        <v>44356</v>
      </c>
      <c r="B237" s="435">
        <v>-0.1823876458982896</v>
      </c>
      <c r="C237" s="436">
        <v>0.36554407163595221</v>
      </c>
    </row>
    <row r="238" spans="1:3" x14ac:dyDescent="0.25">
      <c r="A238" s="437">
        <v>44357</v>
      </c>
      <c r="B238" s="435">
        <v>0.46521548506357568</v>
      </c>
      <c r="C238" s="436">
        <v>1.4010288605911583</v>
      </c>
    </row>
    <row r="239" spans="1:3" x14ac:dyDescent="0.25">
      <c r="A239" s="437">
        <v>44358</v>
      </c>
      <c r="B239" s="435">
        <v>0.19484900381675957</v>
      </c>
      <c r="C239" s="436">
        <v>0.21439204838642234</v>
      </c>
    </row>
    <row r="240" spans="1:3" x14ac:dyDescent="0.25">
      <c r="A240" s="437">
        <v>44361</v>
      </c>
      <c r="B240" s="435">
        <v>0.18152110447705058</v>
      </c>
      <c r="C240" s="436">
        <v>0.73722440330037586</v>
      </c>
    </row>
    <row r="241" spans="1:3" x14ac:dyDescent="0.25">
      <c r="A241" s="437">
        <v>44362</v>
      </c>
      <c r="B241" s="435">
        <v>-0.20116799642784605</v>
      </c>
      <c r="C241" s="436">
        <v>-0.62702211770044747</v>
      </c>
    </row>
    <row r="242" spans="1:3" x14ac:dyDescent="0.25">
      <c r="A242" s="437">
        <v>44363</v>
      </c>
      <c r="B242" s="435">
        <v>-0.53902072015429625</v>
      </c>
      <c r="C242" s="436">
        <v>-0.41760796442800996</v>
      </c>
    </row>
    <row r="243" spans="1:3" x14ac:dyDescent="0.25">
      <c r="A243" s="437">
        <v>44364</v>
      </c>
      <c r="B243" s="435">
        <v>-4.3563700073398812E-2</v>
      </c>
      <c r="C243" s="436">
        <v>1.3293233318901403</v>
      </c>
    </row>
    <row r="244" spans="1:3" x14ac:dyDescent="0.25">
      <c r="A244" s="437">
        <v>44365</v>
      </c>
      <c r="B244" s="435">
        <v>-1.3124547000611073</v>
      </c>
      <c r="C244" s="436">
        <v>-0.60173466224838923</v>
      </c>
    </row>
    <row r="245" spans="1:3" x14ac:dyDescent="0.25">
      <c r="A245" s="437">
        <v>44368</v>
      </c>
      <c r="B245" s="435">
        <v>1.4002328121062331</v>
      </c>
      <c r="C245" s="436">
        <v>1.1951780427642991</v>
      </c>
    </row>
    <row r="246" spans="1:3" x14ac:dyDescent="0.25">
      <c r="A246" s="437">
        <v>44369</v>
      </c>
      <c r="B246" s="435">
        <v>0.5124515064654015</v>
      </c>
      <c r="C246" s="436">
        <v>1.0583016620987535</v>
      </c>
    </row>
    <row r="247" spans="1:3" x14ac:dyDescent="0.25">
      <c r="A247" s="437">
        <v>44370</v>
      </c>
      <c r="B247" s="435">
        <v>-0.108326033100655</v>
      </c>
      <c r="C247" s="436">
        <v>-0.12869998152989143</v>
      </c>
    </row>
    <row r="248" spans="1:3" x14ac:dyDescent="0.25">
      <c r="A248" s="437">
        <v>44371</v>
      </c>
      <c r="B248" s="435">
        <v>0.58111574222506357</v>
      </c>
      <c r="C248" s="436">
        <v>0.49700857574694701</v>
      </c>
    </row>
    <row r="249" spans="1:3" x14ac:dyDescent="0.25">
      <c r="A249" s="437">
        <v>44372</v>
      </c>
      <c r="B249" s="435">
        <v>0.33306066579319388</v>
      </c>
      <c r="C249" s="436">
        <v>-0.66450007779668585</v>
      </c>
    </row>
    <row r="250" spans="1:3" x14ac:dyDescent="0.25">
      <c r="A250" s="437">
        <v>44375</v>
      </c>
      <c r="B250" s="435">
        <v>0.23150419323942009</v>
      </c>
      <c r="C250" s="436">
        <v>1.3578256333762866</v>
      </c>
    </row>
    <row r="251" spans="1:3" x14ac:dyDescent="0.25">
      <c r="A251" s="437">
        <v>44376</v>
      </c>
      <c r="B251" s="435">
        <v>2.7734984069876064E-2</v>
      </c>
      <c r="C251" s="436">
        <v>0.95901802248689605</v>
      </c>
    </row>
    <row r="252" spans="1:3" x14ac:dyDescent="0.25">
      <c r="A252" s="437">
        <v>44377</v>
      </c>
      <c r="B252" s="435">
        <v>0.13281140780091844</v>
      </c>
      <c r="C252" s="436">
        <v>-0.22252992301171534</v>
      </c>
    </row>
    <row r="253" spans="1:3" x14ac:dyDescent="0.25">
      <c r="A253" s="437">
        <v>44378</v>
      </c>
      <c r="B253" s="435">
        <v>0.52216404886561019</v>
      </c>
      <c r="C253" s="436">
        <v>0.22010236821858886</v>
      </c>
    </row>
    <row r="254" spans="1:3" x14ac:dyDescent="0.25">
      <c r="A254" s="437">
        <v>44379</v>
      </c>
      <c r="B254" s="435">
        <v>0.75001041681135727</v>
      </c>
      <c r="C254" s="436">
        <v>2.1892360332650305</v>
      </c>
    </row>
    <row r="255" spans="1:3" x14ac:dyDescent="0.25">
      <c r="A255" s="437">
        <v>44383</v>
      </c>
      <c r="B255" s="435">
        <v>-0.20219008625245688</v>
      </c>
      <c r="C255" s="436">
        <v>-3.4694741503209794E-2</v>
      </c>
    </row>
    <row r="256" spans="1:3" x14ac:dyDescent="0.25">
      <c r="A256" s="437">
        <v>44384</v>
      </c>
      <c r="B256" s="435">
        <v>0.33590113133527366</v>
      </c>
      <c r="C256" s="436">
        <v>0.77924266631790784</v>
      </c>
    </row>
    <row r="257" spans="1:3" x14ac:dyDescent="0.25">
      <c r="A257" s="437">
        <v>44385</v>
      </c>
      <c r="B257" s="435">
        <v>-0.85610112594164001</v>
      </c>
      <c r="C257" s="436">
        <v>-0.9349456123906813</v>
      </c>
    </row>
    <row r="258" spans="1:3" x14ac:dyDescent="0.25">
      <c r="A258" s="437">
        <v>44386</v>
      </c>
      <c r="B258" s="435">
        <v>1.1277951870246961</v>
      </c>
      <c r="C258" s="436">
        <v>0.1491374506643865</v>
      </c>
    </row>
    <row r="259" spans="1:3" x14ac:dyDescent="0.25">
      <c r="A259" s="437">
        <v>44389</v>
      </c>
      <c r="B259" s="435">
        <v>0.34511562975592286</v>
      </c>
      <c r="C259" s="436">
        <v>-0.26136792672470988</v>
      </c>
    </row>
    <row r="260" spans="1:3" x14ac:dyDescent="0.25">
      <c r="A260" s="437">
        <v>44390</v>
      </c>
      <c r="B260" s="435">
        <v>-0.35168303824952329</v>
      </c>
      <c r="C260" s="436">
        <v>1.2814763982459496</v>
      </c>
    </row>
    <row r="261" spans="1:3" x14ac:dyDescent="0.25">
      <c r="A261" s="437">
        <v>44391</v>
      </c>
      <c r="B261" s="435">
        <v>0.11649703264434863</v>
      </c>
      <c r="C261" s="436">
        <v>0.50622236461761416</v>
      </c>
    </row>
    <row r="262" spans="1:3" x14ac:dyDescent="0.25">
      <c r="A262" s="437">
        <v>44392</v>
      </c>
      <c r="B262" s="435">
        <v>-0.32622362435133473</v>
      </c>
      <c r="C262" s="436">
        <v>-0.56217913617646575</v>
      </c>
    </row>
    <row r="263" spans="1:3" x14ac:dyDescent="0.25">
      <c r="A263" s="437">
        <v>44393</v>
      </c>
      <c r="B263" s="435">
        <v>-0.75389389522548911</v>
      </c>
      <c r="C263" s="436">
        <v>-0.13793313560698381</v>
      </c>
    </row>
    <row r="264" spans="1:3" x14ac:dyDescent="0.25">
      <c r="A264" s="437">
        <v>44396</v>
      </c>
      <c r="B264" s="435">
        <v>-1.5869531055010693</v>
      </c>
      <c r="C264" s="436">
        <v>-1.3704424755120133</v>
      </c>
    </row>
    <row r="265" spans="1:3" x14ac:dyDescent="0.25">
      <c r="A265" s="437">
        <v>44397</v>
      </c>
      <c r="B265" s="435">
        <v>1.5162651550197517</v>
      </c>
      <c r="C265" s="436">
        <v>0.79560380008287523</v>
      </c>
    </row>
    <row r="266" spans="1:3" x14ac:dyDescent="0.25">
      <c r="A266" s="437">
        <v>44398</v>
      </c>
      <c r="B266" s="435">
        <v>0.82418472100778617</v>
      </c>
      <c r="C266" s="436">
        <v>0.70636094367526525</v>
      </c>
    </row>
    <row r="267" spans="1:3" x14ac:dyDescent="0.25">
      <c r="A267" s="437">
        <v>44399</v>
      </c>
      <c r="B267" s="435">
        <v>0.20166609692361614</v>
      </c>
      <c r="C267" s="436">
        <v>1.646142466619247</v>
      </c>
    </row>
    <row r="268" spans="1:3" x14ac:dyDescent="0.25">
      <c r="A268" s="437">
        <v>44400</v>
      </c>
      <c r="B268" s="435">
        <v>1.0145438559535569</v>
      </c>
      <c r="C268" s="436">
        <v>1.1953610802232528</v>
      </c>
    </row>
    <row r="269" spans="1:3" x14ac:dyDescent="0.25">
      <c r="A269" s="437">
        <v>44403</v>
      </c>
      <c r="B269" s="435">
        <v>0.23822530084161345</v>
      </c>
      <c r="C269" s="436">
        <v>-0.25234528331346406</v>
      </c>
    </row>
    <row r="270" spans="1:3" x14ac:dyDescent="0.25">
      <c r="A270" s="437">
        <v>44404</v>
      </c>
      <c r="B270" s="435">
        <v>-0.47124799312575227</v>
      </c>
      <c r="C270" s="436">
        <v>-0.90665464597908485</v>
      </c>
    </row>
    <row r="271" spans="1:3" x14ac:dyDescent="0.25">
      <c r="A271" s="437">
        <v>44405</v>
      </c>
      <c r="B271" s="435">
        <v>-1.8630181803304106E-2</v>
      </c>
      <c r="C271" s="436">
        <v>-0.14998004116310787</v>
      </c>
    </row>
    <row r="272" spans="1:3" x14ac:dyDescent="0.25">
      <c r="A272" s="437">
        <v>44406</v>
      </c>
      <c r="B272" s="435">
        <v>0.42062063699823909</v>
      </c>
      <c r="C272" s="436">
        <v>5.9526496758336322E-2</v>
      </c>
    </row>
    <row r="273" spans="1:3" x14ac:dyDescent="0.25">
      <c r="A273" s="437">
        <v>44407</v>
      </c>
      <c r="B273" s="435">
        <v>-0.54060169942182146</v>
      </c>
      <c r="C273" s="436">
        <v>-0.59327242582896511</v>
      </c>
    </row>
    <row r="274" spans="1:3" x14ac:dyDescent="0.25">
      <c r="A274" s="437">
        <v>44410</v>
      </c>
      <c r="B274" s="435">
        <v>-0.18428943907755999</v>
      </c>
      <c r="C274" s="436">
        <v>-6.9887869410173262E-2</v>
      </c>
    </row>
    <row r="275" spans="1:3" x14ac:dyDescent="0.25">
      <c r="A275" s="437">
        <v>44411</v>
      </c>
      <c r="B275" s="435">
        <v>0.82034847144849476</v>
      </c>
      <c r="C275" s="436">
        <v>0.7692233282330625</v>
      </c>
    </row>
    <row r="276" spans="1:3" x14ac:dyDescent="0.25">
      <c r="A276" s="437">
        <v>44412</v>
      </c>
      <c r="B276" s="435">
        <v>-0.4632445203079204</v>
      </c>
      <c r="C276" s="436">
        <v>-0.25074950216720177</v>
      </c>
    </row>
    <row r="277" spans="1:3" x14ac:dyDescent="0.25">
      <c r="A277" s="437">
        <v>44413</v>
      </c>
      <c r="B277" s="435">
        <v>0.60054603353428404</v>
      </c>
      <c r="C277" s="436">
        <v>1.0122667847346718</v>
      </c>
    </row>
    <row r="278" spans="1:3" x14ac:dyDescent="0.25">
      <c r="A278" s="437">
        <v>44414</v>
      </c>
      <c r="B278" s="435">
        <v>0.16752839177259651</v>
      </c>
      <c r="C278" s="436">
        <v>-5.9023266882967218E-2</v>
      </c>
    </row>
    <row r="279" spans="1:3" x14ac:dyDescent="0.25">
      <c r="A279" s="437">
        <v>44417</v>
      </c>
      <c r="B279" s="435">
        <v>-9.3992588785806727E-2</v>
      </c>
      <c r="C279" s="436">
        <v>-0.42868348481119983</v>
      </c>
    </row>
    <row r="280" spans="1:3" x14ac:dyDescent="0.25">
      <c r="A280" s="437">
        <v>44418</v>
      </c>
      <c r="B280" s="435">
        <v>9.927013886537922E-2</v>
      </c>
      <c r="C280" s="436">
        <v>-0.6937937346839419</v>
      </c>
    </row>
    <row r="281" spans="1:3" x14ac:dyDescent="0.25">
      <c r="A281" s="437">
        <v>44419</v>
      </c>
      <c r="B281" s="435">
        <v>0.12757085704625806</v>
      </c>
      <c r="C281" s="436">
        <v>0.13975124858225021</v>
      </c>
    </row>
    <row r="282" spans="1:3" x14ac:dyDescent="0.25">
      <c r="A282" s="437">
        <v>44420</v>
      </c>
      <c r="B282" s="435">
        <v>0.41463980136907835</v>
      </c>
      <c r="C282" s="436">
        <v>0.95838439811739473</v>
      </c>
    </row>
    <row r="283" spans="1:3" x14ac:dyDescent="0.25">
      <c r="A283" s="437">
        <v>44421</v>
      </c>
      <c r="B283" s="435">
        <v>0.16073241975148286</v>
      </c>
      <c r="C283" s="436">
        <v>1.0106658814324274</v>
      </c>
    </row>
    <row r="284" spans="1:3" x14ac:dyDescent="0.25">
      <c r="A284" s="437">
        <v>44424</v>
      </c>
      <c r="B284" s="435">
        <v>0.26208594449418166</v>
      </c>
      <c r="C284" s="436">
        <v>0.55927553837987631</v>
      </c>
    </row>
    <row r="285" spans="1:3" x14ac:dyDescent="0.25">
      <c r="A285" s="437">
        <v>44425</v>
      </c>
      <c r="B285" s="435">
        <v>-0.70607249129966243</v>
      </c>
      <c r="C285" s="436">
        <v>-0.55426027462402383</v>
      </c>
    </row>
    <row r="286" spans="1:3" x14ac:dyDescent="0.25">
      <c r="A286" s="437">
        <v>44426</v>
      </c>
      <c r="B286" s="435">
        <v>-1.0748457761550936</v>
      </c>
      <c r="C286" s="436">
        <v>-0.84012069886608343</v>
      </c>
    </row>
    <row r="287" spans="1:3" x14ac:dyDescent="0.25">
      <c r="A287" s="437">
        <v>44427</v>
      </c>
      <c r="B287" s="435">
        <v>0.12567410636164927</v>
      </c>
      <c r="C287" s="436">
        <v>2.0392213330143685</v>
      </c>
    </row>
    <row r="288" spans="1:3" x14ac:dyDescent="0.25">
      <c r="A288" s="437">
        <v>44428</v>
      </c>
      <c r="B288" s="435">
        <v>0.81415406963547798</v>
      </c>
      <c r="C288" s="436">
        <v>2.5192348860494058</v>
      </c>
    </row>
    <row r="289" spans="1:3" x14ac:dyDescent="0.25">
      <c r="A289" s="437">
        <v>44431</v>
      </c>
      <c r="B289" s="435">
        <v>0.85238209952562161</v>
      </c>
      <c r="C289" s="436">
        <v>5.6984864730164092E-2</v>
      </c>
    </row>
    <row r="290" spans="1:3" x14ac:dyDescent="0.25">
      <c r="A290" s="437">
        <v>44432</v>
      </c>
      <c r="B290" s="435">
        <v>0.1495692628467678</v>
      </c>
      <c r="C290" s="436">
        <v>-0.70463810601682642</v>
      </c>
    </row>
    <row r="291" spans="1:3" x14ac:dyDescent="0.25">
      <c r="A291" s="437">
        <v>44433</v>
      </c>
      <c r="B291" s="435">
        <v>0.22201269217137859</v>
      </c>
      <c r="C291" s="436">
        <v>-0.23986797636586921</v>
      </c>
    </row>
    <row r="292" spans="1:3" x14ac:dyDescent="0.25">
      <c r="A292" s="437">
        <v>44434</v>
      </c>
      <c r="B292" s="435">
        <v>-0.58249317755698937</v>
      </c>
      <c r="C292" s="436">
        <v>-1.0051600057329348</v>
      </c>
    </row>
    <row r="293" spans="1:3" x14ac:dyDescent="0.25">
      <c r="A293" s="437">
        <v>44435</v>
      </c>
      <c r="B293" s="435">
        <v>0.88076062639820785</v>
      </c>
      <c r="C293" s="436">
        <v>0.17234061266697792</v>
      </c>
    </row>
    <row r="294" spans="1:3" x14ac:dyDescent="0.25">
      <c r="A294" s="437">
        <v>44438</v>
      </c>
      <c r="B294" s="435">
        <v>0.4306588281733385</v>
      </c>
      <c r="C294" s="436">
        <v>1.2529034522514098</v>
      </c>
    </row>
    <row r="295" spans="1:3" x14ac:dyDescent="0.25">
      <c r="A295" s="437">
        <v>44439</v>
      </c>
      <c r="B295" s="435">
        <v>-0.13491462399448137</v>
      </c>
      <c r="C295" s="436">
        <v>-0.60155670230583047</v>
      </c>
    </row>
    <row r="296" spans="1:3" x14ac:dyDescent="0.25">
      <c r="A296" s="437">
        <v>44440</v>
      </c>
      <c r="B296" s="435">
        <v>3.1176205258825616E-2</v>
      </c>
      <c r="C296" s="436">
        <v>-5.4868835024355432E-2</v>
      </c>
    </row>
    <row r="297" spans="1:3" x14ac:dyDescent="0.25">
      <c r="A297" s="437">
        <v>44441</v>
      </c>
      <c r="B297" s="435">
        <v>0.28425606033477835</v>
      </c>
      <c r="C297" s="436">
        <v>-0.26359007364666664</v>
      </c>
    </row>
    <row r="298" spans="1:3" x14ac:dyDescent="0.25">
      <c r="A298" s="437">
        <v>44442</v>
      </c>
      <c r="B298" s="435">
        <v>-3.350268352085712E-2</v>
      </c>
      <c r="C298" s="436">
        <v>-4.1613631146871978E-2</v>
      </c>
    </row>
    <row r="299" spans="1:3" x14ac:dyDescent="0.25">
      <c r="A299" s="437">
        <v>44446</v>
      </c>
      <c r="B299" s="435">
        <v>-0.33954884101398419</v>
      </c>
      <c r="C299" s="436">
        <v>-0.35709589300013178</v>
      </c>
    </row>
    <row r="300" spans="1:3" x14ac:dyDescent="0.25">
      <c r="A300" s="437">
        <v>44447</v>
      </c>
      <c r="B300" s="435">
        <v>-0.13185753191903676</v>
      </c>
      <c r="C300" s="436">
        <v>-2.8306662436034583E-2</v>
      </c>
    </row>
    <row r="301" spans="1:3" x14ac:dyDescent="0.25">
      <c r="A301" s="437">
        <v>44448</v>
      </c>
      <c r="B301" s="435">
        <v>-0.46055998245485702</v>
      </c>
      <c r="C301" s="436">
        <v>-1.0242735147855231</v>
      </c>
    </row>
    <row r="302" spans="1:3" x14ac:dyDescent="0.25">
      <c r="A302" s="437">
        <v>44449</v>
      </c>
      <c r="B302" s="435">
        <v>-0.77226435922087688</v>
      </c>
      <c r="C302" s="436">
        <v>-0.55638544995794714</v>
      </c>
    </row>
    <row r="303" spans="1:3" x14ac:dyDescent="0.25">
      <c r="A303" s="437">
        <v>44452</v>
      </c>
      <c r="B303" s="435">
        <v>0.2276509561340076</v>
      </c>
      <c r="C303" s="436">
        <v>0.39455618983363167</v>
      </c>
    </row>
    <row r="304" spans="1:3" x14ac:dyDescent="0.25">
      <c r="A304" s="437">
        <v>44453</v>
      </c>
      <c r="B304" s="435">
        <v>-0.57465991456184151</v>
      </c>
      <c r="C304" s="436">
        <v>0.90449911588940091</v>
      </c>
    </row>
    <row r="305" spans="1:3" x14ac:dyDescent="0.25">
      <c r="A305" s="437">
        <v>44454</v>
      </c>
      <c r="B305" s="435">
        <v>0.8473908688851044</v>
      </c>
      <c r="C305" s="436">
        <v>1.6395404379713594</v>
      </c>
    </row>
    <row r="306" spans="1:3" x14ac:dyDescent="0.25">
      <c r="A306" s="437">
        <v>44455</v>
      </c>
      <c r="B306" s="435">
        <v>-0.15510969268194297</v>
      </c>
      <c r="C306" s="436">
        <v>9.2923013848972613E-2</v>
      </c>
    </row>
    <row r="307" spans="1:3" x14ac:dyDescent="0.25">
      <c r="A307" s="437">
        <v>44456</v>
      </c>
      <c r="B307" s="435">
        <v>-0.91109248393406472</v>
      </c>
      <c r="C307" s="436">
        <v>-1.7911359814139465</v>
      </c>
    </row>
    <row r="308" spans="1:3" x14ac:dyDescent="0.25">
      <c r="A308" s="437">
        <v>44459</v>
      </c>
      <c r="B308" s="435">
        <v>-1.6977254629493912</v>
      </c>
      <c r="C308" s="436">
        <v>-1.8957739363303192</v>
      </c>
    </row>
    <row r="309" spans="1:3" x14ac:dyDescent="0.25">
      <c r="A309" s="437">
        <v>44460</v>
      </c>
      <c r="B309" s="435">
        <v>-8.1234954896241024E-2</v>
      </c>
      <c r="C309" s="436">
        <v>0.131594672234917</v>
      </c>
    </row>
    <row r="310" spans="1:3" x14ac:dyDescent="0.25">
      <c r="A310" s="437">
        <v>44461</v>
      </c>
      <c r="B310" s="435">
        <v>0.95195662109372192</v>
      </c>
      <c r="C310" s="436">
        <v>1.2439249504297918</v>
      </c>
    </row>
    <row r="311" spans="1:3" x14ac:dyDescent="0.25">
      <c r="A311" s="437">
        <v>44462</v>
      </c>
      <c r="B311" s="435">
        <v>1.2134751708510987</v>
      </c>
      <c r="C311" s="436">
        <v>0.28992394087651641</v>
      </c>
    </row>
    <row r="312" spans="1:3" x14ac:dyDescent="0.25">
      <c r="A312" s="437">
        <v>44463</v>
      </c>
      <c r="B312" s="435">
        <v>0.14610090402744003</v>
      </c>
      <c r="C312" s="436">
        <v>-0.1084001473501144</v>
      </c>
    </row>
    <row r="313" spans="1:3" x14ac:dyDescent="0.25">
      <c r="A313" s="437">
        <v>44466</v>
      </c>
      <c r="B313" s="435">
        <v>-0.27763563072889769</v>
      </c>
      <c r="C313" s="436">
        <v>-1.7687135280358151</v>
      </c>
    </row>
    <row r="314" spans="1:3" x14ac:dyDescent="0.25">
      <c r="A314" s="437">
        <v>44467</v>
      </c>
      <c r="B314" s="435">
        <v>-2.0364114325326081</v>
      </c>
      <c r="C314" s="436">
        <v>-3.6586635752635241</v>
      </c>
    </row>
    <row r="315" spans="1:3" x14ac:dyDescent="0.25">
      <c r="A315" s="437">
        <v>44468</v>
      </c>
      <c r="B315" s="435">
        <v>0.15691662282344068</v>
      </c>
      <c r="C315" s="436">
        <v>0.13100411209912624</v>
      </c>
    </row>
    <row r="316" spans="1:3" x14ac:dyDescent="0.25">
      <c r="A316" s="437">
        <v>44469</v>
      </c>
      <c r="B316" s="435">
        <v>-1.19097319392769</v>
      </c>
      <c r="C316" s="436">
        <v>-0.77068978873240035</v>
      </c>
    </row>
    <row r="317" spans="1:3" x14ac:dyDescent="0.25">
      <c r="A317" s="437">
        <v>44470</v>
      </c>
      <c r="B317" s="435">
        <v>1.1491477734391324</v>
      </c>
      <c r="C317" s="436">
        <v>2.508519193002813</v>
      </c>
    </row>
    <row r="318" spans="1:3" x14ac:dyDescent="0.25">
      <c r="A318" s="437">
        <v>44473</v>
      </c>
      <c r="B318" s="435">
        <v>-1.2985880322420711</v>
      </c>
      <c r="C318" s="436">
        <v>-2.1102546439580538</v>
      </c>
    </row>
    <row r="319" spans="1:3" x14ac:dyDescent="0.25">
      <c r="A319" s="437">
        <v>44474</v>
      </c>
      <c r="B319" s="435">
        <v>1.0524455523362668</v>
      </c>
      <c r="C319" s="436">
        <v>1.9573996571491563</v>
      </c>
    </row>
    <row r="320" spans="1:3" x14ac:dyDescent="0.25">
      <c r="A320" s="437">
        <v>44475</v>
      </c>
      <c r="B320" s="435">
        <v>0.41028874386752773</v>
      </c>
      <c r="C320" s="436">
        <v>1.4681326254871552</v>
      </c>
    </row>
    <row r="321" spans="1:3" x14ac:dyDescent="0.25">
      <c r="A321" s="437">
        <v>44476</v>
      </c>
      <c r="B321" s="435">
        <v>0.82982892369744887</v>
      </c>
      <c r="C321" s="436">
        <v>0.55534098428786483</v>
      </c>
    </row>
    <row r="322" spans="1:3" x14ac:dyDescent="0.25">
      <c r="A322" s="437">
        <v>44477</v>
      </c>
      <c r="B322" s="435">
        <v>-0.19137407494954434</v>
      </c>
      <c r="C322" s="436">
        <v>-3.8300000000000001E-2</v>
      </c>
    </row>
    <row r="323" spans="1:3" x14ac:dyDescent="0.25">
      <c r="A323" s="437">
        <v>44480</v>
      </c>
      <c r="B323" s="435">
        <v>-0.68657858421348705</v>
      </c>
      <c r="C323" s="436">
        <v>-0.24857471167832271</v>
      </c>
    </row>
    <row r="324" spans="1:3" x14ac:dyDescent="0.25">
      <c r="A324" s="437">
        <v>44481</v>
      </c>
      <c r="B324" s="435">
        <v>-0.24167715692276567</v>
      </c>
      <c r="C324" s="436">
        <v>-0.49712675102099213</v>
      </c>
    </row>
    <row r="325" spans="1:3" x14ac:dyDescent="0.25">
      <c r="A325" s="437">
        <v>44482</v>
      </c>
      <c r="B325" s="435">
        <v>0.30225368623080567</v>
      </c>
      <c r="C325" s="436">
        <v>1.1328256970239483</v>
      </c>
    </row>
    <row r="326" spans="1:3" x14ac:dyDescent="0.25">
      <c r="A326" s="437">
        <v>44483</v>
      </c>
      <c r="B326" s="435">
        <v>1.7063110133370005</v>
      </c>
      <c r="C326" s="436">
        <v>2.1351001699125902</v>
      </c>
    </row>
    <row r="327" spans="1:3" x14ac:dyDescent="0.25">
      <c r="A327" s="437">
        <v>44484</v>
      </c>
      <c r="B327" s="435">
        <v>0.74601307719691212</v>
      </c>
      <c r="C327" s="436">
        <v>0.44394310487200733</v>
      </c>
    </row>
    <row r="328" spans="1:3" x14ac:dyDescent="0.25">
      <c r="A328" s="437">
        <v>44487</v>
      </c>
      <c r="B328" s="435">
        <v>0.33748045900921075</v>
      </c>
      <c r="C328" s="436">
        <v>0.97416444598198471</v>
      </c>
    </row>
    <row r="329" spans="1:3" x14ac:dyDescent="0.25">
      <c r="A329" s="437">
        <v>44488</v>
      </c>
      <c r="B329" s="435">
        <v>0.7393356900540754</v>
      </c>
      <c r="C329" s="436">
        <v>0.26760060609487396</v>
      </c>
    </row>
    <row r="330" spans="1:3" x14ac:dyDescent="0.25">
      <c r="A330" s="437">
        <v>44489</v>
      </c>
      <c r="B330" s="435">
        <v>0.36640167447334165</v>
      </c>
      <c r="C330" s="436">
        <v>-0.30433736519348065</v>
      </c>
    </row>
    <row r="331" spans="1:3" x14ac:dyDescent="0.25">
      <c r="A331" s="437">
        <v>44490</v>
      </c>
      <c r="B331" s="435">
        <v>0.29959062561312788</v>
      </c>
      <c r="C331" s="436">
        <v>1.0514517830942183</v>
      </c>
    </row>
    <row r="332" spans="1:3" x14ac:dyDescent="0.25">
      <c r="A332" s="437">
        <v>44491</v>
      </c>
      <c r="B332" s="435">
        <v>-0.10725793335062594</v>
      </c>
      <c r="C332" s="436">
        <v>-0.55316869240350697</v>
      </c>
    </row>
    <row r="333" spans="1:3" x14ac:dyDescent="0.25">
      <c r="A333" s="437">
        <v>44494</v>
      </c>
      <c r="B333" s="435">
        <v>0.47481792778718851</v>
      </c>
      <c r="C333" s="436">
        <v>-0.37146049510726231</v>
      </c>
    </row>
    <row r="334" spans="1:3" x14ac:dyDescent="0.25">
      <c r="A334" s="437">
        <v>44495</v>
      </c>
      <c r="B334" s="435">
        <v>0.18197824144637445</v>
      </c>
      <c r="C334" s="436">
        <v>0.60427942033266513</v>
      </c>
    </row>
    <row r="335" spans="1:3" x14ac:dyDescent="0.25">
      <c r="A335" s="437">
        <v>44496</v>
      </c>
      <c r="B335" s="435">
        <v>-0.50515979968478708</v>
      </c>
      <c r="C335" s="436">
        <v>4.1731180876826617</v>
      </c>
    </row>
    <row r="336" spans="1:3" x14ac:dyDescent="0.25">
      <c r="A336" s="437">
        <v>44497</v>
      </c>
      <c r="B336" s="435">
        <v>0.9829337739032572</v>
      </c>
      <c r="C336" s="436">
        <v>0.32683072145713737</v>
      </c>
    </row>
    <row r="337" spans="1:3" x14ac:dyDescent="0.25">
      <c r="A337" s="437">
        <v>44498</v>
      </c>
      <c r="B337" s="435">
        <v>0.19493431844783629</v>
      </c>
      <c r="C337" s="436">
        <v>2.203102455839637</v>
      </c>
    </row>
    <row r="338" spans="1:3" x14ac:dyDescent="0.25">
      <c r="A338" s="437">
        <v>44501</v>
      </c>
      <c r="B338" s="435">
        <v>0.18000686154019785</v>
      </c>
      <c r="C338" s="436">
        <v>-0.71678743559627633</v>
      </c>
    </row>
    <row r="339" spans="1:3" x14ac:dyDescent="0.25">
      <c r="A339" s="437">
        <v>44502</v>
      </c>
      <c r="B339" s="435">
        <v>0.3680367256435671</v>
      </c>
      <c r="C339" s="436">
        <v>1.103276360044565</v>
      </c>
    </row>
    <row r="340" spans="1:3" x14ac:dyDescent="0.25">
      <c r="A340" s="437">
        <v>44503</v>
      </c>
      <c r="B340" s="435">
        <v>0.64612959303769613</v>
      </c>
      <c r="C340" s="436">
        <v>0.22285780234206681</v>
      </c>
    </row>
    <row r="341" spans="1:3" x14ac:dyDescent="0.25">
      <c r="A341" s="437">
        <v>44504</v>
      </c>
      <c r="B341" s="435">
        <v>0.41818919145084593</v>
      </c>
      <c r="C341" s="436">
        <v>0.69223952095808161</v>
      </c>
    </row>
    <row r="342" spans="1:3" x14ac:dyDescent="0.25">
      <c r="A342" s="437">
        <v>44505</v>
      </c>
      <c r="B342" s="435">
        <v>0.37328581257503846</v>
      </c>
      <c r="C342" s="436">
        <v>-0.15124851912406817</v>
      </c>
    </row>
    <row r="343" spans="1:3" x14ac:dyDescent="0.25">
      <c r="A343" s="437">
        <v>44508</v>
      </c>
      <c r="B343" s="435">
        <v>8.8770055752705634E-2</v>
      </c>
      <c r="C343" s="436">
        <v>0.23843391820944132</v>
      </c>
    </row>
    <row r="344" spans="1:3" x14ac:dyDescent="0.25">
      <c r="A344" s="437">
        <v>44509</v>
      </c>
      <c r="B344" s="435">
        <v>-0.34987345002870918</v>
      </c>
      <c r="C344" s="436">
        <v>-0.34690797972069209</v>
      </c>
    </row>
    <row r="345" spans="1:3" x14ac:dyDescent="0.25">
      <c r="A345" s="437">
        <v>44510</v>
      </c>
      <c r="B345" s="435">
        <v>-0.82258150578944489</v>
      </c>
      <c r="C345" s="436">
        <v>-1.5712733043736371</v>
      </c>
    </row>
    <row r="346" spans="1:3" x14ac:dyDescent="0.25">
      <c r="A346" s="437">
        <v>44511</v>
      </c>
      <c r="B346" s="435">
        <v>5.5092743037555604E-2</v>
      </c>
      <c r="C346" s="436">
        <v>0.45444639030520151</v>
      </c>
    </row>
    <row r="347" spans="1:3" x14ac:dyDescent="0.25">
      <c r="A347" s="437">
        <v>44512</v>
      </c>
      <c r="B347" s="435">
        <v>0.72226392530440098</v>
      </c>
      <c r="C347" s="436">
        <v>1.2521996812366445</v>
      </c>
    </row>
    <row r="348" spans="1:3" x14ac:dyDescent="0.25">
      <c r="A348" s="437">
        <v>44515</v>
      </c>
      <c r="B348" s="435">
        <v>-1.067725850714456E-3</v>
      </c>
      <c r="C348" s="436">
        <v>-0.23133694406916125</v>
      </c>
    </row>
    <row r="349" spans="1:3" x14ac:dyDescent="0.25">
      <c r="A349" s="437">
        <v>44516</v>
      </c>
      <c r="B349" s="435">
        <v>0.38652088494062214</v>
      </c>
      <c r="C349" s="436">
        <v>0.98529714593633688</v>
      </c>
    </row>
    <row r="350" spans="1:3" x14ac:dyDescent="0.25">
      <c r="A350" s="437">
        <v>44517</v>
      </c>
      <c r="B350" s="435">
        <v>-0.26016294752067826</v>
      </c>
      <c r="C350" s="436">
        <v>-0.15317584710683652</v>
      </c>
    </row>
    <row r="351" spans="1:3" x14ac:dyDescent="0.25">
      <c r="A351" s="437">
        <v>44518</v>
      </c>
      <c r="B351" s="435">
        <v>0.33847551651107649</v>
      </c>
      <c r="C351" s="436">
        <v>0.59569210654033899</v>
      </c>
    </row>
    <row r="352" spans="1:3" x14ac:dyDescent="0.25">
      <c r="A352" s="437">
        <v>44519</v>
      </c>
      <c r="B352" s="435">
        <v>-0.13986489646171416</v>
      </c>
      <c r="C352" s="436">
        <v>0.50086138521046009</v>
      </c>
    </row>
    <row r="353" spans="1:3" x14ac:dyDescent="0.25">
      <c r="A353" s="437">
        <v>44522</v>
      </c>
      <c r="B353" s="435">
        <v>-0.3197132372348942</v>
      </c>
      <c r="C353" s="436">
        <v>-0.99426110384254129</v>
      </c>
    </row>
    <row r="354" spans="1:3" x14ac:dyDescent="0.25">
      <c r="A354" s="437">
        <v>44523</v>
      </c>
      <c r="B354" s="435">
        <v>0.16570786727996129</v>
      </c>
      <c r="C354" s="436">
        <v>-0.67096753442802926</v>
      </c>
    </row>
    <row r="355" spans="1:3" x14ac:dyDescent="0.25">
      <c r="A355" s="437">
        <v>44524</v>
      </c>
      <c r="B355" s="435">
        <v>0.22939006971241432</v>
      </c>
      <c r="C355" s="436">
        <v>2.9815080777080685E-2</v>
      </c>
    </row>
    <row r="356" spans="1:3" x14ac:dyDescent="0.25">
      <c r="A356" s="437">
        <v>44526</v>
      </c>
      <c r="B356" s="435">
        <v>-2.2724855683128249</v>
      </c>
      <c r="C356" s="436">
        <v>-2.4738629909080734</v>
      </c>
    </row>
    <row r="357" spans="1:3" x14ac:dyDescent="0.25">
      <c r="A357" s="437">
        <v>44529</v>
      </c>
      <c r="B357" s="435">
        <v>1.3200221128189173</v>
      </c>
      <c r="C357" s="436">
        <v>2.0698085135790931</v>
      </c>
    </row>
    <row r="358" spans="1:3" x14ac:dyDescent="0.25">
      <c r="A358" s="437">
        <v>44530</v>
      </c>
      <c r="B358" s="435">
        <v>-1.8961306218543805</v>
      </c>
      <c r="C358" s="436">
        <v>-1.8325574667400779</v>
      </c>
    </row>
    <row r="359" spans="1:3" x14ac:dyDescent="0.25">
      <c r="A359" s="437">
        <v>44531</v>
      </c>
      <c r="B359" s="435">
        <v>-1.181519597109701</v>
      </c>
      <c r="C359" s="436">
        <v>-0.19257236340205774</v>
      </c>
    </row>
    <row r="360" spans="1:3" x14ac:dyDescent="0.25">
      <c r="A360" s="437">
        <v>44532</v>
      </c>
      <c r="B360" s="435">
        <v>1.4194423271231897</v>
      </c>
      <c r="C360" s="436">
        <v>-0.21704364494568384</v>
      </c>
    </row>
    <row r="361" spans="1:3" x14ac:dyDescent="0.25">
      <c r="A361" s="437">
        <v>44533</v>
      </c>
      <c r="B361" s="435">
        <v>-0.84485809792226674</v>
      </c>
      <c r="C361" s="436">
        <v>-2.004969761348427</v>
      </c>
    </row>
    <row r="362" spans="1:3" x14ac:dyDescent="0.25">
      <c r="A362" s="437">
        <v>44536</v>
      </c>
      <c r="B362" s="435">
        <v>1.1730928977641999</v>
      </c>
      <c r="C362" s="436">
        <v>0.94618713710140756</v>
      </c>
    </row>
    <row r="363" spans="1:3" x14ac:dyDescent="0.25">
      <c r="A363" s="437">
        <v>44537</v>
      </c>
      <c r="B363" s="435">
        <v>2.0707063007576751</v>
      </c>
      <c r="C363" s="436">
        <v>2.638057627907918</v>
      </c>
    </row>
    <row r="364" spans="1:3" x14ac:dyDescent="0.25">
      <c r="A364" s="437">
        <v>44538</v>
      </c>
      <c r="B364" s="435">
        <v>0.30852936469835252</v>
      </c>
      <c r="C364" s="436">
        <v>-2.3374645270588336E-2</v>
      </c>
    </row>
    <row r="365" spans="1:3" x14ac:dyDescent="0.25">
      <c r="A365" s="437">
        <v>44539</v>
      </c>
      <c r="B365" s="435">
        <v>-0.71811299644134641</v>
      </c>
      <c r="C365" s="436">
        <v>-0.59655745422498807</v>
      </c>
    </row>
    <row r="366" spans="1:3" x14ac:dyDescent="0.25">
      <c r="A366" s="437">
        <v>44540</v>
      </c>
      <c r="B366" s="435">
        <v>0.95491113991581311</v>
      </c>
      <c r="C366" s="436">
        <v>2.7956846382350378</v>
      </c>
    </row>
    <row r="367" spans="1:3" x14ac:dyDescent="0.25">
      <c r="A367" s="437">
        <v>44543</v>
      </c>
      <c r="B367" s="435">
        <v>-0.91362090992822986</v>
      </c>
      <c r="C367" s="436">
        <v>-0.95498561846741969</v>
      </c>
    </row>
    <row r="368" spans="1:3" x14ac:dyDescent="0.25">
      <c r="A368" s="437">
        <v>44544</v>
      </c>
      <c r="B368" s="435">
        <v>-0.74705984403412551</v>
      </c>
      <c r="C368" s="436">
        <v>-3.2969912774076264</v>
      </c>
    </row>
    <row r="369" spans="1:3" x14ac:dyDescent="0.25">
      <c r="A369" s="437">
        <v>44545</v>
      </c>
      <c r="B369" s="435">
        <v>1.6348409288555081</v>
      </c>
      <c r="C369" s="436">
        <v>1.8834878043709324</v>
      </c>
    </row>
    <row r="370" spans="1:3" x14ac:dyDescent="0.25">
      <c r="A370" s="437">
        <v>44546</v>
      </c>
      <c r="B370" s="435">
        <v>-0.87433782392221171</v>
      </c>
      <c r="C370" s="436">
        <v>-2.9517917599908876</v>
      </c>
    </row>
    <row r="371" spans="1:3" x14ac:dyDescent="0.25">
      <c r="A371" s="437">
        <v>44547</v>
      </c>
      <c r="B371" s="435">
        <v>-1.0287726483131117</v>
      </c>
      <c r="C371" s="436">
        <v>-0.37686756550140399</v>
      </c>
    </row>
    <row r="372" spans="1:3" x14ac:dyDescent="0.25">
      <c r="A372" s="437">
        <v>44550</v>
      </c>
      <c r="B372" s="435">
        <v>-1.1388032826621395</v>
      </c>
      <c r="C372" s="436">
        <v>-1.2396539666962465</v>
      </c>
    </row>
    <row r="373" spans="1:3" x14ac:dyDescent="0.25">
      <c r="A373" s="437">
        <v>44551</v>
      </c>
      <c r="B373" s="435">
        <v>1.7777943178882563</v>
      </c>
      <c r="C373" s="436">
        <v>2.2686003493870053</v>
      </c>
    </row>
    <row r="374" spans="1:3" x14ac:dyDescent="0.25">
      <c r="A374" s="437">
        <v>44552</v>
      </c>
      <c r="B374" s="435">
        <v>1.0180180373954577</v>
      </c>
      <c r="C374" s="436">
        <v>1.767438897455931</v>
      </c>
    </row>
    <row r="375" spans="1:3" x14ac:dyDescent="0.25">
      <c r="A375" s="437">
        <v>44553</v>
      </c>
      <c r="B375" s="435">
        <v>0.62237041579367791</v>
      </c>
      <c r="C375" s="436">
        <v>0.40887585424335982</v>
      </c>
    </row>
    <row r="376" spans="1:3" x14ac:dyDescent="0.25">
      <c r="A376" s="437">
        <v>44557</v>
      </c>
      <c r="B376" s="435">
        <v>1.383895602639974</v>
      </c>
      <c r="C376" s="436">
        <v>2.2802664207561305</v>
      </c>
    </row>
    <row r="377" spans="1:3" x14ac:dyDescent="0.25">
      <c r="A377" s="437">
        <v>44558</v>
      </c>
      <c r="B377" s="435">
        <v>-0.10101874482120801</v>
      </c>
      <c r="C377" s="436">
        <v>-0.38871961102340835</v>
      </c>
    </row>
    <row r="378" spans="1:3" x14ac:dyDescent="0.25">
      <c r="A378" s="437">
        <v>44559</v>
      </c>
      <c r="B378" s="435">
        <v>0.14019033292592553</v>
      </c>
      <c r="C378" s="436">
        <v>0.16683172161172607</v>
      </c>
    </row>
    <row r="379" spans="1:3" x14ac:dyDescent="0.25">
      <c r="A379" s="437">
        <v>44560</v>
      </c>
      <c r="B379" s="435">
        <v>-0.29897393314502291</v>
      </c>
      <c r="C379" s="436">
        <v>-0.80741972735945966</v>
      </c>
    </row>
    <row r="380" spans="1:3" x14ac:dyDescent="0.25">
      <c r="A380" s="437">
        <v>44561</v>
      </c>
      <c r="B380" s="435">
        <v>-0.26262207741385835</v>
      </c>
      <c r="C380" s="436">
        <v>-0.92242116530458518</v>
      </c>
    </row>
    <row r="381" spans="1:3" x14ac:dyDescent="0.25">
      <c r="A381" s="437">
        <v>44564</v>
      </c>
      <c r="B381" s="435">
        <v>0.63740773533521833</v>
      </c>
      <c r="C381" s="436">
        <v>-0.50511938847604021</v>
      </c>
    </row>
    <row r="382" spans="1:3" x14ac:dyDescent="0.25">
      <c r="A382" s="437">
        <v>44565</v>
      </c>
      <c r="B382" s="435">
        <v>-6.2961789282328082E-2</v>
      </c>
      <c r="C382" s="436">
        <v>-1.7530094846900603</v>
      </c>
    </row>
    <row r="383" spans="1:3" x14ac:dyDescent="0.25">
      <c r="A383" s="437">
        <v>44566</v>
      </c>
      <c r="B383" s="435">
        <v>-1.9392766097706504</v>
      </c>
      <c r="C383" s="436">
        <v>-3.8770904975900398</v>
      </c>
    </row>
    <row r="384" spans="1:3" x14ac:dyDescent="0.25">
      <c r="A384" s="437">
        <v>44567</v>
      </c>
      <c r="B384" s="435">
        <v>-9.6371086121281743E-2</v>
      </c>
      <c r="C384" s="436">
        <v>-0.82848900072398701</v>
      </c>
    </row>
    <row r="385" spans="1:3" x14ac:dyDescent="0.25">
      <c r="A385" s="437">
        <v>44568</v>
      </c>
      <c r="B385" s="435">
        <v>-0.40502124125595845</v>
      </c>
      <c r="C385" s="436">
        <v>1.2676168424622943E-2</v>
      </c>
    </row>
    <row r="386" spans="1:3" x14ac:dyDescent="0.25">
      <c r="A386" s="437">
        <v>44571</v>
      </c>
      <c r="B386" s="435">
        <v>-0.1441085475183991</v>
      </c>
      <c r="C386" s="436">
        <v>3.4932707110262445E-2</v>
      </c>
    </row>
    <row r="387" spans="1:3" x14ac:dyDescent="0.25">
      <c r="A387" s="437">
        <v>44572</v>
      </c>
      <c r="B387" s="435">
        <v>0.91600307475552356</v>
      </c>
      <c r="C387" s="436">
        <v>0.18762739518630295</v>
      </c>
    </row>
    <row r="388" spans="1:3" x14ac:dyDescent="0.25">
      <c r="A388" s="437">
        <v>44573</v>
      </c>
      <c r="B388" s="435">
        <v>0.28176963210817269</v>
      </c>
      <c r="C388" s="436">
        <v>1.0062037415406082</v>
      </c>
    </row>
    <row r="389" spans="1:3" x14ac:dyDescent="0.25">
      <c r="A389" s="437">
        <v>44574</v>
      </c>
      <c r="B389" s="435">
        <v>-1.4243549462058589</v>
      </c>
      <c r="C389" s="436">
        <v>-4.2705560924838011</v>
      </c>
    </row>
    <row r="390" spans="1:3" x14ac:dyDescent="0.25">
      <c r="A390" s="437">
        <v>44575</v>
      </c>
      <c r="B390" s="435">
        <v>8.1991315788922131E-2</v>
      </c>
      <c r="C390" s="436">
        <v>1.733361487073297</v>
      </c>
    </row>
    <row r="391" spans="1:3" x14ac:dyDescent="0.25">
      <c r="A391" s="437">
        <v>44579</v>
      </c>
      <c r="B391" s="435">
        <v>-1.8387895814791531</v>
      </c>
      <c r="C391" s="436">
        <v>-2.4722193126788219</v>
      </c>
    </row>
    <row r="392" spans="1:3" x14ac:dyDescent="0.25">
      <c r="A392" s="437">
        <v>44580</v>
      </c>
      <c r="B392" s="435">
        <v>-0.96895202431227256</v>
      </c>
      <c r="C392" s="436">
        <v>0.18637966743129178</v>
      </c>
    </row>
    <row r="393" spans="1:3" x14ac:dyDescent="0.25">
      <c r="A393" s="437">
        <v>44581</v>
      </c>
      <c r="B393" s="435">
        <v>-1.1037425321437855</v>
      </c>
      <c r="C393" s="436">
        <v>-0.60862969839543402</v>
      </c>
    </row>
    <row r="394" spans="1:3" x14ac:dyDescent="0.25">
      <c r="A394" s="437">
        <v>44582</v>
      </c>
      <c r="B394" s="435">
        <v>-1.8914813071498833</v>
      </c>
      <c r="C394" s="436">
        <v>-1.8851192603418025</v>
      </c>
    </row>
    <row r="395" spans="1:3" x14ac:dyDescent="0.25">
      <c r="A395" s="437">
        <v>44585</v>
      </c>
      <c r="B395" s="435">
        <v>0.27717522294529962</v>
      </c>
      <c r="C395" s="436">
        <v>7.6551873508955412E-2</v>
      </c>
    </row>
    <row r="396" spans="1:3" x14ac:dyDescent="0.25">
      <c r="A396" s="437">
        <v>44586</v>
      </c>
      <c r="B396" s="435">
        <v>-1.2171976789799912</v>
      </c>
      <c r="C396" s="436">
        <v>-2.6971403458319183</v>
      </c>
    </row>
    <row r="397" spans="1:3" x14ac:dyDescent="0.25">
      <c r="A397" s="437">
        <v>44587</v>
      </c>
      <c r="B397" s="435">
        <v>-0.14966314315554013</v>
      </c>
      <c r="C397" s="436">
        <v>2.8110193126042349</v>
      </c>
    </row>
    <row r="398" spans="1:3" x14ac:dyDescent="0.25">
      <c r="A398" s="437">
        <v>44588</v>
      </c>
      <c r="B398" s="435">
        <v>-0.53839946849719578</v>
      </c>
      <c r="C398" s="436">
        <v>1.0166038100978483</v>
      </c>
    </row>
    <row r="399" spans="1:3" x14ac:dyDescent="0.25">
      <c r="A399" s="437">
        <v>44589</v>
      </c>
      <c r="B399" s="435">
        <v>2.4347568825681702</v>
      </c>
      <c r="C399" s="436">
        <v>2.7698690609414354</v>
      </c>
    </row>
    <row r="400" spans="1:3" x14ac:dyDescent="0.25">
      <c r="A400" s="437">
        <v>44592</v>
      </c>
      <c r="B400" s="435">
        <v>1.8886018254227877</v>
      </c>
      <c r="C400" s="436">
        <v>0.84407231939360794</v>
      </c>
    </row>
    <row r="401" spans="1:3" x14ac:dyDescent="0.25">
      <c r="A401" s="437">
        <v>44593</v>
      </c>
      <c r="B401" s="435">
        <v>0.68629513569775069</v>
      </c>
      <c r="C401" s="436">
        <v>-0.75217257105729796</v>
      </c>
    </row>
    <row r="402" spans="1:3" x14ac:dyDescent="0.25">
      <c r="A402" s="437">
        <v>44594</v>
      </c>
      <c r="B402" s="435">
        <v>0.94225498950850861</v>
      </c>
      <c r="C402" s="436">
        <v>1.4839117009259002</v>
      </c>
    </row>
    <row r="403" spans="1:3" x14ac:dyDescent="0.25">
      <c r="A403" s="437">
        <v>44595</v>
      </c>
      <c r="B403" s="435">
        <v>-2.4391094221877574</v>
      </c>
      <c r="C403" s="436">
        <v>-3.9335310822978369</v>
      </c>
    </row>
    <row r="404" spans="1:3" x14ac:dyDescent="0.25">
      <c r="A404" s="437">
        <v>44596</v>
      </c>
      <c r="B404" s="435">
        <v>0.51569646941109537</v>
      </c>
      <c r="C404" s="436">
        <v>1.5185471369294581</v>
      </c>
    </row>
    <row r="405" spans="1:3" x14ac:dyDescent="0.25">
      <c r="A405" s="437">
        <v>44599</v>
      </c>
      <c r="B405" s="435">
        <v>-0.37017862340657331</v>
      </c>
      <c r="C405" s="436">
        <v>-1.6693354864938446</v>
      </c>
    </row>
    <row r="406" spans="1:3" x14ac:dyDescent="0.25">
      <c r="A406" s="437">
        <v>44600</v>
      </c>
      <c r="B406" s="435">
        <v>0.84012248347967422</v>
      </c>
      <c r="C406" s="436">
        <v>1.16123010668097</v>
      </c>
    </row>
    <row r="407" spans="1:3" x14ac:dyDescent="0.25">
      <c r="A407" s="437">
        <v>44601</v>
      </c>
      <c r="B407" s="435">
        <v>1.4517177775713657</v>
      </c>
      <c r="C407" s="436">
        <v>2.1451755199860472</v>
      </c>
    </row>
    <row r="408" spans="1:3" x14ac:dyDescent="0.25">
      <c r="A408" s="437">
        <v>44602</v>
      </c>
      <c r="B408" s="435">
        <v>-1.8115705073705493</v>
      </c>
      <c r="C408" s="436">
        <v>-2.8756080091763567</v>
      </c>
    </row>
    <row r="409" spans="1:3" x14ac:dyDescent="0.25">
      <c r="A409" s="437">
        <v>44603</v>
      </c>
      <c r="B409" s="435">
        <v>-1.8969467682634324</v>
      </c>
      <c r="C409" s="436">
        <v>-2.4657078572093365</v>
      </c>
    </row>
    <row r="410" spans="1:3" x14ac:dyDescent="0.25">
      <c r="A410" s="437">
        <v>44606</v>
      </c>
      <c r="B410" s="435">
        <v>-0.38405482229826943</v>
      </c>
      <c r="C410" s="436">
        <v>-5.1860533751203128E-2</v>
      </c>
    </row>
    <row r="411" spans="1:3" x14ac:dyDescent="0.25">
      <c r="A411" s="437">
        <v>44607</v>
      </c>
      <c r="B411" s="435">
        <v>1.5766743077059306</v>
      </c>
      <c r="C411" s="436">
        <v>1.8159376271186525</v>
      </c>
    </row>
    <row r="412" spans="1:3" x14ac:dyDescent="0.25">
      <c r="A412" s="437">
        <v>44608</v>
      </c>
      <c r="B412" s="435">
        <v>8.8122082633474971E-2</v>
      </c>
      <c r="C412" s="436">
        <v>-0.36112790187764027</v>
      </c>
    </row>
    <row r="413" spans="1:3" x14ac:dyDescent="0.25">
      <c r="A413" s="437">
        <v>44609</v>
      </c>
      <c r="B413" s="435">
        <v>-2.1173137043269175</v>
      </c>
      <c r="C413" s="436">
        <v>-2.9665100166944938</v>
      </c>
    </row>
    <row r="414" spans="1:3" x14ac:dyDescent="0.25">
      <c r="A414" s="437">
        <v>44610</v>
      </c>
      <c r="B414" s="435">
        <v>-0.71662412733491443</v>
      </c>
      <c r="C414" s="436">
        <v>-1.0013990589409656</v>
      </c>
    </row>
    <row r="415" spans="1:3" x14ac:dyDescent="0.25">
      <c r="A415" s="437">
        <v>44614</v>
      </c>
      <c r="B415" s="435">
        <v>-1.0142864698185892</v>
      </c>
      <c r="C415" s="436">
        <v>-0.11123161709624316</v>
      </c>
    </row>
    <row r="416" spans="1:3" x14ac:dyDescent="0.25">
      <c r="A416" s="437">
        <v>44615</v>
      </c>
      <c r="B416" s="435">
        <v>-1.841217628857363</v>
      </c>
      <c r="C416" s="436">
        <v>-2.6276271145929178</v>
      </c>
    </row>
    <row r="417" spans="1:3" x14ac:dyDescent="0.25">
      <c r="A417" s="437">
        <v>44616</v>
      </c>
      <c r="B417" s="435">
        <v>1.4956809844988717</v>
      </c>
      <c r="C417" s="436">
        <v>5.0710615306774685</v>
      </c>
    </row>
    <row r="418" spans="1:3" x14ac:dyDescent="0.25">
      <c r="A418" s="437">
        <v>44617</v>
      </c>
      <c r="B418" s="435">
        <v>2.2372746986266194</v>
      </c>
      <c r="C418" s="436">
        <v>0.88501784409950646</v>
      </c>
    </row>
    <row r="419" spans="1:3" x14ac:dyDescent="0.25">
      <c r="A419" s="437">
        <v>44620</v>
      </c>
      <c r="B419" s="435">
        <v>-0.24426122951660992</v>
      </c>
      <c r="C419" s="436">
        <v>0.45950061550435667</v>
      </c>
    </row>
    <row r="420" spans="1:3" x14ac:dyDescent="0.25">
      <c r="A420" s="437">
        <v>44621</v>
      </c>
      <c r="B420" s="435">
        <v>-1.5473463284818583</v>
      </c>
      <c r="C420" s="436">
        <v>-1.3234825309861624</v>
      </c>
    </row>
    <row r="421" spans="1:3" x14ac:dyDescent="0.25">
      <c r="A421" s="437">
        <v>44622</v>
      </c>
      <c r="B421" s="435">
        <v>1.8642627244987469</v>
      </c>
      <c r="C421" s="436">
        <v>1.7382688377052775</v>
      </c>
    </row>
    <row r="422" spans="1:3" x14ac:dyDescent="0.25">
      <c r="A422" s="437">
        <v>44623</v>
      </c>
      <c r="B422" s="435">
        <v>-0.52547110022934207</v>
      </c>
      <c r="C422" s="436">
        <v>-1.4607287856195856</v>
      </c>
    </row>
    <row r="423" spans="1:3" x14ac:dyDescent="0.25">
      <c r="A423" s="437">
        <v>44624</v>
      </c>
      <c r="B423" s="435">
        <v>-0.79340161201240045</v>
      </c>
      <c r="C423" s="436">
        <v>-2.0861601425311469</v>
      </c>
    </row>
    <row r="424" spans="1:3" x14ac:dyDescent="0.25">
      <c r="A424" s="437">
        <v>44627</v>
      </c>
      <c r="B424" s="435">
        <v>-2.9518095946517162</v>
      </c>
      <c r="C424" s="436">
        <v>-3.8159794199447643</v>
      </c>
    </row>
    <row r="425" spans="1:3" x14ac:dyDescent="0.25">
      <c r="A425" s="437">
        <v>44628</v>
      </c>
      <c r="B425" s="435">
        <v>-0.72338369327960894</v>
      </c>
      <c r="C425" s="436">
        <v>-1.1354273730289026</v>
      </c>
    </row>
    <row r="426" spans="1:3" x14ac:dyDescent="0.25">
      <c r="A426" s="437">
        <v>44629</v>
      </c>
      <c r="B426" s="435">
        <v>2.5698324022346437</v>
      </c>
      <c r="C426" s="436">
        <v>4.5475233550301226</v>
      </c>
    </row>
    <row r="427" spans="1:3" x14ac:dyDescent="0.25">
      <c r="A427" s="437">
        <v>44630</v>
      </c>
      <c r="B427" s="435">
        <v>-0.42918454935621553</v>
      </c>
      <c r="C427" s="436">
        <v>-1.0469668977469724</v>
      </c>
    </row>
    <row r="428" spans="1:3" x14ac:dyDescent="0.25">
      <c r="A428" s="437">
        <v>44631</v>
      </c>
      <c r="B428" s="435">
        <v>-1.2961554353542191</v>
      </c>
      <c r="C428" s="436">
        <v>-1.9711369611378158</v>
      </c>
    </row>
    <row r="429" spans="1:3" x14ac:dyDescent="0.25">
      <c r="A429" s="437">
        <v>44634</v>
      </c>
      <c r="B429" s="435">
        <v>-0.74209561140831015</v>
      </c>
      <c r="C429" s="436">
        <v>-1.3344062981656521</v>
      </c>
    </row>
    <row r="430" spans="1:3" x14ac:dyDescent="0.25">
      <c r="A430" s="437">
        <v>44635</v>
      </c>
      <c r="B430" s="435">
        <v>2.1408493905025305</v>
      </c>
      <c r="C430" s="436">
        <v>3.8359555066252673</v>
      </c>
    </row>
    <row r="431" spans="1:3" x14ac:dyDescent="0.25">
      <c r="A431" s="437">
        <v>44636</v>
      </c>
      <c r="B431" s="435">
        <v>2.2383840279651341</v>
      </c>
      <c r="C431" s="436">
        <v>2.4830376811005652</v>
      </c>
    </row>
    <row r="432" spans="1:3" x14ac:dyDescent="0.25">
      <c r="A432" s="437">
        <v>44637</v>
      </c>
      <c r="B432" s="435">
        <v>1.2347803738532308</v>
      </c>
      <c r="C432" s="436">
        <v>0.24363415459421051</v>
      </c>
    </row>
    <row r="433" spans="1:3" x14ac:dyDescent="0.25">
      <c r="A433" s="437">
        <v>44638</v>
      </c>
      <c r="B433" s="435">
        <v>1.1662250349640797</v>
      </c>
      <c r="C433" s="436">
        <v>1.7264828678111817</v>
      </c>
    </row>
    <row r="434" spans="1:3" x14ac:dyDescent="0.25">
      <c r="A434" s="437">
        <v>44641</v>
      </c>
      <c r="B434" s="435">
        <v>-4.3467350194473814E-2</v>
      </c>
      <c r="C434" s="436">
        <v>-0.46102377245637044</v>
      </c>
    </row>
    <row r="435" spans="1:3" x14ac:dyDescent="0.25">
      <c r="A435" s="437">
        <v>44642</v>
      </c>
      <c r="B435" s="435">
        <v>1.1304184094790926</v>
      </c>
      <c r="C435" s="436">
        <v>1.5996174804396621</v>
      </c>
    </row>
    <row r="436" spans="1:3" x14ac:dyDescent="0.25">
      <c r="A436" s="437">
        <v>44643</v>
      </c>
      <c r="B436" s="435">
        <v>-1.2272780670315009</v>
      </c>
      <c r="C436" s="436">
        <v>-1.5412954713082745</v>
      </c>
    </row>
    <row r="437" spans="1:3" x14ac:dyDescent="0.25">
      <c r="A437" s="437">
        <v>44644</v>
      </c>
      <c r="B437" s="435">
        <v>1.4343931206577758</v>
      </c>
      <c r="C437" s="436">
        <v>1.5009888423416189</v>
      </c>
    </row>
    <row r="438" spans="1:3" x14ac:dyDescent="0.25">
      <c r="A438" s="437">
        <v>44645</v>
      </c>
      <c r="B438" s="435">
        <v>0.50661923471736725</v>
      </c>
      <c r="C438" s="436">
        <v>-0.17641673519006215</v>
      </c>
    </row>
    <row r="439" spans="1:3" x14ac:dyDescent="0.25">
      <c r="A439" s="437">
        <v>44648</v>
      </c>
      <c r="B439" s="435">
        <v>0.71449639670178322</v>
      </c>
      <c r="C439" s="436">
        <v>2.2733501454871905</v>
      </c>
    </row>
    <row r="440" spans="1:3" x14ac:dyDescent="0.25">
      <c r="A440" s="437">
        <v>44649</v>
      </c>
      <c r="B440" s="435">
        <v>1.2256530405287251</v>
      </c>
      <c r="C440" s="436">
        <v>1.4776291335978446</v>
      </c>
    </row>
    <row r="441" spans="1:3" x14ac:dyDescent="0.25">
      <c r="A441" s="437">
        <v>44650</v>
      </c>
      <c r="B441" s="435">
        <v>-0.62937213921756074</v>
      </c>
      <c r="C441" s="436">
        <v>-0.52972987867944099</v>
      </c>
    </row>
    <row r="442" spans="1:3" x14ac:dyDescent="0.25">
      <c r="A442" s="437">
        <v>44651</v>
      </c>
      <c r="B442" s="435">
        <v>-1.565253289009114</v>
      </c>
      <c r="C442" s="436">
        <v>-1.8066002820509239</v>
      </c>
    </row>
    <row r="443" spans="1:3" x14ac:dyDescent="0.25">
      <c r="A443" s="437">
        <v>44652</v>
      </c>
      <c r="B443" s="435">
        <v>0.34102873691343211</v>
      </c>
      <c r="C443" s="436">
        <v>0.32173211287360709</v>
      </c>
    </row>
    <row r="444" spans="1:3" x14ac:dyDescent="0.25">
      <c r="A444" s="437">
        <v>44655</v>
      </c>
      <c r="B444" s="435">
        <v>0.80908782936563506</v>
      </c>
      <c r="C444" s="436">
        <v>1.7553745416658109</v>
      </c>
    </row>
    <row r="445" spans="1:3" x14ac:dyDescent="0.25">
      <c r="A445" s="437">
        <v>44656</v>
      </c>
      <c r="B445" s="435">
        <v>-1.2551716914267854</v>
      </c>
      <c r="C445" s="436">
        <v>-1.3368350944581042</v>
      </c>
    </row>
    <row r="446" spans="1:3" x14ac:dyDescent="0.25">
      <c r="A446" s="437">
        <v>44657</v>
      </c>
      <c r="B446" s="435">
        <v>-0.97168693868892442</v>
      </c>
      <c r="C446" s="436">
        <v>-3.6988779776669727</v>
      </c>
    </row>
    <row r="447" spans="1:3" x14ac:dyDescent="0.25">
      <c r="A447" s="437">
        <v>44658</v>
      </c>
      <c r="B447" s="435">
        <v>0.42533724601944589</v>
      </c>
      <c r="C447" s="436">
        <v>0.58607228714524784</v>
      </c>
    </row>
    <row r="448" spans="1:3" x14ac:dyDescent="0.25">
      <c r="A448" s="437">
        <v>44659</v>
      </c>
      <c r="B448" s="435">
        <v>-0.26509873983659188</v>
      </c>
      <c r="C448" s="436">
        <v>-1.4982973696784221</v>
      </c>
    </row>
    <row r="449" spans="1:3" x14ac:dyDescent="0.25">
      <c r="A449" s="437">
        <v>44662</v>
      </c>
      <c r="B449" s="435">
        <v>-1.6877289295676741</v>
      </c>
      <c r="C449" s="436">
        <v>-3.9814561977871294</v>
      </c>
    </row>
    <row r="450" spans="1:3" x14ac:dyDescent="0.25">
      <c r="A450" s="437">
        <v>44663</v>
      </c>
      <c r="B450" s="435">
        <v>-0.34175405039738943</v>
      </c>
      <c r="C450" s="436">
        <v>-1.1600878033447501</v>
      </c>
    </row>
    <row r="451" spans="1:3" x14ac:dyDescent="0.25">
      <c r="A451" s="437">
        <v>44664</v>
      </c>
      <c r="B451" s="435">
        <v>1.1174658040455339</v>
      </c>
      <c r="C451" s="436">
        <v>1.9329107492817927</v>
      </c>
    </row>
    <row r="452" spans="1:3" x14ac:dyDescent="0.25">
      <c r="A452" s="437">
        <v>44665</v>
      </c>
      <c r="B452" s="435">
        <v>-1.2144137417661622</v>
      </c>
      <c r="C452" s="436">
        <v>-2.7467375688136699</v>
      </c>
    </row>
    <row r="453" spans="1:3" x14ac:dyDescent="0.25">
      <c r="A453" s="437">
        <v>44669</v>
      </c>
      <c r="B453" s="435">
        <v>-2.0489050878878878E-2</v>
      </c>
      <c r="C453" s="436">
        <v>0.20827900584471407</v>
      </c>
    </row>
    <row r="454" spans="1:3" x14ac:dyDescent="0.25">
      <c r="A454" s="437">
        <v>44670</v>
      </c>
      <c r="B454" s="435">
        <v>1.605759969396757</v>
      </c>
      <c r="C454" s="436">
        <v>1.6656780363031367</v>
      </c>
    </row>
    <row r="455" spans="1:3" x14ac:dyDescent="0.25">
      <c r="A455" s="437">
        <v>44671</v>
      </c>
      <c r="B455" s="435">
        <v>-6.1852759058856892E-2</v>
      </c>
      <c r="C455" s="436">
        <v>0.33323769526271763</v>
      </c>
    </row>
    <row r="456" spans="1:3" x14ac:dyDescent="0.25">
      <c r="A456" s="437">
        <v>44672</v>
      </c>
      <c r="B456" s="435">
        <v>-1.4752940385025051</v>
      </c>
      <c r="C456" s="436">
        <v>-1.9764154109223702</v>
      </c>
    </row>
    <row r="457" spans="1:3" x14ac:dyDescent="0.25">
      <c r="A457" s="437">
        <v>44673</v>
      </c>
      <c r="B457" s="435">
        <v>-2.7739970776072824</v>
      </c>
      <c r="C457" s="436">
        <v>-2.4527435911430873</v>
      </c>
    </row>
    <row r="458" spans="1:3" x14ac:dyDescent="0.25">
      <c r="A458" s="437">
        <v>44676</v>
      </c>
      <c r="B458" s="435">
        <v>0.56978589721381123</v>
      </c>
      <c r="C458" s="436">
        <v>2.4030392783320957</v>
      </c>
    </row>
    <row r="459" spans="1:3" x14ac:dyDescent="0.25">
      <c r="A459" s="437">
        <v>44677</v>
      </c>
      <c r="B459" s="435">
        <v>-2.8146327383778869</v>
      </c>
      <c r="C459" s="436">
        <v>-3.7786818618538689</v>
      </c>
    </row>
    <row r="460" spans="1:3" x14ac:dyDescent="0.25">
      <c r="A460" s="437">
        <v>44678</v>
      </c>
      <c r="B460" s="435">
        <v>0.20981030848822138</v>
      </c>
      <c r="C460" s="436">
        <v>4.7725948086340946</v>
      </c>
    </row>
    <row r="461" spans="1:3" x14ac:dyDescent="0.25">
      <c r="A461" s="437">
        <v>44679</v>
      </c>
      <c r="B461" s="435">
        <v>2.4746890505645358</v>
      </c>
      <c r="C461" s="436">
        <v>2.2249596488127112</v>
      </c>
    </row>
    <row r="462" spans="1:3" x14ac:dyDescent="0.25">
      <c r="A462" s="437">
        <v>44680</v>
      </c>
      <c r="B462" s="435">
        <v>-3.6284548104956205</v>
      </c>
      <c r="C462" s="436">
        <v>-4.2195021513447735</v>
      </c>
    </row>
    <row r="463" spans="1:3" x14ac:dyDescent="0.25">
      <c r="A463" s="437">
        <v>44683</v>
      </c>
      <c r="B463" s="435">
        <v>0.56753139574000089</v>
      </c>
      <c r="C463" s="436">
        <v>2.4660284359599824</v>
      </c>
    </row>
    <row r="464" spans="1:3" x14ac:dyDescent="0.25">
      <c r="A464" s="437">
        <v>44684</v>
      </c>
      <c r="B464" s="435">
        <v>0.48371027439125791</v>
      </c>
      <c r="C464" s="436">
        <v>-0.983918866855507</v>
      </c>
    </row>
    <row r="465" spans="1:3" x14ac:dyDescent="0.25">
      <c r="A465" s="437">
        <v>44685</v>
      </c>
      <c r="B465" s="435">
        <v>2.9862434977535641</v>
      </c>
      <c r="C465" s="436">
        <v>2.8717759561007794</v>
      </c>
    </row>
    <row r="466" spans="1:3" x14ac:dyDescent="0.25">
      <c r="A466" s="437">
        <v>44686</v>
      </c>
      <c r="B466" s="435">
        <v>-3.5649753381843086</v>
      </c>
      <c r="C466" s="436">
        <v>-4.3937743502647777</v>
      </c>
    </row>
    <row r="467" spans="1:3" x14ac:dyDescent="0.25">
      <c r="A467" s="437">
        <v>44687</v>
      </c>
      <c r="B467" s="435">
        <v>-0.56741590645474171</v>
      </c>
      <c r="C467" s="436">
        <v>-0.9829529451310044</v>
      </c>
    </row>
    <row r="468" spans="1:3" x14ac:dyDescent="0.25">
      <c r="A468" s="437">
        <v>44690</v>
      </c>
      <c r="B468" s="435">
        <v>-3.2037134944001795</v>
      </c>
      <c r="C468" s="436">
        <v>-3.7328450418956867</v>
      </c>
    </row>
    <row r="469" spans="1:3" x14ac:dyDescent="0.25">
      <c r="A469" s="437">
        <v>44691</v>
      </c>
      <c r="B469" s="435">
        <v>0.24578827632516215</v>
      </c>
      <c r="C469" s="436">
        <v>1.8212559912851545</v>
      </c>
    </row>
    <row r="470" spans="1:3" x14ac:dyDescent="0.25">
      <c r="A470" s="437">
        <v>44692</v>
      </c>
      <c r="B470" s="435">
        <v>-1.6463178415665973</v>
      </c>
      <c r="C470" s="436">
        <v>-3.3592692022263511</v>
      </c>
    </row>
    <row r="471" spans="1:3" x14ac:dyDescent="0.25">
      <c r="A471" s="437">
        <v>44693</v>
      </c>
      <c r="B471" s="435">
        <v>-0.12960017076728153</v>
      </c>
      <c r="C471" s="436">
        <v>-2.0340713450364762</v>
      </c>
    </row>
    <row r="472" spans="1:3" x14ac:dyDescent="0.25">
      <c r="A472" s="437">
        <v>44694</v>
      </c>
      <c r="B472" s="435">
        <v>2.3869743109555008</v>
      </c>
      <c r="C472" s="436">
        <v>2.2213392654872348</v>
      </c>
    </row>
    <row r="473" spans="1:3" x14ac:dyDescent="0.25">
      <c r="A473" s="437">
        <v>44697</v>
      </c>
      <c r="B473" s="435">
        <v>-0.39464299471406161</v>
      </c>
      <c r="C473" s="436">
        <v>0.10722887839936684</v>
      </c>
    </row>
    <row r="474" spans="1:3" x14ac:dyDescent="0.25">
      <c r="A474" s="437">
        <v>44698</v>
      </c>
      <c r="B474" s="435">
        <v>2.0169610355263505</v>
      </c>
      <c r="C474" s="436">
        <v>1.9961195028680594</v>
      </c>
    </row>
    <row r="475" spans="1:3" x14ac:dyDescent="0.25">
      <c r="A475" s="437">
        <v>44699</v>
      </c>
      <c r="B475" s="435">
        <v>-4.0395221150201177</v>
      </c>
      <c r="C475" s="436">
        <v>-4.8130562648103705</v>
      </c>
    </row>
    <row r="476" spans="1:3" x14ac:dyDescent="0.25">
      <c r="A476" s="437">
        <v>44700</v>
      </c>
      <c r="B476" s="435">
        <v>-0.58338090771928075</v>
      </c>
      <c r="C476" s="436">
        <v>-0.40826339444299065</v>
      </c>
    </row>
    <row r="477" spans="1:3" x14ac:dyDescent="0.25">
      <c r="A477" s="437">
        <v>44701</v>
      </c>
      <c r="B477" s="435">
        <v>1.4612424662700728E-2</v>
      </c>
      <c r="C477" s="436">
        <v>-0.26742262079924461</v>
      </c>
    </row>
    <row r="478" spans="1:3" x14ac:dyDescent="0.25">
      <c r="A478" s="437">
        <v>44704</v>
      </c>
      <c r="B478" s="435">
        <v>1.8555067976295414</v>
      </c>
      <c r="C478" s="436">
        <v>3.1648976813683629</v>
      </c>
    </row>
    <row r="479" spans="1:3" x14ac:dyDescent="0.25">
      <c r="A479" s="437">
        <v>44705</v>
      </c>
      <c r="B479" s="435">
        <v>-0.81207927021075765</v>
      </c>
      <c r="C479" s="436">
        <v>-0.43346555676574283</v>
      </c>
    </row>
    <row r="480" spans="1:3" x14ac:dyDescent="0.25">
      <c r="A480" s="437">
        <v>44706</v>
      </c>
      <c r="B480" s="435">
        <v>0.94507646873763163</v>
      </c>
      <c r="C480" s="436">
        <v>1.0787148893963241</v>
      </c>
    </row>
    <row r="481" spans="1:3" x14ac:dyDescent="0.25">
      <c r="A481" s="437">
        <v>44707</v>
      </c>
      <c r="B481" s="435">
        <v>1.9883229070582857</v>
      </c>
      <c r="C481" s="436">
        <v>1.249222909350717</v>
      </c>
    </row>
    <row r="482" spans="1:3" x14ac:dyDescent="0.25">
      <c r="A482" s="437">
        <v>44708</v>
      </c>
      <c r="B482" s="435">
        <v>2.4742227391912848</v>
      </c>
      <c r="C482" s="436">
        <v>2.7221348121948381</v>
      </c>
    </row>
    <row r="483" spans="1:3" x14ac:dyDescent="0.25">
      <c r="A483" s="437">
        <v>44712</v>
      </c>
      <c r="B483" s="435">
        <v>-0.62742891223210173</v>
      </c>
      <c r="C483" s="436">
        <v>-0.53968890723863683</v>
      </c>
    </row>
    <row r="484" spans="1:3" x14ac:dyDescent="0.25">
      <c r="A484" s="437">
        <v>44713</v>
      </c>
      <c r="B484" s="435">
        <v>-0.74827874109120129</v>
      </c>
      <c r="C484" s="436">
        <v>0.16400919561386901</v>
      </c>
    </row>
    <row r="485" spans="1:3" x14ac:dyDescent="0.25">
      <c r="A485" s="437">
        <v>44714</v>
      </c>
      <c r="B485" s="435">
        <v>1.8431056049038985</v>
      </c>
      <c r="C485" s="436">
        <v>0.75458374455808941</v>
      </c>
    </row>
    <row r="486" spans="1:3" x14ac:dyDescent="0.25">
      <c r="A486" s="437">
        <v>44715</v>
      </c>
      <c r="B486" s="435">
        <v>-1.6347364741597616</v>
      </c>
      <c r="C486" s="436">
        <v>-1.6990175380192611</v>
      </c>
    </row>
    <row r="487" spans="1:3" x14ac:dyDescent="0.25">
      <c r="A487" s="437">
        <v>44718</v>
      </c>
      <c r="B487" s="435">
        <v>0.31373675320187533</v>
      </c>
      <c r="C487" s="436">
        <v>-0.50863147608935333</v>
      </c>
    </row>
    <row r="488" spans="1:3" x14ac:dyDescent="0.25">
      <c r="A488" s="437">
        <v>44719</v>
      </c>
      <c r="B488" s="435">
        <v>0.95233935794129709</v>
      </c>
      <c r="C488" s="436">
        <v>1.3570488372093024</v>
      </c>
    </row>
    <row r="489" spans="1:3" x14ac:dyDescent="0.25">
      <c r="A489" s="437">
        <v>44720</v>
      </c>
      <c r="B489" s="435">
        <v>-1.0793908688002887</v>
      </c>
      <c r="C489" s="436">
        <v>-0.80527100917430638</v>
      </c>
    </row>
    <row r="490" spans="1:3" x14ac:dyDescent="0.25">
      <c r="A490" s="437">
        <v>44721</v>
      </c>
      <c r="B490" s="435">
        <v>-2.379870595295662</v>
      </c>
      <c r="C490" s="436">
        <v>-2.1166236259262128</v>
      </c>
    </row>
    <row r="491" spans="1:3" x14ac:dyDescent="0.25">
      <c r="A491" s="437">
        <v>44722</v>
      </c>
      <c r="B491" s="435">
        <v>-2.9110313553120855</v>
      </c>
      <c r="C491" s="436">
        <v>-4.4946630042400884</v>
      </c>
    </row>
    <row r="492" spans="1:3" x14ac:dyDescent="0.25">
      <c r="A492" s="437">
        <v>44725</v>
      </c>
      <c r="B492" s="435">
        <v>-3.8768374153391822</v>
      </c>
      <c r="C492" s="436">
        <v>-4.2795782275726637</v>
      </c>
    </row>
    <row r="493" spans="1:3" x14ac:dyDescent="0.25">
      <c r="A493" s="437">
        <v>44726</v>
      </c>
      <c r="B493" s="435">
        <v>-0.3773705672293024</v>
      </c>
      <c r="C493" s="436">
        <v>0.88220278462194845</v>
      </c>
    </row>
    <row r="494" spans="1:3" x14ac:dyDescent="0.25">
      <c r="A494" s="437">
        <v>44727</v>
      </c>
      <c r="B494" s="435">
        <v>1.4592502168395967</v>
      </c>
      <c r="C494" s="436">
        <v>2.9352325990115657</v>
      </c>
    </row>
    <row r="495" spans="1:3" x14ac:dyDescent="0.25">
      <c r="A495" s="437">
        <v>44728</v>
      </c>
      <c r="B495" s="435">
        <v>-3.2511959134456765</v>
      </c>
      <c r="C495" s="436">
        <v>-2.7353106986219182</v>
      </c>
    </row>
    <row r="496" spans="1:3" x14ac:dyDescent="0.25">
      <c r="A496" s="437">
        <v>44729</v>
      </c>
      <c r="B496" s="435">
        <v>0.22008470670372465</v>
      </c>
      <c r="C496" s="436">
        <v>1.055708649655023</v>
      </c>
    </row>
    <row r="497" spans="1:3" x14ac:dyDescent="0.25">
      <c r="A497" s="437">
        <v>44733</v>
      </c>
      <c r="B497" s="435">
        <v>2.447725615264877</v>
      </c>
      <c r="C497" s="436">
        <v>2.4208201887935457</v>
      </c>
    </row>
    <row r="498" spans="1:3" x14ac:dyDescent="0.25">
      <c r="A498" s="437">
        <v>44734</v>
      </c>
      <c r="B498" s="435">
        <v>-0.13015334188626965</v>
      </c>
      <c r="C498" s="436">
        <v>-0.27870355796476998</v>
      </c>
    </row>
    <row r="499" spans="1:3" x14ac:dyDescent="0.25">
      <c r="A499" s="437">
        <v>44735</v>
      </c>
      <c r="B499" s="435">
        <v>0.95321937609877272</v>
      </c>
      <c r="C499" s="436">
        <v>2.225351043660345</v>
      </c>
    </row>
    <row r="500" spans="1:3" x14ac:dyDescent="0.25">
      <c r="A500" s="437">
        <v>44736</v>
      </c>
      <c r="B500" s="435">
        <v>3.056329085577735</v>
      </c>
      <c r="C500" s="436">
        <v>3.3766839728994889</v>
      </c>
    </row>
    <row r="501" spans="1:3" x14ac:dyDescent="0.25">
      <c r="A501" s="437">
        <v>44739</v>
      </c>
      <c r="B501" s="435">
        <v>-0.29731014842498876</v>
      </c>
      <c r="C501" s="436">
        <v>-1.0879813126777182</v>
      </c>
    </row>
    <row r="502" spans="1:3" x14ac:dyDescent="0.25">
      <c r="A502" s="437">
        <v>44740</v>
      </c>
      <c r="B502" s="435">
        <v>-2.0143021607082865</v>
      </c>
      <c r="C502" s="436">
        <v>-3.2132041201118939</v>
      </c>
    </row>
    <row r="503" spans="1:3" x14ac:dyDescent="0.25">
      <c r="A503" s="437">
        <v>44741</v>
      </c>
      <c r="B503" s="435">
        <v>-7.1175308448149427E-2</v>
      </c>
      <c r="C503" s="436">
        <v>1.4354986735348481</v>
      </c>
    </row>
    <row r="504" spans="1:3" x14ac:dyDescent="0.25">
      <c r="A504" s="437">
        <v>44742</v>
      </c>
      <c r="B504" s="435">
        <v>-0.87592273026031053</v>
      </c>
      <c r="C504" s="436">
        <v>-1.3562216430522711</v>
      </c>
    </row>
    <row r="505" spans="1:3" x14ac:dyDescent="0.25">
      <c r="A505" s="437">
        <v>44743</v>
      </c>
      <c r="B505" s="435">
        <v>1.0553762105785898</v>
      </c>
      <c r="C505" s="436">
        <v>1.0324472410532808</v>
      </c>
    </row>
    <row r="506" spans="1:3" x14ac:dyDescent="0.25">
      <c r="A506" s="437">
        <v>44747</v>
      </c>
      <c r="B506" s="435">
        <v>0.15841770513916306</v>
      </c>
      <c r="C506" s="436">
        <v>1.2214346343190896</v>
      </c>
    </row>
    <row r="507" spans="1:3" x14ac:dyDescent="0.25">
      <c r="A507" s="437">
        <v>44748</v>
      </c>
      <c r="B507" s="435">
        <v>0.35731157621646592</v>
      </c>
      <c r="C507" s="436">
        <v>1.2399898700028922</v>
      </c>
    </row>
    <row r="508" spans="1:3" x14ac:dyDescent="0.25">
      <c r="A508" s="437">
        <v>44749</v>
      </c>
      <c r="B508" s="435">
        <v>1.496457811020836</v>
      </c>
      <c r="C508" s="436">
        <v>0.78435995794274693</v>
      </c>
    </row>
    <row r="509" spans="1:3" x14ac:dyDescent="0.25">
      <c r="A509" s="437">
        <v>44750</v>
      </c>
      <c r="B509" s="435">
        <v>-8.3021149894168075E-2</v>
      </c>
      <c r="C509" s="436">
        <v>-0.31400417903957833</v>
      </c>
    </row>
    <row r="510" spans="1:3" x14ac:dyDescent="0.25">
      <c r="A510" s="437">
        <v>44753</v>
      </c>
      <c r="B510" s="435">
        <v>-1.1527473598366988</v>
      </c>
      <c r="C510" s="436">
        <v>-1.2151639142663959</v>
      </c>
    </row>
    <row r="511" spans="1:3" x14ac:dyDescent="0.25">
      <c r="A511" s="437">
        <v>44754</v>
      </c>
      <c r="B511" s="435">
        <v>-0.92439089567068689</v>
      </c>
      <c r="C511" s="436">
        <v>-4.1364481192337603</v>
      </c>
    </row>
    <row r="512" spans="1:3" x14ac:dyDescent="0.25">
      <c r="A512" s="437">
        <v>44755</v>
      </c>
      <c r="B512" s="435">
        <v>-0.44568974546978057</v>
      </c>
      <c r="C512" s="436">
        <v>-0.41280112645958089</v>
      </c>
    </row>
    <row r="513" spans="1:3" x14ac:dyDescent="0.25">
      <c r="A513" s="437">
        <v>44756</v>
      </c>
      <c r="B513" s="435">
        <v>-0.29985953947887806</v>
      </c>
      <c r="C513" s="436">
        <v>0.49984537615485802</v>
      </c>
    </row>
    <row r="514" spans="1:3" x14ac:dyDescent="0.25">
      <c r="A514" s="437">
        <v>44757</v>
      </c>
      <c r="B514" s="435">
        <v>1.9201241036518699</v>
      </c>
      <c r="C514" s="436">
        <v>1.0007424194030103</v>
      </c>
    </row>
    <row r="515" spans="1:3" x14ac:dyDescent="0.25">
      <c r="A515" s="437">
        <v>44760</v>
      </c>
      <c r="B515" s="435">
        <v>-0.83636194203708747</v>
      </c>
      <c r="C515" s="436">
        <v>-1.0004381233946102</v>
      </c>
    </row>
    <row r="516" spans="1:3" x14ac:dyDescent="0.25">
      <c r="A516" s="437">
        <v>44761</v>
      </c>
      <c r="B516" s="435">
        <v>2.7628333137554368</v>
      </c>
      <c r="C516" s="436">
        <v>2.0383957718780632</v>
      </c>
    </row>
    <row r="517" spans="1:3" x14ac:dyDescent="0.25">
      <c r="A517" s="437">
        <v>44762</v>
      </c>
      <c r="B517" s="435">
        <v>0.58958160281861249</v>
      </c>
      <c r="C517" s="436">
        <v>1.0174507843245646</v>
      </c>
    </row>
    <row r="518" spans="1:3" x14ac:dyDescent="0.25">
      <c r="A518" s="437">
        <v>44763</v>
      </c>
      <c r="B518" s="435">
        <v>0.98613601353568847</v>
      </c>
      <c r="C518" s="436">
        <v>0.94160891363478705</v>
      </c>
    </row>
    <row r="519" spans="1:3" x14ac:dyDescent="0.25">
      <c r="A519" s="437">
        <v>44764</v>
      </c>
      <c r="B519" s="435">
        <v>-0.93324497680640439</v>
      </c>
      <c r="C519" s="436">
        <v>-1.7298915525085534</v>
      </c>
    </row>
    <row r="520" spans="1:3" x14ac:dyDescent="0.25">
      <c r="A520" s="437">
        <v>44767</v>
      </c>
      <c r="B520" s="435">
        <v>0.13151152429681814</v>
      </c>
      <c r="C520" s="436">
        <v>-0.62594713786566614</v>
      </c>
    </row>
    <row r="521" spans="1:3" x14ac:dyDescent="0.25">
      <c r="A521" s="437">
        <v>44768</v>
      </c>
      <c r="B521" s="435">
        <v>-1.1543193070554891</v>
      </c>
      <c r="C521" s="436">
        <v>-2.7157304941722322</v>
      </c>
    </row>
    <row r="522" spans="1:3" x14ac:dyDescent="0.25">
      <c r="A522" s="437">
        <v>44769</v>
      </c>
      <c r="B522" s="435">
        <v>2.6156259165274593</v>
      </c>
      <c r="C522" s="436">
        <v>6.6468911080236008</v>
      </c>
    </row>
    <row r="523" spans="1:3" x14ac:dyDescent="0.25">
      <c r="A523" s="437">
        <v>44770</v>
      </c>
      <c r="B523" s="435">
        <v>1.2133382708562634</v>
      </c>
      <c r="C523" s="436">
        <v>2.8157650016397029</v>
      </c>
    </row>
    <row r="524" spans="1:3" x14ac:dyDescent="0.25">
      <c r="A524" s="437">
        <v>44771</v>
      </c>
      <c r="B524" s="435">
        <v>1.4207733466259733</v>
      </c>
      <c r="C524" s="436">
        <v>1.5282084249266037</v>
      </c>
    </row>
    <row r="525" spans="1:3" x14ac:dyDescent="0.25">
      <c r="A525" s="437">
        <v>44774</v>
      </c>
      <c r="B525" s="435">
        <v>-0.28230463236237296</v>
      </c>
      <c r="C525" s="436">
        <v>-1.0107229170201064</v>
      </c>
    </row>
    <row r="526" spans="1:3" x14ac:dyDescent="0.25">
      <c r="A526" s="437">
        <v>44775</v>
      </c>
      <c r="B526" s="435">
        <v>-0.666240958765416</v>
      </c>
      <c r="C526" s="436">
        <v>-1.1857417773662347</v>
      </c>
    </row>
    <row r="527" spans="1:3" x14ac:dyDescent="0.25">
      <c r="A527" s="437">
        <v>44776</v>
      </c>
      <c r="B527" s="435">
        <v>1.5638481713144592</v>
      </c>
      <c r="C527" s="436">
        <v>2.7453379467088981</v>
      </c>
    </row>
    <row r="528" spans="1:3" x14ac:dyDescent="0.25">
      <c r="A528" s="437">
        <v>44777</v>
      </c>
      <c r="B528" s="435">
        <v>-7.7734484990998512E-2</v>
      </c>
      <c r="C528" s="436">
        <v>0.37944099756524857</v>
      </c>
    </row>
    <row r="529" spans="1:3" x14ac:dyDescent="0.25">
      <c r="A529" s="437">
        <v>44778</v>
      </c>
      <c r="B529" s="435">
        <v>-0.16257460367924392</v>
      </c>
      <c r="C529" s="436">
        <v>-0.29918137340132556</v>
      </c>
    </row>
    <row r="530" spans="1:3" x14ac:dyDescent="0.25">
      <c r="A530" s="437">
        <v>44781</v>
      </c>
      <c r="B530" s="435">
        <v>-0.12375789770792654</v>
      </c>
      <c r="C530" s="436">
        <v>-0.95378441673347092</v>
      </c>
    </row>
    <row r="531" spans="1:3" x14ac:dyDescent="0.25">
      <c r="A531" s="437">
        <v>44782</v>
      </c>
      <c r="B531" s="435">
        <v>-0.42487306947242659</v>
      </c>
      <c r="C531" s="436">
        <v>0.66802882083226034</v>
      </c>
    </row>
    <row r="532" spans="1:3" x14ac:dyDescent="0.25">
      <c r="A532" s="437">
        <v>44783</v>
      </c>
      <c r="B532" s="435">
        <v>2.1290634013103675</v>
      </c>
      <c r="C532" s="436">
        <v>2.3917447366650371</v>
      </c>
    </row>
    <row r="533" spans="1:3" x14ac:dyDescent="0.25">
      <c r="A533" s="437">
        <v>44784</v>
      </c>
      <c r="B533" s="435">
        <v>-7.0542296876172028E-2</v>
      </c>
      <c r="C533" s="436">
        <v>-0.77837987633033967</v>
      </c>
    </row>
    <row r="534" spans="1:3" x14ac:dyDescent="0.25">
      <c r="A534" s="437">
        <v>44785</v>
      </c>
      <c r="B534" s="435">
        <v>1.7322396708554284</v>
      </c>
      <c r="C534" s="436">
        <v>1.6654193183085255</v>
      </c>
    </row>
    <row r="535" spans="1:3" x14ac:dyDescent="0.25">
      <c r="A535" s="437">
        <v>44788</v>
      </c>
      <c r="B535" s="435">
        <v>0.39694870506876379</v>
      </c>
      <c r="C535" s="436">
        <v>0.49611025611441861</v>
      </c>
    </row>
    <row r="536" spans="1:3" x14ac:dyDescent="0.25">
      <c r="A536" s="437">
        <v>44789</v>
      </c>
      <c r="B536" s="435">
        <v>0.18756661407353473</v>
      </c>
      <c r="C536" s="436">
        <v>-0.29727365911687254</v>
      </c>
    </row>
    <row r="537" spans="1:3" x14ac:dyDescent="0.25">
      <c r="A537" s="437">
        <v>44790</v>
      </c>
      <c r="B537" s="435">
        <v>-0.72377589891293914</v>
      </c>
      <c r="C537" s="436">
        <v>-0.5131672893779109</v>
      </c>
    </row>
    <row r="538" spans="1:3" x14ac:dyDescent="0.25">
      <c r="A538" s="437">
        <v>44791</v>
      </c>
      <c r="B538" s="435">
        <v>0.22695154935376874</v>
      </c>
      <c r="C538" s="436">
        <v>-0.43305283961530061</v>
      </c>
    </row>
    <row r="539" spans="1:3" x14ac:dyDescent="0.25">
      <c r="A539" s="437">
        <v>44792</v>
      </c>
      <c r="B539" s="435">
        <v>-1.2899942573545597</v>
      </c>
      <c r="C539" s="436">
        <v>-1.423701254401843</v>
      </c>
    </row>
    <row r="540" spans="1:3" x14ac:dyDescent="0.25">
      <c r="A540" s="437">
        <v>44795</v>
      </c>
      <c r="B540" s="435">
        <v>-2.1400124867564654</v>
      </c>
      <c r="C540" s="436">
        <v>-2.9738212916761384</v>
      </c>
    </row>
    <row r="541" spans="1:3" x14ac:dyDescent="0.25">
      <c r="A541" s="437">
        <v>44796</v>
      </c>
      <c r="B541" s="435">
        <v>-0.22378014446627997</v>
      </c>
      <c r="C541" s="436">
        <v>-0.50994644464446715</v>
      </c>
    </row>
    <row r="542" spans="1:3" x14ac:dyDescent="0.25">
      <c r="A542" s="437">
        <v>44797</v>
      </c>
      <c r="B542" s="435">
        <v>0.29161509713642875</v>
      </c>
      <c r="C542" s="436">
        <v>-0.27342986373079065</v>
      </c>
    </row>
    <row r="543" spans="1:3" x14ac:dyDescent="0.25">
      <c r="A543" s="437">
        <v>44798</v>
      </c>
      <c r="B543" s="435">
        <v>1.4091582000449059</v>
      </c>
      <c r="C543" s="436">
        <v>1.0712387432979886</v>
      </c>
    </row>
    <row r="544" spans="1:3" x14ac:dyDescent="0.25">
      <c r="A544" s="437">
        <v>44799</v>
      </c>
      <c r="B544" s="435">
        <v>-3.3688010821314949</v>
      </c>
      <c r="C544" s="436">
        <v>-3.8970089002967505</v>
      </c>
    </row>
    <row r="545" spans="1:3" x14ac:dyDescent="0.25">
      <c r="A545" s="437">
        <v>44802</v>
      </c>
      <c r="B545" s="435">
        <v>-0.66664037893760764</v>
      </c>
      <c r="C545" s="436">
        <v>-1.1051003441650225</v>
      </c>
    </row>
    <row r="546" spans="1:3" x14ac:dyDescent="0.25">
      <c r="A546" s="437">
        <v>44803</v>
      </c>
      <c r="B546" s="435">
        <v>-1.1028107408059891</v>
      </c>
      <c r="C546" s="436">
        <v>-0.89039437328717885</v>
      </c>
    </row>
    <row r="547" spans="1:3" x14ac:dyDescent="0.25">
      <c r="A547" s="437">
        <v>44804</v>
      </c>
      <c r="B547" s="435">
        <v>-0.781704698255962</v>
      </c>
      <c r="C547" s="436">
        <v>-0.60870726862224855</v>
      </c>
    </row>
    <row r="548" spans="1:3" x14ac:dyDescent="0.25">
      <c r="A548" s="437">
        <v>44805</v>
      </c>
      <c r="B548" s="435">
        <v>0.29962073324904953</v>
      </c>
      <c r="C548" s="436">
        <v>-0.44752744326605642</v>
      </c>
    </row>
    <row r="549" spans="1:3" x14ac:dyDescent="0.25">
      <c r="A549" s="437">
        <v>44806</v>
      </c>
      <c r="B549" s="435">
        <v>-1.0736478566116614</v>
      </c>
      <c r="C549" s="436">
        <v>-1.7049651689707739</v>
      </c>
    </row>
    <row r="550" spans="1:3" x14ac:dyDescent="0.25">
      <c r="A550" s="437">
        <v>44810</v>
      </c>
      <c r="B550" s="435">
        <v>-0.40950395743401719</v>
      </c>
      <c r="C550" s="436">
        <v>-1.1356982746028168</v>
      </c>
    </row>
    <row r="551" spans="1:3" x14ac:dyDescent="0.25">
      <c r="A551" s="437">
        <v>44811</v>
      </c>
      <c r="B551" s="435">
        <v>1.8340971140092941</v>
      </c>
      <c r="C551" s="436">
        <v>1.8728534057255617</v>
      </c>
    </row>
    <row r="552" spans="1:3" x14ac:dyDescent="0.25">
      <c r="A552" s="437">
        <v>44812</v>
      </c>
      <c r="B552" s="435">
        <v>0.66107686934497734</v>
      </c>
      <c r="C552" s="436">
        <v>0.12830583775592158</v>
      </c>
    </row>
    <row r="553" spans="1:3" x14ac:dyDescent="0.25">
      <c r="A553" s="437">
        <v>44813</v>
      </c>
      <c r="B553" s="435">
        <v>1.5271405678227212</v>
      </c>
      <c r="C553" s="436">
        <v>2.2593954404868062</v>
      </c>
    </row>
    <row r="554" spans="1:3" x14ac:dyDescent="0.25">
      <c r="A554" s="437">
        <v>44816</v>
      </c>
      <c r="B554" s="435">
        <v>1.0584261044018657</v>
      </c>
      <c r="C554" s="436">
        <v>0.7898037111583317</v>
      </c>
    </row>
    <row r="555" spans="1:3" x14ac:dyDescent="0.25">
      <c r="A555" s="437">
        <v>44817</v>
      </c>
      <c r="B555" s="435">
        <v>-4.3236562775976077</v>
      </c>
      <c r="C555" s="436">
        <v>-5.5361396136772445</v>
      </c>
    </row>
    <row r="556" spans="1:3" x14ac:dyDescent="0.25">
      <c r="A556" s="437">
        <v>44818</v>
      </c>
      <c r="B556" s="435">
        <v>0.33869946525152411</v>
      </c>
      <c r="C556" s="436">
        <v>5.29718740570682E-2</v>
      </c>
    </row>
    <row r="557" spans="1:3" x14ac:dyDescent="0.25">
      <c r="A557" s="437">
        <v>44819</v>
      </c>
      <c r="B557" s="435">
        <v>-1.1317761485652673</v>
      </c>
      <c r="C557" s="436">
        <v>-2.7502165700106334</v>
      </c>
    </row>
    <row r="558" spans="1:3" x14ac:dyDescent="0.25">
      <c r="A558" s="437">
        <v>44820</v>
      </c>
      <c r="B558" s="435">
        <v>-0.71821292629474365</v>
      </c>
      <c r="C558" s="436">
        <v>-0.29911994741177655</v>
      </c>
    </row>
    <row r="559" spans="1:3" x14ac:dyDescent="0.25">
      <c r="A559" s="437">
        <v>44823</v>
      </c>
      <c r="B559" s="435">
        <v>0.6857148758303564</v>
      </c>
      <c r="C559" s="436">
        <v>-0.12819171999076995</v>
      </c>
    </row>
    <row r="560" spans="1:3" x14ac:dyDescent="0.25">
      <c r="A560" s="437">
        <v>44824</v>
      </c>
      <c r="B560" s="435">
        <v>-1.1272112803181638</v>
      </c>
      <c r="C560" s="436">
        <v>-0.88485936779716545</v>
      </c>
    </row>
    <row r="561" spans="1:3" x14ac:dyDescent="0.25">
      <c r="A561" s="437">
        <v>44825</v>
      </c>
      <c r="B561" s="435">
        <v>-1.7116493297336828</v>
      </c>
      <c r="C561" s="436">
        <v>-1.481896635721963</v>
      </c>
    </row>
    <row r="562" spans="1:3" x14ac:dyDescent="0.25">
      <c r="A562" s="437">
        <v>44826</v>
      </c>
      <c r="B562" s="435">
        <v>-0.84275962880581057</v>
      </c>
      <c r="C562" s="436">
        <v>0.81124970725528134</v>
      </c>
    </row>
    <row r="563" spans="1:3" x14ac:dyDescent="0.25">
      <c r="A563" s="437">
        <v>44827</v>
      </c>
      <c r="B563" s="435">
        <v>-1.7232616372049889</v>
      </c>
      <c r="C563" s="436">
        <v>-1.3081141135333105</v>
      </c>
    </row>
    <row r="564" spans="1:3" x14ac:dyDescent="0.25">
      <c r="A564" s="437">
        <v>44830</v>
      </c>
      <c r="B564" s="435">
        <v>-1.0340542018774908</v>
      </c>
      <c r="C564" s="436">
        <v>-0.23584581537950264</v>
      </c>
    </row>
    <row r="565" spans="1:3" x14ac:dyDescent="0.25">
      <c r="A565" s="437">
        <v>44831</v>
      </c>
      <c r="B565" s="435">
        <v>-0.21203598319033445</v>
      </c>
      <c r="C565" s="436">
        <v>-0.4762840021644682</v>
      </c>
    </row>
    <row r="566" spans="1:3" x14ac:dyDescent="0.25">
      <c r="A566" s="437">
        <v>44832</v>
      </c>
      <c r="B566" s="435">
        <v>1.9672140136923577</v>
      </c>
      <c r="C566" s="436">
        <v>1.9328530481595092</v>
      </c>
    </row>
    <row r="567" spans="1:3" x14ac:dyDescent="0.25">
      <c r="A567" s="437">
        <v>44833</v>
      </c>
      <c r="B567" s="435">
        <v>-2.1126419721218421</v>
      </c>
      <c r="C567" s="436">
        <v>-1.5192005252984473</v>
      </c>
    </row>
    <row r="568" spans="1:3" x14ac:dyDescent="0.25">
      <c r="A568" s="437">
        <v>44834</v>
      </c>
      <c r="B568" s="435">
        <v>-1.5066735888497889</v>
      </c>
      <c r="C568" s="436">
        <v>-1.9751446315789507</v>
      </c>
    </row>
    <row r="569" spans="1:3" x14ac:dyDescent="0.25">
      <c r="A569" s="437">
        <v>44837</v>
      </c>
      <c r="B569" s="435">
        <v>2.5883947546031076</v>
      </c>
      <c r="C569" s="436">
        <v>3.3279564199121467</v>
      </c>
    </row>
    <row r="570" spans="1:3" x14ac:dyDescent="0.25">
      <c r="A570" s="437">
        <v>44838</v>
      </c>
      <c r="B570" s="435">
        <v>3.0583700111188739</v>
      </c>
      <c r="C570" s="436">
        <v>3.3429411028237768</v>
      </c>
    </row>
    <row r="571" spans="1:3" x14ac:dyDescent="0.25">
      <c r="A571" s="437">
        <v>44839</v>
      </c>
      <c r="B571" s="435">
        <v>-0.20179744811958111</v>
      </c>
      <c r="C571" s="436">
        <v>9.0272803588614892E-2</v>
      </c>
    </row>
    <row r="572" spans="1:3" x14ac:dyDescent="0.25">
      <c r="A572" s="437">
        <v>44840</v>
      </c>
      <c r="B572" s="435">
        <v>-1.0245078344716809</v>
      </c>
      <c r="C572" s="436">
        <v>-1.005396319828602</v>
      </c>
    </row>
    <row r="573" spans="1:3" x14ac:dyDescent="0.25">
      <c r="A573" s="437">
        <v>44841</v>
      </c>
      <c r="B573" s="435">
        <v>-2.8003589245083513</v>
      </c>
      <c r="C573" s="436">
        <v>-5.1235904720492513</v>
      </c>
    </row>
    <row r="574" spans="1:3" x14ac:dyDescent="0.25">
      <c r="A574" s="437">
        <v>44844</v>
      </c>
      <c r="B574" s="435">
        <v>-0.74924580867443613</v>
      </c>
      <c r="C574" s="436">
        <v>-2.1685958049373317</v>
      </c>
    </row>
    <row r="575" spans="1:3" x14ac:dyDescent="0.25">
      <c r="A575" s="437">
        <v>44845</v>
      </c>
      <c r="B575" s="435">
        <v>-0.65192296512834247</v>
      </c>
      <c r="C575" s="436">
        <v>-1.7133255179934628</v>
      </c>
    </row>
    <row r="576" spans="1:3" x14ac:dyDescent="0.25">
      <c r="A576" s="437">
        <v>44846</v>
      </c>
      <c r="B576" s="435">
        <v>-0.32907569019515903</v>
      </c>
      <c r="C576" s="436">
        <v>0.1125344767164875</v>
      </c>
    </row>
    <row r="577" spans="1:3" x14ac:dyDescent="0.25">
      <c r="A577" s="437">
        <v>44847</v>
      </c>
      <c r="B577" s="435">
        <v>2.5965675434648201</v>
      </c>
      <c r="C577" s="436">
        <v>3.7224995570321138</v>
      </c>
    </row>
    <row r="578" spans="1:3" x14ac:dyDescent="0.25">
      <c r="A578" s="437">
        <v>44848</v>
      </c>
      <c r="B578" s="435">
        <v>-2.3662705624933498</v>
      </c>
      <c r="C578" s="436">
        <v>-2.4631663246058202</v>
      </c>
    </row>
    <row r="579" spans="1:3" x14ac:dyDescent="0.25">
      <c r="A579" s="437">
        <v>44851</v>
      </c>
      <c r="B579" s="435">
        <v>2.6480085513260874</v>
      </c>
      <c r="C579" s="436">
        <v>3.8862717004250218</v>
      </c>
    </row>
    <row r="580" spans="1:3" x14ac:dyDescent="0.25">
      <c r="A580" s="437">
        <v>44852</v>
      </c>
      <c r="B580" s="435">
        <v>1.1427561549232643</v>
      </c>
      <c r="C580" s="436">
        <v>0.37006989183837635</v>
      </c>
    </row>
    <row r="581" spans="1:3" x14ac:dyDescent="0.25">
      <c r="A581" s="437">
        <v>44853</v>
      </c>
      <c r="B581" s="435">
        <v>-0.6672078882144572</v>
      </c>
      <c r="C581" s="436">
        <v>-0.88526184486373161</v>
      </c>
    </row>
    <row r="582" spans="1:3" x14ac:dyDescent="0.25">
      <c r="A582" s="437">
        <v>44854</v>
      </c>
      <c r="B582" s="435">
        <v>-0.79509412312321126</v>
      </c>
      <c r="C582" s="436">
        <v>-0.17784753280696414</v>
      </c>
    </row>
    <row r="583" spans="1:3" x14ac:dyDescent="0.25">
      <c r="A583" s="437">
        <v>44855</v>
      </c>
      <c r="B583" s="435">
        <v>2.3724828003862695</v>
      </c>
      <c r="C583" s="436">
        <v>2.4897546905285957</v>
      </c>
    </row>
    <row r="584" spans="1:3" x14ac:dyDescent="0.25">
      <c r="A584" s="437">
        <v>44858</v>
      </c>
      <c r="B584" s="435">
        <v>1.1881953234294889</v>
      </c>
      <c r="C584" s="436">
        <v>2.0804861828594583</v>
      </c>
    </row>
    <row r="585" spans="1:3" x14ac:dyDescent="0.25">
      <c r="A585" s="437">
        <v>44859</v>
      </c>
      <c r="B585" s="435">
        <v>1.6266649812763667</v>
      </c>
      <c r="C585" s="436">
        <v>1.3408724974721886</v>
      </c>
    </row>
    <row r="586" spans="1:3" x14ac:dyDescent="0.25">
      <c r="A586" s="437">
        <v>44860</v>
      </c>
      <c r="B586" s="435">
        <v>-0.73877137474703281</v>
      </c>
      <c r="C586" s="436">
        <v>-7.7539294148946016</v>
      </c>
    </row>
    <row r="587" spans="1:3" x14ac:dyDescent="0.25">
      <c r="A587" s="437">
        <v>44861</v>
      </c>
      <c r="B587" s="435">
        <v>-0.60825980264187662</v>
      </c>
      <c r="C587" s="436">
        <v>-2.0139211575767435</v>
      </c>
    </row>
    <row r="588" spans="1:3" x14ac:dyDescent="0.25">
      <c r="A588" s="437">
        <v>44862</v>
      </c>
      <c r="B588" s="435">
        <v>2.4626375646783747</v>
      </c>
      <c r="C588" s="436">
        <v>3.9837485115766209</v>
      </c>
    </row>
    <row r="589" spans="1:3" x14ac:dyDescent="0.25">
      <c r="A589" s="437">
        <v>44865</v>
      </c>
      <c r="B589" s="435">
        <v>-0.74543841930141874</v>
      </c>
      <c r="C589" s="436">
        <v>-1.6239149910038271</v>
      </c>
    </row>
    <row r="590" spans="1:3" x14ac:dyDescent="0.25">
      <c r="A590" s="437">
        <v>44866</v>
      </c>
      <c r="B590" s="435">
        <v>-0.41012608536201395</v>
      </c>
      <c r="C590" s="436">
        <v>-1.7442436155183894</v>
      </c>
    </row>
    <row r="591" spans="1:3" x14ac:dyDescent="0.25">
      <c r="A591" s="437">
        <v>44867</v>
      </c>
      <c r="B591" s="435">
        <v>-2.5001944970306749</v>
      </c>
      <c r="C591" s="436">
        <v>-3.5751330940687414</v>
      </c>
    </row>
    <row r="592" spans="1:3" x14ac:dyDescent="0.25">
      <c r="A592" s="437">
        <v>44868</v>
      </c>
      <c r="B592" s="435">
        <v>-1.0585979163175736</v>
      </c>
      <c r="C592" s="436">
        <v>-2.6961854341330675</v>
      </c>
    </row>
    <row r="593" spans="1:3" x14ac:dyDescent="0.25">
      <c r="A593" s="437">
        <v>44869</v>
      </c>
      <c r="B593" s="435">
        <v>1.3618682272862992</v>
      </c>
      <c r="C593" s="436">
        <v>3.2942549591598551</v>
      </c>
    </row>
    <row r="594" spans="1:3" x14ac:dyDescent="0.25">
      <c r="A594" s="437">
        <v>44872</v>
      </c>
      <c r="B594" s="435">
        <v>0.96139820450597391</v>
      </c>
      <c r="C594" s="436">
        <v>2.8886596771622912</v>
      </c>
    </row>
    <row r="595" spans="1:3" x14ac:dyDescent="0.25">
      <c r="A595" s="437">
        <v>44873</v>
      </c>
      <c r="B595" s="435">
        <v>0.55978774823999011</v>
      </c>
      <c r="C595" s="436">
        <v>0.40054672047322426</v>
      </c>
    </row>
    <row r="596" spans="1:3" x14ac:dyDescent="0.25">
      <c r="A596" s="437">
        <v>44874</v>
      </c>
      <c r="B596" s="435">
        <v>-2.0777877333723422</v>
      </c>
      <c r="C596" s="436">
        <v>-1.9433116202431804</v>
      </c>
    </row>
    <row r="597" spans="1:3" x14ac:dyDescent="0.25">
      <c r="A597" s="437">
        <v>44875</v>
      </c>
      <c r="B597" s="435">
        <v>5.5434472345454324</v>
      </c>
      <c r="C597" s="436">
        <v>8.1885056707230319</v>
      </c>
    </row>
    <row r="598" spans="1:3" x14ac:dyDescent="0.25">
      <c r="A598" s="437">
        <v>44876</v>
      </c>
      <c r="B598" s="435">
        <v>0.92407939601199962</v>
      </c>
      <c r="C598" s="436">
        <v>1.6614304584695159</v>
      </c>
    </row>
    <row r="599" spans="1:3" x14ac:dyDescent="0.25">
      <c r="A599" s="437">
        <v>44879</v>
      </c>
      <c r="B599" s="435">
        <v>-0.89357940159231031</v>
      </c>
      <c r="C599" s="436">
        <v>-2.2883092984905162</v>
      </c>
    </row>
    <row r="600" spans="1:3" x14ac:dyDescent="0.25">
      <c r="A600" s="437">
        <v>44880</v>
      </c>
      <c r="B600" s="435">
        <v>0.87131214858803507</v>
      </c>
      <c r="C600" s="436">
        <v>0.13557621394481725</v>
      </c>
    </row>
    <row r="601" spans="1:3" x14ac:dyDescent="0.25">
      <c r="A601" s="437">
        <v>44881</v>
      </c>
      <c r="B601" s="435">
        <v>-0.825206113639952</v>
      </c>
      <c r="C601" s="436">
        <v>-0.13748791544741801</v>
      </c>
    </row>
    <row r="602" spans="1:3" x14ac:dyDescent="0.25">
      <c r="A602" s="437">
        <v>44882</v>
      </c>
      <c r="B602" s="435">
        <v>-0.30893277996559604</v>
      </c>
      <c r="C602" s="436">
        <v>-5.8985475872842773E-2</v>
      </c>
    </row>
    <row r="603" spans="1:3" x14ac:dyDescent="0.25">
      <c r="A603" s="437">
        <v>44883</v>
      </c>
      <c r="B603" s="435">
        <v>0.47585745560691339</v>
      </c>
      <c r="C603" s="436">
        <v>-0.228631021732527</v>
      </c>
    </row>
    <row r="604" spans="1:3" x14ac:dyDescent="0.25">
      <c r="A604" s="437">
        <v>44886</v>
      </c>
      <c r="B604" s="435">
        <v>-0.38836518432215372</v>
      </c>
      <c r="C604" s="436">
        <v>0.30578506614673612</v>
      </c>
    </row>
    <row r="605" spans="1:3" x14ac:dyDescent="0.25">
      <c r="A605" s="437">
        <v>44887</v>
      </c>
      <c r="B605" s="435">
        <v>1.3579953113211813</v>
      </c>
      <c r="C605" s="436">
        <v>1.1928489209111885</v>
      </c>
    </row>
    <row r="606" spans="1:3" x14ac:dyDescent="0.25">
      <c r="A606" s="437">
        <v>44888</v>
      </c>
      <c r="B606" s="435">
        <v>0.59147063378277165</v>
      </c>
      <c r="C606" s="436">
        <v>1.0023901238243909</v>
      </c>
    </row>
    <row r="607" spans="1:3" x14ac:dyDescent="0.25">
      <c r="A607" s="437">
        <v>44890</v>
      </c>
      <c r="B607" s="435">
        <v>-2.8307087200735177E-2</v>
      </c>
      <c r="C607" s="436">
        <v>-7.4650674235801559E-2</v>
      </c>
    </row>
    <row r="608" spans="1:3" x14ac:dyDescent="0.25">
      <c r="A608" s="437">
        <v>44893</v>
      </c>
      <c r="B608" s="435">
        <v>-1.5444149702443006</v>
      </c>
      <c r="C608" s="436">
        <v>-2.3535490541991759</v>
      </c>
    </row>
    <row r="609" spans="1:3" x14ac:dyDescent="0.25">
      <c r="A609" s="437">
        <v>44894</v>
      </c>
      <c r="B609" s="435">
        <v>-0.1591850532550933</v>
      </c>
      <c r="C609" s="436">
        <v>-0.62979281501267248</v>
      </c>
    </row>
    <row r="610" spans="1:3" x14ac:dyDescent="0.25">
      <c r="A610" s="437">
        <v>44895</v>
      </c>
      <c r="B610" s="435">
        <v>3.094781472750106</v>
      </c>
      <c r="C610" s="436">
        <v>6.1240587886459483</v>
      </c>
    </row>
    <row r="611" spans="1:3" x14ac:dyDescent="0.25">
      <c r="A611" s="437">
        <v>44896</v>
      </c>
      <c r="B611" s="435">
        <v>-8.6762366700896876E-2</v>
      </c>
      <c r="C611" s="436">
        <v>-0.21467258045140786</v>
      </c>
    </row>
    <row r="612" spans="1:3" x14ac:dyDescent="0.25">
      <c r="A612" s="437">
        <v>44897</v>
      </c>
      <c r="B612" s="435">
        <v>-0.11946317615054679</v>
      </c>
      <c r="C612" s="436">
        <v>9.1270064552438718E-2</v>
      </c>
    </row>
    <row r="613" spans="1:3" x14ac:dyDescent="0.25">
      <c r="A613" s="437">
        <v>44900</v>
      </c>
      <c r="B613" s="435">
        <v>-1.7894245646781364</v>
      </c>
      <c r="C613" s="436">
        <v>-1.9283505546223756</v>
      </c>
    </row>
    <row r="614" spans="1:3" x14ac:dyDescent="0.25">
      <c r="A614" s="437">
        <v>44901</v>
      </c>
      <c r="B614" s="435">
        <v>-1.4399175760970664</v>
      </c>
      <c r="C614" s="436">
        <v>-2.0686765231460043</v>
      </c>
    </row>
    <row r="615" spans="1:3" x14ac:dyDescent="0.25">
      <c r="A615" s="437">
        <v>44902</v>
      </c>
      <c r="B615" s="435">
        <v>-0.1862348589029941</v>
      </c>
      <c r="C615" s="436">
        <v>-0.34427259109767849</v>
      </c>
    </row>
    <row r="616" spans="1:3" x14ac:dyDescent="0.25">
      <c r="A616" s="437">
        <v>44903</v>
      </c>
      <c r="B616" s="435">
        <v>0.7521759466384712</v>
      </c>
      <c r="C616" s="436">
        <v>1.2016226836338904</v>
      </c>
    </row>
    <row r="617" spans="1:3" x14ac:dyDescent="0.25">
      <c r="A617" s="437">
        <v>44904</v>
      </c>
      <c r="B617" s="435">
        <v>-0.73495462355336827</v>
      </c>
      <c r="C617" s="436">
        <v>-0.83862176556964663</v>
      </c>
    </row>
    <row r="618" spans="1:3" x14ac:dyDescent="0.25">
      <c r="A618" s="437">
        <v>44907</v>
      </c>
      <c r="B618" s="435">
        <v>1.4279251114533886</v>
      </c>
      <c r="C618" s="436">
        <v>2.850623909126595</v>
      </c>
    </row>
    <row r="619" spans="1:3" x14ac:dyDescent="0.25">
      <c r="A619" s="437">
        <v>44908</v>
      </c>
      <c r="B619" s="435">
        <v>0.72897037007337684</v>
      </c>
      <c r="C619" s="436">
        <v>1.7081726495281819</v>
      </c>
    </row>
    <row r="620" spans="1:3" x14ac:dyDescent="0.25">
      <c r="A620" s="437">
        <v>44909</v>
      </c>
      <c r="B620" s="435">
        <v>-0.60527657880661068</v>
      </c>
      <c r="C620" s="436">
        <v>7.8463188860667582E-2</v>
      </c>
    </row>
    <row r="621" spans="1:3" x14ac:dyDescent="0.25">
      <c r="A621" s="437">
        <v>44910</v>
      </c>
      <c r="B621" s="435">
        <v>-2.4921658340258142</v>
      </c>
      <c r="C621" s="436">
        <v>-3.2301225519328955</v>
      </c>
    </row>
    <row r="622" spans="1:3" x14ac:dyDescent="0.25">
      <c r="A622" s="437">
        <v>44911</v>
      </c>
      <c r="B622" s="435">
        <v>-1.1137778348199929</v>
      </c>
      <c r="C622" s="436">
        <v>-1.7731673092419487</v>
      </c>
    </row>
    <row r="623" spans="1:3" x14ac:dyDescent="0.25">
      <c r="A623" s="437">
        <v>44914</v>
      </c>
      <c r="B623" s="435">
        <v>-0.90074655535828085</v>
      </c>
      <c r="C623" s="436">
        <v>-1.7711068026253058</v>
      </c>
    </row>
    <row r="624" spans="1:3" x14ac:dyDescent="0.25">
      <c r="A624" s="437">
        <v>44915</v>
      </c>
      <c r="B624" s="435">
        <v>0.10372846193741811</v>
      </c>
      <c r="C624" s="436">
        <v>0.52314978866437978</v>
      </c>
    </row>
    <row r="625" spans="1:3" x14ac:dyDescent="0.25">
      <c r="A625" s="437">
        <v>44916</v>
      </c>
      <c r="B625" s="435">
        <v>1.4868040255179784</v>
      </c>
      <c r="C625" s="436">
        <v>1.0493716159511346</v>
      </c>
    </row>
    <row r="626" spans="1:3" x14ac:dyDescent="0.25">
      <c r="A626" s="437">
        <v>44917</v>
      </c>
      <c r="B626" s="435">
        <v>-1.4451686760656395</v>
      </c>
      <c r="C626" s="436">
        <v>-2.5911745156900623</v>
      </c>
    </row>
    <row r="627" spans="1:3" x14ac:dyDescent="0.25">
      <c r="A627" s="437">
        <v>44918</v>
      </c>
      <c r="B627" s="435">
        <v>0.58680563731069546</v>
      </c>
      <c r="C627" s="436">
        <v>0.18840724861071509</v>
      </c>
    </row>
    <row r="628" spans="1:3" x14ac:dyDescent="0.25">
      <c r="A628" s="437">
        <v>44922</v>
      </c>
      <c r="B628" s="435">
        <v>-0.40496044028069356</v>
      </c>
      <c r="C628" s="436">
        <v>-0.77971877001497936</v>
      </c>
    </row>
    <row r="629" spans="1:3" x14ac:dyDescent="0.25">
      <c r="A629" s="437">
        <v>44923</v>
      </c>
      <c r="B629" s="435">
        <v>-1.2020630671802626</v>
      </c>
      <c r="C629" s="436">
        <v>-1.0637928799018759</v>
      </c>
    </row>
    <row r="630" spans="1:3" x14ac:dyDescent="0.25">
      <c r="A630" s="437">
        <v>44924</v>
      </c>
      <c r="B630" s="435">
        <v>1.7461316021801641</v>
      </c>
      <c r="C630" s="436">
        <v>2.7246710602608237</v>
      </c>
    </row>
    <row r="631" spans="1:3" x14ac:dyDescent="0.25">
      <c r="A631" s="437">
        <v>44925</v>
      </c>
      <c r="B631" s="435">
        <v>-0.25407348906809063</v>
      </c>
      <c r="C631" s="436">
        <v>-0.53205047702897112</v>
      </c>
    </row>
    <row r="632" spans="1:3" x14ac:dyDescent="0.25">
      <c r="A632" s="437">
        <v>44929</v>
      </c>
      <c r="B632" s="435">
        <v>-0.40005209011590387</v>
      </c>
      <c r="C632" s="436">
        <v>-0.13837713826811643</v>
      </c>
    </row>
    <row r="633" spans="1:3" x14ac:dyDescent="0.25">
      <c r="A633" s="437">
        <v>44930</v>
      </c>
      <c r="B633" s="435">
        <v>0.75389499338413157</v>
      </c>
      <c r="C633" s="436">
        <v>-4.4126200235886142</v>
      </c>
    </row>
    <row r="634" spans="1:3" x14ac:dyDescent="0.25">
      <c r="A634" s="437">
        <v>44931</v>
      </c>
      <c r="B634" s="435">
        <v>-1.1645561735492334</v>
      </c>
      <c r="C634" s="436">
        <v>-3.0020746932228364</v>
      </c>
    </row>
    <row r="635" spans="1:3" x14ac:dyDescent="0.25">
      <c r="A635" s="437">
        <v>44932</v>
      </c>
      <c r="B635" s="435">
        <v>2.2840786744045589</v>
      </c>
      <c r="C635" s="436">
        <v>1.1402322403718383</v>
      </c>
    </row>
    <row r="636" spans="1:3" x14ac:dyDescent="0.25">
      <c r="A636" s="437">
        <v>44935</v>
      </c>
      <c r="B636" s="435">
        <v>-7.6763506782910287E-2</v>
      </c>
      <c r="C636" s="436">
        <v>0.93533716185239579</v>
      </c>
    </row>
    <row r="637" spans="1:3" x14ac:dyDescent="0.25">
      <c r="A637" s="437">
        <v>44936</v>
      </c>
      <c r="B637" s="435">
        <v>0.69782558985017951</v>
      </c>
      <c r="C637" s="436">
        <v>0.72341673040060561</v>
      </c>
    </row>
    <row r="638" spans="1:3" x14ac:dyDescent="0.25">
      <c r="A638" s="437">
        <v>44937</v>
      </c>
      <c r="B638" s="435">
        <v>1.2849397206098139</v>
      </c>
      <c r="C638" s="436">
        <v>2.9855137725895413</v>
      </c>
    </row>
    <row r="639" spans="1:3" x14ac:dyDescent="0.25">
      <c r="A639" s="437">
        <v>44938</v>
      </c>
      <c r="B639" s="435">
        <v>0.34159527006431223</v>
      </c>
      <c r="C639" s="436">
        <v>1.123845715533857</v>
      </c>
    </row>
    <row r="640" spans="1:3" x14ac:dyDescent="0.25">
      <c r="A640" s="437">
        <v>44939</v>
      </c>
      <c r="B640" s="435">
        <v>0.39968166058692128</v>
      </c>
      <c r="C640" s="436">
        <v>0.26357456085435593</v>
      </c>
    </row>
    <row r="641" spans="1:3" x14ac:dyDescent="0.25">
      <c r="A641" s="437">
        <v>44943</v>
      </c>
      <c r="B641" s="435">
        <v>-0.20304619300891819</v>
      </c>
      <c r="C641" s="436">
        <v>0.4298728958437168</v>
      </c>
    </row>
    <row r="642" spans="1:3" x14ac:dyDescent="0.25">
      <c r="A642" s="437">
        <v>44944</v>
      </c>
      <c r="B642" s="435">
        <v>-1.5562632643191925</v>
      </c>
      <c r="C642" s="436">
        <v>-1.9272152846536645</v>
      </c>
    </row>
    <row r="643" spans="1:3" x14ac:dyDescent="0.25">
      <c r="A643" s="437">
        <v>44945</v>
      </c>
      <c r="B643" s="435">
        <v>-0.76383480195273479</v>
      </c>
      <c r="C643" s="436">
        <v>-1.6836946113005824</v>
      </c>
    </row>
    <row r="644" spans="1:3" x14ac:dyDescent="0.25">
      <c r="A644" s="437">
        <v>44946</v>
      </c>
      <c r="B644" s="435">
        <v>1.8918399015094252</v>
      </c>
      <c r="C644" s="436">
        <v>3.5360578882443208</v>
      </c>
    </row>
    <row r="645" spans="1:3" x14ac:dyDescent="0.25">
      <c r="A645" s="437">
        <v>44949</v>
      </c>
      <c r="B645" s="435">
        <v>1.1881357596139519</v>
      </c>
      <c r="C645" s="436">
        <v>0.94413318215622322</v>
      </c>
    </row>
    <row r="646" spans="1:3" x14ac:dyDescent="0.25">
      <c r="A646" s="437">
        <v>44950</v>
      </c>
      <c r="B646" s="435">
        <v>-7.1147641306433071E-2</v>
      </c>
      <c r="C646" s="436">
        <v>-0.260910683299441</v>
      </c>
    </row>
    <row r="647" spans="1:3" x14ac:dyDescent="0.25">
      <c r="A647" s="437">
        <v>44951</v>
      </c>
      <c r="B647" s="435">
        <v>-1.8172991946626624E-2</v>
      </c>
      <c r="C647" s="436">
        <v>-0.62910814797412362</v>
      </c>
    </row>
    <row r="648" spans="1:3" x14ac:dyDescent="0.25">
      <c r="A648" s="437">
        <v>44952</v>
      </c>
      <c r="B648" s="435">
        <v>1.1007863115068408</v>
      </c>
      <c r="C648" s="436">
        <v>3.0330598642144504</v>
      </c>
    </row>
    <row r="649" spans="1:3" x14ac:dyDescent="0.25">
      <c r="A649" s="437">
        <v>44953</v>
      </c>
      <c r="B649" s="435">
        <v>0.2494809663016013</v>
      </c>
      <c r="C649" s="436">
        <v>2.621774193547842E-2</v>
      </c>
    </row>
    <row r="650" spans="1:3" x14ac:dyDescent="0.25">
      <c r="A650" s="437">
        <v>44956</v>
      </c>
      <c r="B650" s="435">
        <v>-1.2968731575016696</v>
      </c>
      <c r="C650" s="436">
        <v>-2.2344625210160767</v>
      </c>
    </row>
    <row r="651" spans="1:3" x14ac:dyDescent="0.25">
      <c r="A651" s="437">
        <v>44957</v>
      </c>
      <c r="B651" s="435">
        <v>1.4642450911824203</v>
      </c>
      <c r="C651" s="436">
        <v>2.0629693555729727</v>
      </c>
    </row>
    <row r="652" spans="1:3" x14ac:dyDescent="0.25">
      <c r="A652" s="437">
        <v>44958</v>
      </c>
      <c r="B652" s="435">
        <v>1.0452337732424111</v>
      </c>
      <c r="C652" s="436">
        <v>1.9551635567044361</v>
      </c>
    </row>
    <row r="653" spans="1:3" x14ac:dyDescent="0.25">
      <c r="A653" s="437">
        <v>44959</v>
      </c>
      <c r="B653" s="435">
        <v>1.4699420519954112</v>
      </c>
      <c r="C653" s="436">
        <v>4.6501296735905076</v>
      </c>
    </row>
    <row r="654" spans="1:3" x14ac:dyDescent="0.25">
      <c r="A654" s="437">
        <v>44960</v>
      </c>
      <c r="B654" s="435">
        <v>-1.0354661511665899</v>
      </c>
      <c r="C654" s="436">
        <v>-2.400355879923147</v>
      </c>
    </row>
    <row r="655" spans="1:3" x14ac:dyDescent="0.25">
      <c r="A655" s="437">
        <v>44963</v>
      </c>
      <c r="B655" s="435">
        <v>-0.61404865973000333</v>
      </c>
      <c r="C655" s="436">
        <v>-0.64988001289150266</v>
      </c>
    </row>
    <row r="656" spans="1:3" x14ac:dyDescent="0.25">
      <c r="A656" s="437">
        <v>44964</v>
      </c>
      <c r="B656" s="435">
        <v>1.2872529846171827</v>
      </c>
      <c r="C656" s="436">
        <v>4.1639079924612989</v>
      </c>
    </row>
    <row r="657" spans="1:3" x14ac:dyDescent="0.25">
      <c r="A657" s="437">
        <v>44965</v>
      </c>
      <c r="B657" s="435">
        <v>-1.1080691642651375</v>
      </c>
      <c r="C657" s="436">
        <v>-0.34850593743613983</v>
      </c>
    </row>
    <row r="658" spans="1:3" x14ac:dyDescent="0.25">
      <c r="A658" s="437">
        <v>44966</v>
      </c>
      <c r="B658" s="435">
        <v>-0.88298290859814743</v>
      </c>
      <c r="C658" s="436">
        <v>-1.2042790318832826</v>
      </c>
    </row>
    <row r="659" spans="1:3" x14ac:dyDescent="0.25">
      <c r="A659" s="437">
        <v>44967</v>
      </c>
      <c r="B659" s="435">
        <v>0.21952713463187645</v>
      </c>
      <c r="C659" s="436">
        <v>-0.2355494537070337</v>
      </c>
    </row>
    <row r="660" spans="1:3" x14ac:dyDescent="0.25">
      <c r="A660" s="437">
        <v>44970</v>
      </c>
      <c r="B660" s="435">
        <v>1.1448590134116927</v>
      </c>
      <c r="C660" s="436">
        <v>3.0859876520496803</v>
      </c>
    </row>
    <row r="661" spans="1:3" x14ac:dyDescent="0.25">
      <c r="A661" s="437">
        <v>44971</v>
      </c>
      <c r="B661" s="435">
        <v>-2.8037676836766445E-2</v>
      </c>
      <c r="C661" s="436">
        <v>0.27498541134823418</v>
      </c>
    </row>
    <row r="662" spans="1:3" x14ac:dyDescent="0.25">
      <c r="A662" s="437">
        <v>44972</v>
      </c>
      <c r="B662" s="435">
        <v>0.27731236687435484</v>
      </c>
      <c r="C662" s="436">
        <v>-1.0854418098510388</v>
      </c>
    </row>
    <row r="663" spans="1:3" x14ac:dyDescent="0.25">
      <c r="A663" s="437">
        <v>44973</v>
      </c>
      <c r="B663" s="435">
        <v>-1.3788697077828265</v>
      </c>
      <c r="C663" s="436">
        <v>-2.7005652657216008</v>
      </c>
    </row>
    <row r="664" spans="1:3" x14ac:dyDescent="0.25">
      <c r="A664" s="437">
        <v>44974</v>
      </c>
      <c r="B664" s="435">
        <v>-0.27674487398573028</v>
      </c>
      <c r="C664" s="436">
        <v>-1.5984739819227252</v>
      </c>
    </row>
    <row r="665" spans="1:3" x14ac:dyDescent="0.25">
      <c r="A665" s="437">
        <v>44978</v>
      </c>
      <c r="B665" s="435">
        <v>-2.0041234687148357</v>
      </c>
      <c r="C665" s="436">
        <v>-2.1269615677645688</v>
      </c>
    </row>
    <row r="666" spans="1:3" x14ac:dyDescent="0.25">
      <c r="A666" s="437">
        <v>44979</v>
      </c>
      <c r="B666" s="435">
        <v>-0.15735464083615514</v>
      </c>
      <c r="C666" s="436">
        <v>-0.49739803664144921</v>
      </c>
    </row>
    <row r="667" spans="1:3" x14ac:dyDescent="0.25">
      <c r="A667" s="437">
        <v>44980</v>
      </c>
      <c r="B667" s="435">
        <v>0.53294245875145585</v>
      </c>
      <c r="C667" s="436">
        <v>1.2578747305509652</v>
      </c>
    </row>
    <row r="668" spans="1:3" x14ac:dyDescent="0.25">
      <c r="A668" s="437">
        <v>44981</v>
      </c>
      <c r="B668" s="435">
        <v>-1.0537544363360898</v>
      </c>
      <c r="C668" s="436">
        <v>-2.2167365949140558</v>
      </c>
    </row>
    <row r="669" spans="1:3" x14ac:dyDescent="0.25">
      <c r="A669" s="437">
        <v>44984</v>
      </c>
      <c r="B669" s="435">
        <v>0.30730168965551524</v>
      </c>
      <c r="C669" s="436">
        <v>0.33887799383204004</v>
      </c>
    </row>
    <row r="670" spans="1:3" x14ac:dyDescent="0.25">
      <c r="A670" s="437">
        <v>44985</v>
      </c>
      <c r="B670" s="435">
        <v>-0.30359797500903241</v>
      </c>
      <c r="C670" s="436">
        <v>-0.33411307489905301</v>
      </c>
    </row>
    <row r="671" spans="1:3" x14ac:dyDescent="0.25">
      <c r="A671" s="437">
        <v>44986</v>
      </c>
      <c r="B671" s="435">
        <v>-0.47252622696875979</v>
      </c>
      <c r="C671" s="436">
        <v>-1.3012276021403835</v>
      </c>
    </row>
    <row r="672" spans="1:3" x14ac:dyDescent="0.25">
      <c r="A672" s="437">
        <v>44987</v>
      </c>
      <c r="B672" s="435">
        <v>0.75821419804170276</v>
      </c>
      <c r="C672" s="436">
        <v>1.9270213632952273</v>
      </c>
    </row>
    <row r="673" spans="1:3" x14ac:dyDescent="0.25">
      <c r="A673" s="437">
        <v>44988</v>
      </c>
      <c r="B673" s="435">
        <v>1.6147789066522655</v>
      </c>
      <c r="C673" s="436">
        <v>1.6263059429548561</v>
      </c>
    </row>
    <row r="674" spans="1:3" x14ac:dyDescent="0.25">
      <c r="A674" s="437">
        <v>44991</v>
      </c>
      <c r="B674" s="435">
        <v>6.8715950999105213E-2</v>
      </c>
      <c r="C674" s="436">
        <v>0.58060479193205483</v>
      </c>
    </row>
    <row r="675" spans="1:3" x14ac:dyDescent="0.25">
      <c r="A675" s="437">
        <v>44992</v>
      </c>
      <c r="B675" s="435">
        <v>-1.532696706369403</v>
      </c>
      <c r="C675" s="436">
        <v>-1.0972017997216936</v>
      </c>
    </row>
    <row r="676" spans="1:3" x14ac:dyDescent="0.25">
      <c r="A676" s="437">
        <v>44993</v>
      </c>
      <c r="B676" s="435">
        <v>0.14148210025663266</v>
      </c>
      <c r="C676" s="436">
        <v>-0.21535961464630066</v>
      </c>
    </row>
    <row r="677" spans="1:3" x14ac:dyDescent="0.25">
      <c r="A677" s="437">
        <v>44994</v>
      </c>
      <c r="B677" s="435">
        <v>-1.8459372596762045</v>
      </c>
      <c r="C677" s="436">
        <v>-0.58224561147747766</v>
      </c>
    </row>
    <row r="678" spans="1:3" x14ac:dyDescent="0.25">
      <c r="A678" s="437">
        <v>44995</v>
      </c>
      <c r="B678" s="435">
        <v>-1.447814369423631</v>
      </c>
      <c r="C678" s="436">
        <v>-1.5165858657736127</v>
      </c>
    </row>
    <row r="679" spans="1:3" x14ac:dyDescent="0.25">
      <c r="A679" s="437">
        <v>44998</v>
      </c>
      <c r="B679" s="435">
        <v>-0.15097408062481846</v>
      </c>
      <c r="C679" s="436">
        <v>2.1057935217682608</v>
      </c>
    </row>
    <row r="680" spans="1:3" x14ac:dyDescent="0.25">
      <c r="A680" s="437">
        <v>44999</v>
      </c>
      <c r="B680" s="435">
        <v>1.6476647924144587</v>
      </c>
      <c r="C680" s="436">
        <v>2.6672809129299084</v>
      </c>
    </row>
    <row r="681" spans="1:3" x14ac:dyDescent="0.25">
      <c r="A681" s="437">
        <v>45000</v>
      </c>
      <c r="B681" s="435">
        <v>-0.69808562265104468</v>
      </c>
      <c r="C681" s="436">
        <v>1.7447410826819651</v>
      </c>
    </row>
    <row r="682" spans="1:3" x14ac:dyDescent="0.25">
      <c r="A682" s="437">
        <v>45001</v>
      </c>
      <c r="B682" s="435">
        <v>1.7561980816715708</v>
      </c>
      <c r="C682" s="436">
        <v>4.0153505119526116</v>
      </c>
    </row>
    <row r="683" spans="1:3" x14ac:dyDescent="0.25">
      <c r="A683" s="437">
        <v>45002</v>
      </c>
      <c r="B683" s="435">
        <v>-1.1019422869090145</v>
      </c>
      <c r="C683" s="436">
        <v>1.1311355031382146</v>
      </c>
    </row>
    <row r="684" spans="1:3" x14ac:dyDescent="0.25">
      <c r="A684" s="437">
        <v>45005</v>
      </c>
      <c r="B684" s="435">
        <v>0.8918358593079857</v>
      </c>
      <c r="C684" s="436">
        <v>-2.6149675662479916</v>
      </c>
    </row>
    <row r="685" spans="1:3" x14ac:dyDescent="0.25">
      <c r="A685" s="437">
        <v>45006</v>
      </c>
      <c r="B685" s="435">
        <v>1.2982181765728489</v>
      </c>
      <c r="C685" s="436">
        <v>0.53106705630151296</v>
      </c>
    </row>
    <row r="686" spans="1:3" x14ac:dyDescent="0.25">
      <c r="A686" s="437">
        <v>45007</v>
      </c>
      <c r="B686" s="435">
        <v>-1.6463187662851926</v>
      </c>
      <c r="C686" s="436">
        <v>-0.58252894493471652</v>
      </c>
    </row>
    <row r="687" spans="1:3" x14ac:dyDescent="0.25">
      <c r="A687" s="437">
        <v>45008</v>
      </c>
      <c r="B687" s="435">
        <v>0.29845287111662017</v>
      </c>
      <c r="C687" s="436">
        <v>1.9338601316631552</v>
      </c>
    </row>
    <row r="688" spans="1:3" x14ac:dyDescent="0.25">
      <c r="A688" s="437">
        <v>45009</v>
      </c>
      <c r="B688" s="435">
        <v>0.56398022650377799</v>
      </c>
      <c r="C688" s="436">
        <v>1.0097454361730689</v>
      </c>
    </row>
    <row r="689" spans="1:3" x14ac:dyDescent="0.25">
      <c r="A689" s="437">
        <v>45012</v>
      </c>
      <c r="B689" s="435">
        <v>0.16469444647305631</v>
      </c>
      <c r="C689" s="436">
        <v>-1.5316891347837451</v>
      </c>
    </row>
    <row r="690" spans="1:3" x14ac:dyDescent="0.25">
      <c r="A690" s="437">
        <v>45013</v>
      </c>
      <c r="B690" s="435">
        <v>-0.15738410521102841</v>
      </c>
      <c r="C690" s="436">
        <v>-0.45439160546906876</v>
      </c>
    </row>
    <row r="691" spans="1:3" x14ac:dyDescent="0.25">
      <c r="A691" s="437">
        <v>45014</v>
      </c>
      <c r="B691" s="435">
        <v>1.4237259113583303</v>
      </c>
      <c r="C691" s="436">
        <v>1.8800950837396262</v>
      </c>
    </row>
    <row r="692" spans="1:3" x14ac:dyDescent="0.25">
      <c r="A692" s="437">
        <v>45015</v>
      </c>
      <c r="B692" s="435">
        <v>0.57152646227106008</v>
      </c>
      <c r="C692" s="436">
        <v>1.2236792070878191</v>
      </c>
    </row>
    <row r="693" spans="1:3" x14ac:dyDescent="0.25">
      <c r="A693" s="437">
        <v>45016</v>
      </c>
      <c r="B693" s="435">
        <v>1.443654757173233</v>
      </c>
      <c r="C693" s="436">
        <v>1.4579155182347694</v>
      </c>
    </row>
    <row r="694" spans="1:3" x14ac:dyDescent="0.25">
      <c r="A694" s="437">
        <v>45019</v>
      </c>
      <c r="B694" s="435">
        <v>0.36989178231868164</v>
      </c>
      <c r="C694" s="436">
        <v>-0.4094332100367602</v>
      </c>
    </row>
    <row r="695" spans="1:3" x14ac:dyDescent="0.25">
      <c r="A695" s="437">
        <v>45020</v>
      </c>
      <c r="B695" s="435">
        <v>-0.57970522559043025</v>
      </c>
      <c r="C695" s="436">
        <v>-5.5713918491952411E-2</v>
      </c>
    </row>
    <row r="696" spans="1:3" x14ac:dyDescent="0.25">
      <c r="A696" s="437">
        <v>45021</v>
      </c>
      <c r="B696" s="435">
        <v>-0.24923181973370367</v>
      </c>
      <c r="C696" s="436">
        <v>-1.0272257849518922</v>
      </c>
    </row>
    <row r="697" spans="1:3" x14ac:dyDescent="0.25">
      <c r="A697" s="437">
        <v>45022</v>
      </c>
      <c r="B697" s="435">
        <v>0.35791295674241336</v>
      </c>
      <c r="C697" s="436">
        <v>2.5149848358062235</v>
      </c>
    </row>
    <row r="698" spans="1:3" x14ac:dyDescent="0.25">
      <c r="A698" s="437">
        <v>45026</v>
      </c>
      <c r="B698" s="435">
        <v>9.9634106532958067E-2</v>
      </c>
      <c r="C698" s="436">
        <v>-0.79618441513269456</v>
      </c>
    </row>
    <row r="699" spans="1:3" x14ac:dyDescent="0.25">
      <c r="A699" s="437">
        <v>45027</v>
      </c>
      <c r="B699" s="435">
        <v>-4.1371489203275835E-3</v>
      </c>
      <c r="C699" s="436">
        <v>-2.3051466982179702</v>
      </c>
    </row>
    <row r="700" spans="1:3" x14ac:dyDescent="0.25">
      <c r="A700" s="437">
        <v>45028</v>
      </c>
      <c r="B700" s="435">
        <v>-0.41348863697206045</v>
      </c>
      <c r="C700" s="436">
        <v>0.19505679748836555</v>
      </c>
    </row>
    <row r="701" spans="1:3" x14ac:dyDescent="0.25">
      <c r="A701" s="437">
        <v>45029</v>
      </c>
      <c r="B701" s="435">
        <v>1.3262625398648673</v>
      </c>
      <c r="C701" s="436">
        <v>2.2016401121711593</v>
      </c>
    </row>
    <row r="702" spans="1:3" x14ac:dyDescent="0.25">
      <c r="A702" s="437">
        <v>45030</v>
      </c>
      <c r="B702" s="435">
        <v>-0.2069354737568177</v>
      </c>
      <c r="C702" s="436">
        <v>-1.3148598437283927</v>
      </c>
    </row>
    <row r="703" spans="1:3" x14ac:dyDescent="0.25">
      <c r="A703" s="437">
        <v>45033</v>
      </c>
      <c r="B703" s="435">
        <v>0.33062325383550478</v>
      </c>
      <c r="C703" s="436">
        <v>0.89130538916585267</v>
      </c>
    </row>
    <row r="704" spans="1:3" x14ac:dyDescent="0.25">
      <c r="A704" s="437">
        <v>45034</v>
      </c>
      <c r="B704" s="435">
        <v>8.5514968732841173E-2</v>
      </c>
      <c r="C704" s="436">
        <v>-0.18718954912282326</v>
      </c>
    </row>
    <row r="705" spans="1:3" x14ac:dyDescent="0.25">
      <c r="A705" s="437">
        <v>45035</v>
      </c>
      <c r="B705" s="435">
        <v>-8.4238496029828691E-3</v>
      </c>
      <c r="C705" s="436">
        <v>-1.0551967476714073E-2</v>
      </c>
    </row>
    <row r="706" spans="1:3" x14ac:dyDescent="0.25">
      <c r="A706" s="437">
        <v>45036</v>
      </c>
      <c r="B706" s="435">
        <v>-0.5952552882162192</v>
      </c>
      <c r="C706" s="436">
        <v>-0.8495417759233862</v>
      </c>
    </row>
    <row r="707" spans="1:3" x14ac:dyDescent="0.25">
      <c r="A707" s="437">
        <v>45037</v>
      </c>
      <c r="B707" s="435">
        <v>9.0319362485755283E-2</v>
      </c>
      <c r="C707" s="436">
        <v>-0.16062184067255542</v>
      </c>
    </row>
    <row r="708" spans="1:3" x14ac:dyDescent="0.25">
      <c r="A708" s="437">
        <v>45040</v>
      </c>
      <c r="B708" s="435">
        <v>8.5157444502494892E-2</v>
      </c>
      <c r="C708" s="436">
        <v>-1.4345838957067549</v>
      </c>
    </row>
    <row r="709" spans="1:3" x14ac:dyDescent="0.25">
      <c r="A709" s="437">
        <v>45041</v>
      </c>
      <c r="B709" s="435">
        <v>-1.581082126351204</v>
      </c>
      <c r="C709" s="436">
        <v>-2.291902671645782</v>
      </c>
    </row>
    <row r="710" spans="1:3" x14ac:dyDescent="0.25">
      <c r="A710" s="437">
        <v>45042</v>
      </c>
      <c r="B710" s="435">
        <v>-0.38412134697898204</v>
      </c>
      <c r="C710" s="436">
        <v>7.2051758036265277</v>
      </c>
    </row>
    <row r="711" spans="1:3" x14ac:dyDescent="0.25">
      <c r="A711" s="437">
        <v>45043</v>
      </c>
      <c r="B711" s="435">
        <v>1.9566123190639175</v>
      </c>
      <c r="C711" s="436">
        <v>3.164459982441683</v>
      </c>
    </row>
    <row r="712" spans="1:3" x14ac:dyDescent="0.25">
      <c r="A712" s="437">
        <v>45044</v>
      </c>
      <c r="B712" s="435">
        <v>0.82532312863479984</v>
      </c>
      <c r="C712" s="436">
        <v>0.75887321248975592</v>
      </c>
    </row>
    <row r="713" spans="1:3" x14ac:dyDescent="0.25">
      <c r="A713" s="437">
        <v>45047</v>
      </c>
      <c r="B713" s="435">
        <v>-3.8613927875890346E-2</v>
      </c>
      <c r="C713" s="436">
        <v>-0.59158124216360441</v>
      </c>
    </row>
    <row r="714" spans="1:3" x14ac:dyDescent="0.25">
      <c r="A714" s="437">
        <v>45048</v>
      </c>
      <c r="B714" s="435">
        <v>-1.1586253889876597</v>
      </c>
      <c r="C714" s="436">
        <v>-8.7388231765203897E-2</v>
      </c>
    </row>
    <row r="715" spans="1:3" x14ac:dyDescent="0.25">
      <c r="A715" s="437">
        <v>45049</v>
      </c>
      <c r="B715" s="435">
        <v>-0.69982862330625761</v>
      </c>
      <c r="C715" s="436">
        <v>-0.36900625937977538</v>
      </c>
    </row>
    <row r="716" spans="1:3" x14ac:dyDescent="0.25">
      <c r="A716" s="437">
        <v>45050</v>
      </c>
      <c r="B716" s="435">
        <v>-0.72187251726456514</v>
      </c>
      <c r="C716" s="436">
        <v>0.29350355450336263</v>
      </c>
    </row>
    <row r="717" spans="1:3" x14ac:dyDescent="0.25">
      <c r="A717" s="437">
        <v>45051</v>
      </c>
      <c r="B717" s="435">
        <v>1.8474744042430651</v>
      </c>
      <c r="C717" s="436">
        <v>1.6774231038181633</v>
      </c>
    </row>
    <row r="718" spans="1:3" x14ac:dyDescent="0.25">
      <c r="A718" s="437">
        <v>45054</v>
      </c>
      <c r="B718" s="435">
        <v>4.5210033242668868E-2</v>
      </c>
      <c r="C718" s="436">
        <v>-0.68211137570535407</v>
      </c>
    </row>
    <row r="719" spans="1:3" x14ac:dyDescent="0.25">
      <c r="A719" s="437">
        <v>45055</v>
      </c>
      <c r="B719" s="435">
        <v>-0.45793742085777644</v>
      </c>
      <c r="C719" s="436">
        <v>-0.57288416720396651</v>
      </c>
    </row>
    <row r="720" spans="1:3" x14ac:dyDescent="0.25">
      <c r="A720" s="437">
        <v>45056</v>
      </c>
      <c r="B720" s="435">
        <v>0.44839130213126077</v>
      </c>
      <c r="C720" s="436">
        <v>1.6913410423452793</v>
      </c>
    </row>
    <row r="721" spans="1:3" x14ac:dyDescent="0.25">
      <c r="A721" s="437">
        <v>45057</v>
      </c>
      <c r="B721" s="435">
        <v>-0.16966193288929041</v>
      </c>
      <c r="C721" s="436">
        <v>-0.74273245944371347</v>
      </c>
    </row>
    <row r="722" spans="1:3" x14ac:dyDescent="0.25">
      <c r="A722" s="437">
        <v>45058</v>
      </c>
      <c r="B722" s="435">
        <v>-0.15832974226629329</v>
      </c>
      <c r="C722" s="436">
        <v>-0.40590635101767841</v>
      </c>
    </row>
    <row r="723" spans="1:3" x14ac:dyDescent="0.25">
      <c r="A723" s="437">
        <v>45061</v>
      </c>
      <c r="B723" s="435">
        <v>0.29582355337432392</v>
      </c>
      <c r="C723" s="436">
        <v>0.12028821193452288</v>
      </c>
    </row>
    <row r="724" spans="1:3" x14ac:dyDescent="0.25">
      <c r="A724" s="437">
        <v>45062</v>
      </c>
      <c r="B724" s="435">
        <v>-0.63777113735047219</v>
      </c>
      <c r="C724" s="436">
        <v>0.69846697030601768</v>
      </c>
    </row>
    <row r="725" spans="1:3" x14ac:dyDescent="0.25">
      <c r="A725" s="437">
        <v>45063</v>
      </c>
      <c r="B725" s="435">
        <v>1.1890800262780312</v>
      </c>
      <c r="C725" s="436">
        <v>0.68666634134107163</v>
      </c>
    </row>
    <row r="726" spans="1:3" x14ac:dyDescent="0.25">
      <c r="A726" s="437">
        <v>45064</v>
      </c>
      <c r="B726" s="435">
        <v>0.94451003541912004</v>
      </c>
      <c r="C726" s="436">
        <v>1.4011869426751622</v>
      </c>
    </row>
    <row r="727" spans="1:3" x14ac:dyDescent="0.25">
      <c r="A727" s="437">
        <v>45065</v>
      </c>
      <c r="B727" s="435">
        <v>-0.14459094103216061</v>
      </c>
      <c r="C727" s="436">
        <v>-9.4809169350757602E-2</v>
      </c>
    </row>
    <row r="728" spans="1:3" x14ac:dyDescent="0.25">
      <c r="A728" s="437">
        <v>45068</v>
      </c>
      <c r="B728" s="435">
        <v>1.5505799168902185E-2</v>
      </c>
      <c r="C728" s="436">
        <v>0.85382698237265775</v>
      </c>
    </row>
    <row r="729" spans="1:3" x14ac:dyDescent="0.25">
      <c r="A729" s="437">
        <v>45069</v>
      </c>
      <c r="B729" s="435">
        <v>-1.1222073018606502</v>
      </c>
      <c r="C729" s="436">
        <v>-1.8814979354330459</v>
      </c>
    </row>
    <row r="730" spans="1:3" x14ac:dyDescent="0.25">
      <c r="A730" s="437">
        <v>45070</v>
      </c>
      <c r="B730" s="435">
        <v>-0.731863816402051</v>
      </c>
      <c r="C730" s="436">
        <v>-0.48555114358780066</v>
      </c>
    </row>
    <row r="731" spans="1:3" x14ac:dyDescent="0.25">
      <c r="A731" s="437">
        <v>45071</v>
      </c>
      <c r="B731" s="435">
        <v>0.87576909244661216</v>
      </c>
      <c r="C731" s="436">
        <v>3.8074883604437386</v>
      </c>
    </row>
    <row r="732" spans="1:3" x14ac:dyDescent="0.25">
      <c r="A732" s="437">
        <v>45072</v>
      </c>
      <c r="B732" s="435">
        <v>1.3048987300302577</v>
      </c>
      <c r="C732" s="436">
        <v>2.1002621385576044</v>
      </c>
    </row>
    <row r="733" spans="1:3" x14ac:dyDescent="0.25">
      <c r="A733" s="437">
        <v>45076</v>
      </c>
      <c r="B733" s="435">
        <v>1.664506770990464E-3</v>
      </c>
      <c r="C733" s="436">
        <v>-0.54297839956088889</v>
      </c>
    </row>
    <row r="734" spans="1:3" x14ac:dyDescent="0.25">
      <c r="A734" s="437">
        <v>45077</v>
      </c>
      <c r="B734" s="435">
        <v>-0.61086381707851845</v>
      </c>
      <c r="C734" s="436">
        <v>-0.88971634510656916</v>
      </c>
    </row>
    <row r="735" spans="1:3" x14ac:dyDescent="0.25">
      <c r="A735" s="437">
        <v>45078</v>
      </c>
      <c r="B735" s="435">
        <v>0.98544677654355595</v>
      </c>
      <c r="C735" s="436">
        <v>1.2376133373772074</v>
      </c>
    </row>
    <row r="736" spans="1:3" x14ac:dyDescent="0.25">
      <c r="A736" s="437">
        <v>45079</v>
      </c>
      <c r="B736" s="435">
        <v>1.4534401637518761</v>
      </c>
      <c r="C736" s="436">
        <v>0.80961842871771339</v>
      </c>
    </row>
    <row r="737" spans="1:3" x14ac:dyDescent="0.25">
      <c r="A737" s="437">
        <v>45082</v>
      </c>
      <c r="B737" s="435">
        <v>-0.20035634473433936</v>
      </c>
      <c r="C737" s="436">
        <v>0.12270417700067113</v>
      </c>
    </row>
    <row r="738" spans="1:3" x14ac:dyDescent="0.25">
      <c r="A738" s="437">
        <v>45083</v>
      </c>
      <c r="B738" s="435">
        <v>0.235388261940816</v>
      </c>
      <c r="C738" s="436">
        <v>-0.71104185466009739</v>
      </c>
    </row>
    <row r="739" spans="1:3" x14ac:dyDescent="0.25">
      <c r="A739" s="437">
        <v>45084</v>
      </c>
      <c r="B739" s="435">
        <v>-0.38119915496574169</v>
      </c>
      <c r="C739" s="436">
        <v>-3.1250862071670689</v>
      </c>
    </row>
    <row r="740" spans="1:3" x14ac:dyDescent="0.25">
      <c r="A740" s="437">
        <v>45085</v>
      </c>
      <c r="B740" s="435">
        <v>0.61886060287942068</v>
      </c>
      <c r="C740" s="436">
        <v>0.54306092860782773</v>
      </c>
    </row>
    <row r="741" spans="1:3" x14ac:dyDescent="0.25">
      <c r="A741" s="437">
        <v>45086</v>
      </c>
      <c r="B741" s="435">
        <v>0.11481323635921827</v>
      </c>
      <c r="C741" s="436">
        <v>0.43209259452767496</v>
      </c>
    </row>
    <row r="742" spans="1:3" x14ac:dyDescent="0.25">
      <c r="A742" s="437">
        <v>45089</v>
      </c>
      <c r="B742" s="435">
        <v>0.93210758201012867</v>
      </c>
      <c r="C742" s="436">
        <v>1.5100940330623784</v>
      </c>
    </row>
    <row r="743" spans="1:3" x14ac:dyDescent="0.25">
      <c r="A743" s="437">
        <v>45090</v>
      </c>
      <c r="B743" s="435">
        <v>0.69325847616808578</v>
      </c>
      <c r="C743" s="436">
        <v>0.69697285095182138</v>
      </c>
    </row>
    <row r="744" spans="1:3" x14ac:dyDescent="0.25">
      <c r="A744" s="437">
        <v>45091</v>
      </c>
      <c r="B744" s="435">
        <v>8.1940760034880378E-2</v>
      </c>
      <c r="C744" s="436">
        <v>0.87407755179215885</v>
      </c>
    </row>
    <row r="745" spans="1:3" x14ac:dyDescent="0.25">
      <c r="A745" s="437">
        <v>45092</v>
      </c>
      <c r="B745" s="435">
        <v>1.2178136985173547</v>
      </c>
      <c r="C745" s="436">
        <v>3.1513632855832561</v>
      </c>
    </row>
    <row r="746" spans="1:3" x14ac:dyDescent="0.25">
      <c r="A746" s="437">
        <v>45093</v>
      </c>
      <c r="B746" s="435">
        <v>-0.36716193988033913</v>
      </c>
      <c r="C746" s="436">
        <v>-1.6958750935206794</v>
      </c>
    </row>
    <row r="747" spans="1:3" x14ac:dyDescent="0.25">
      <c r="A747" s="437">
        <v>45097</v>
      </c>
      <c r="B747" s="435">
        <v>-0.47351341054383989</v>
      </c>
      <c r="C747" s="436">
        <v>-1.2885553566830918</v>
      </c>
    </row>
    <row r="748" spans="1:3" x14ac:dyDescent="0.25">
      <c r="A748" s="437">
        <v>45098</v>
      </c>
      <c r="B748" s="435">
        <v>-0.52452770859775277</v>
      </c>
      <c r="C748" s="436">
        <v>-1.3665029757090177</v>
      </c>
    </row>
    <row r="749" spans="1:3" x14ac:dyDescent="0.25">
      <c r="A749" s="437">
        <v>45099</v>
      </c>
      <c r="B749" s="435">
        <v>0.37107536265746605</v>
      </c>
      <c r="C749" s="436">
        <v>1.8054441650302429</v>
      </c>
    </row>
    <row r="750" spans="1:3" x14ac:dyDescent="0.25">
      <c r="A750" s="437">
        <v>45100</v>
      </c>
      <c r="B750" s="435">
        <v>-0.7658795633847586</v>
      </c>
      <c r="C750" s="436">
        <v>-1.4188899515036615</v>
      </c>
    </row>
    <row r="751" spans="1:3" x14ac:dyDescent="0.25">
      <c r="A751" s="437">
        <v>45103</v>
      </c>
      <c r="B751" s="435">
        <v>-0.44867799822001136</v>
      </c>
      <c r="C751" s="436">
        <v>-1.9545984928639593</v>
      </c>
    </row>
    <row r="752" spans="1:3" x14ac:dyDescent="0.25">
      <c r="A752" s="437">
        <v>45104</v>
      </c>
      <c r="B752" s="435">
        <v>1.1455777787018206</v>
      </c>
      <c r="C752" s="436">
        <v>1.7784988104053678</v>
      </c>
    </row>
    <row r="753" spans="1:3" x14ac:dyDescent="0.25">
      <c r="A753" s="437">
        <v>45105</v>
      </c>
      <c r="B753" s="435">
        <v>-3.5400978894168933E-2</v>
      </c>
      <c r="C753" s="436">
        <v>0.34428031898239825</v>
      </c>
    </row>
    <row r="754" spans="1:3" x14ac:dyDescent="0.25">
      <c r="A754" s="437">
        <v>45106</v>
      </c>
      <c r="B754" s="435">
        <v>0.44735266835128223</v>
      </c>
      <c r="C754" s="436">
        <v>-0.27650693336537346</v>
      </c>
    </row>
    <row r="755" spans="1:3" x14ac:dyDescent="0.25">
      <c r="A755" s="437">
        <v>45107</v>
      </c>
      <c r="B755" s="435">
        <v>1.2269017659743</v>
      </c>
      <c r="C755" s="436">
        <v>1.6002677351524075</v>
      </c>
    </row>
    <row r="756" spans="1:3" x14ac:dyDescent="0.25">
      <c r="A756" s="437">
        <v>45110</v>
      </c>
      <c r="B756" s="435">
        <v>0.11706865481150007</v>
      </c>
      <c r="C756" s="436">
        <v>-0.78711627198172196</v>
      </c>
    </row>
    <row r="757" spans="1:3" x14ac:dyDescent="0.25">
      <c r="A757" s="437">
        <v>45112</v>
      </c>
      <c r="B757" s="435">
        <v>-0.19683139606652397</v>
      </c>
      <c r="C757" s="436">
        <v>9.039863526731938E-3</v>
      </c>
    </row>
    <row r="758" spans="1:3" x14ac:dyDescent="0.25">
      <c r="A758" s="437">
        <v>45113</v>
      </c>
      <c r="B758" s="435">
        <v>-0.79225154155103117</v>
      </c>
      <c r="C758" s="436">
        <v>0.88436599300901286</v>
      </c>
    </row>
    <row r="759" spans="1:3" x14ac:dyDescent="0.25">
      <c r="A759" s="437">
        <v>45114</v>
      </c>
      <c r="B759" s="435">
        <v>-0.28651801277998018</v>
      </c>
      <c r="C759" s="436">
        <v>-1.2250401560469428</v>
      </c>
    </row>
    <row r="760" spans="1:3" x14ac:dyDescent="0.25">
      <c r="A760" s="437">
        <v>45117</v>
      </c>
      <c r="B760" s="435">
        <v>0.24051194034939993</v>
      </c>
      <c r="C760" s="436">
        <v>-1.6366672332650305</v>
      </c>
    </row>
    <row r="761" spans="1:3" x14ac:dyDescent="0.25">
      <c r="A761" s="437">
        <v>45118</v>
      </c>
      <c r="B761" s="435">
        <v>0.67422151567174904</v>
      </c>
      <c r="C761" s="436">
        <v>0.15457406957587827</v>
      </c>
    </row>
    <row r="762" spans="1:3" x14ac:dyDescent="0.25">
      <c r="A762" s="437">
        <v>45119</v>
      </c>
      <c r="B762" s="435">
        <v>0.74111451007599538</v>
      </c>
      <c r="C762" s="436">
        <v>1.384388057801639</v>
      </c>
    </row>
    <row r="763" spans="1:3" x14ac:dyDescent="0.25">
      <c r="A763" s="437">
        <v>45120</v>
      </c>
      <c r="B763" s="435">
        <v>0.84701799577832881</v>
      </c>
      <c r="C763" s="436">
        <v>1.5809146517479955</v>
      </c>
    </row>
    <row r="764" spans="1:3" x14ac:dyDescent="0.25">
      <c r="A764" s="437">
        <v>45121</v>
      </c>
      <c r="B764" s="435">
        <v>-0.10243811584819404</v>
      </c>
      <c r="C764" s="436">
        <v>0.71462884196661669</v>
      </c>
    </row>
    <row r="765" spans="1:3" x14ac:dyDescent="0.25">
      <c r="A765" s="437">
        <v>45124</v>
      </c>
      <c r="B765" s="435">
        <v>0.38553564373576471</v>
      </c>
      <c r="C765" s="436">
        <v>0.10363633825560387</v>
      </c>
    </row>
    <row r="766" spans="1:3" x14ac:dyDescent="0.25">
      <c r="A766" s="437">
        <v>45125</v>
      </c>
      <c r="B766" s="435">
        <v>0.71172882225351164</v>
      </c>
      <c r="C766" s="436">
        <v>3.9416781801412628</v>
      </c>
    </row>
    <row r="767" spans="1:3" x14ac:dyDescent="0.25">
      <c r="A767" s="437">
        <v>45126</v>
      </c>
      <c r="B767" s="435">
        <v>0.23578588709501891</v>
      </c>
      <c r="C767" s="436">
        <v>-1.2650387473014091</v>
      </c>
    </row>
    <row r="768" spans="1:3" x14ac:dyDescent="0.25">
      <c r="A768" s="437">
        <v>45127</v>
      </c>
      <c r="B768" s="435">
        <v>-0.67568751478409461</v>
      </c>
      <c r="C768" s="436">
        <v>-2.3504528389601971</v>
      </c>
    </row>
    <row r="769" spans="1:3" x14ac:dyDescent="0.25">
      <c r="A769" s="437">
        <v>45128</v>
      </c>
      <c r="B769" s="435">
        <v>3.2415482693004531E-2</v>
      </c>
      <c r="C769" s="436">
        <v>-0.93200831858777733</v>
      </c>
    </row>
    <row r="770" spans="1:3" x14ac:dyDescent="0.25">
      <c r="A770" s="437">
        <v>45131</v>
      </c>
      <c r="B770" s="435">
        <v>0.40340891555747982</v>
      </c>
      <c r="C770" s="436">
        <v>0.35149435171113352</v>
      </c>
    </row>
    <row r="771" spans="1:3" x14ac:dyDescent="0.25">
      <c r="A771" s="437">
        <v>45132</v>
      </c>
      <c r="B771" s="435">
        <v>0.28147120299298534</v>
      </c>
      <c r="C771" s="436">
        <v>1.6626145649610793</v>
      </c>
    </row>
    <row r="772" spans="1:3" x14ac:dyDescent="0.25">
      <c r="A772" s="437">
        <v>45133</v>
      </c>
      <c r="B772" s="435">
        <v>-1.554474478156429E-2</v>
      </c>
      <c r="C772" s="436">
        <v>-3.8020533722682517</v>
      </c>
    </row>
    <row r="773" spans="1:3" x14ac:dyDescent="0.25">
      <c r="A773" s="437">
        <v>45134</v>
      </c>
      <c r="B773" s="435">
        <v>-0.64247002791920182</v>
      </c>
      <c r="C773" s="436">
        <v>-2.125515628858011</v>
      </c>
    </row>
    <row r="774" spans="1:3" x14ac:dyDescent="0.25">
      <c r="A774" s="437">
        <v>45135</v>
      </c>
      <c r="B774" s="435">
        <v>0.98778818753429176</v>
      </c>
      <c r="C774" s="436">
        <v>2.2748331570115687</v>
      </c>
    </row>
    <row r="775" spans="1:3" x14ac:dyDescent="0.25">
      <c r="A775" s="437">
        <v>45138</v>
      </c>
      <c r="B775" s="435">
        <v>0.14687171966488966</v>
      </c>
      <c r="C775" s="436">
        <v>-0.76235415261481265</v>
      </c>
    </row>
    <row r="776" spans="1:3" x14ac:dyDescent="0.25">
      <c r="A776" s="437">
        <v>45139</v>
      </c>
      <c r="B776" s="435">
        <v>-0.26650918726684203</v>
      </c>
      <c r="C776" s="436">
        <v>8.6724703425455629E-2</v>
      </c>
    </row>
    <row r="777" spans="1:3" x14ac:dyDescent="0.25">
      <c r="A777" s="437">
        <v>45140</v>
      </c>
      <c r="B777" s="435">
        <v>-1.3839575417382988</v>
      </c>
      <c r="C777" s="436">
        <v>-2.6665916409382322</v>
      </c>
    </row>
    <row r="778" spans="1:3" x14ac:dyDescent="0.25">
      <c r="A778" s="437">
        <v>45141</v>
      </c>
      <c r="B778" s="435">
        <v>-0.25479739176096017</v>
      </c>
      <c r="C778" s="436">
        <v>-0.29478732824427023</v>
      </c>
    </row>
    <row r="779" spans="1:3" x14ac:dyDescent="0.25">
      <c r="A779" s="437">
        <v>45142</v>
      </c>
      <c r="B779" s="435">
        <v>-0.5299996223808352</v>
      </c>
      <c r="C779" s="436">
        <v>0.30456260524259354</v>
      </c>
    </row>
    <row r="780" spans="1:3" x14ac:dyDescent="0.25">
      <c r="A780" s="437">
        <v>45145</v>
      </c>
      <c r="B780" s="435">
        <v>0.90240574538356955</v>
      </c>
      <c r="C780" s="436">
        <v>0.67253836936616129</v>
      </c>
    </row>
    <row r="781" spans="1:3" x14ac:dyDescent="0.25">
      <c r="A781" s="437">
        <v>45146</v>
      </c>
      <c r="B781" s="435">
        <v>-0.42182700223969982</v>
      </c>
      <c r="C781" s="436">
        <v>-1.2681922130453007</v>
      </c>
    </row>
    <row r="782" spans="1:3" x14ac:dyDescent="0.25">
      <c r="A782" s="437">
        <v>45147</v>
      </c>
      <c r="B782" s="435">
        <v>-0.7038747560775056</v>
      </c>
      <c r="C782" s="436">
        <v>-1.209892436924118</v>
      </c>
    </row>
    <row r="783" spans="1:3" x14ac:dyDescent="0.25">
      <c r="A783" s="437">
        <v>45148</v>
      </c>
      <c r="B783" s="435">
        <v>2.5068771249698186E-2</v>
      </c>
      <c r="C783" s="436">
        <v>0.17893054219181156</v>
      </c>
    </row>
    <row r="784" spans="1:3" x14ac:dyDescent="0.25">
      <c r="A784" s="437">
        <v>45149</v>
      </c>
      <c r="B784" s="435">
        <v>-0.10696312010078132</v>
      </c>
      <c r="C784" s="436">
        <v>-0.63285084433733652</v>
      </c>
    </row>
    <row r="785" spans="1:3" x14ac:dyDescent="0.25">
      <c r="A785" s="437">
        <v>45152</v>
      </c>
      <c r="B785" s="435">
        <v>0.5750383620255165</v>
      </c>
      <c r="C785" s="436">
        <v>0.90559548786966959</v>
      </c>
    </row>
    <row r="786" spans="1:3" x14ac:dyDescent="0.25">
      <c r="A786" s="437">
        <v>45153</v>
      </c>
      <c r="B786" s="435">
        <v>-1.1550831677699407</v>
      </c>
      <c r="C786" s="436">
        <v>-0.71106383762845871</v>
      </c>
    </row>
    <row r="787" spans="1:3" x14ac:dyDescent="0.25">
      <c r="A787" s="437">
        <v>45154</v>
      </c>
      <c r="B787" s="435">
        <v>-0.75554433893813111</v>
      </c>
      <c r="C787" s="436">
        <v>-0.49191059716696445</v>
      </c>
    </row>
    <row r="788" spans="1:3" x14ac:dyDescent="0.25">
      <c r="A788" s="437">
        <v>45155</v>
      </c>
      <c r="B788" s="435">
        <v>-0.77128643857295553</v>
      </c>
      <c r="C788" s="436">
        <v>-1.1369233039692284</v>
      </c>
    </row>
    <row r="789" spans="1:3" x14ac:dyDescent="0.25">
      <c r="A789" s="437">
        <v>45156</v>
      </c>
      <c r="B789" s="435">
        <v>-1.48729166475905E-2</v>
      </c>
      <c r="C789" s="436">
        <v>-0.16452885435765896</v>
      </c>
    </row>
    <row r="790" spans="1:3" x14ac:dyDescent="0.25">
      <c r="A790" s="437">
        <v>45159</v>
      </c>
      <c r="B790" s="435">
        <v>0.68791750482298364</v>
      </c>
      <c r="C790" s="436">
        <v>1.6679670033842968</v>
      </c>
    </row>
    <row r="791" spans="1:3" x14ac:dyDescent="0.25">
      <c r="A791" s="437">
        <v>45160</v>
      </c>
      <c r="B791" s="435">
        <v>-0.2777417910481742</v>
      </c>
      <c r="C791" s="436">
        <v>0.1418870234219797</v>
      </c>
    </row>
    <row r="792" spans="1:3" x14ac:dyDescent="0.25">
      <c r="A792" s="437">
        <v>45161</v>
      </c>
      <c r="B792" s="435">
        <v>1.1044888377340438</v>
      </c>
      <c r="C792" s="436">
        <v>1.3696293948749125</v>
      </c>
    </row>
    <row r="793" spans="1:3" x14ac:dyDescent="0.25">
      <c r="A793" s="437">
        <v>45162</v>
      </c>
      <c r="B793" s="435">
        <v>-1.3458039995401232</v>
      </c>
      <c r="C793" s="436">
        <v>-2.1881467889908182</v>
      </c>
    </row>
    <row r="794" spans="1:3" x14ac:dyDescent="0.25">
      <c r="A794" s="437">
        <v>45163</v>
      </c>
      <c r="B794" s="435">
        <v>0.67179884423177594</v>
      </c>
      <c r="C794" s="436">
        <v>0.90241631421470836</v>
      </c>
    </row>
    <row r="795" spans="1:3" x14ac:dyDescent="0.25">
      <c r="A795" s="437">
        <v>45166</v>
      </c>
      <c r="B795" s="435">
        <v>0.62645975336552717</v>
      </c>
      <c r="C795" s="436">
        <v>0.18462432208754392</v>
      </c>
    </row>
    <row r="796" spans="1:3" x14ac:dyDescent="0.25">
      <c r="A796" s="437">
        <v>45167</v>
      </c>
      <c r="B796" s="435">
        <v>1.4508347036412907</v>
      </c>
      <c r="C796" s="436">
        <v>1.4167484477584757</v>
      </c>
    </row>
    <row r="797" spans="1:3" x14ac:dyDescent="0.25">
      <c r="A797" s="437">
        <v>45168</v>
      </c>
      <c r="B797" s="435">
        <v>0.38331298928546326</v>
      </c>
      <c r="C797" s="436">
        <v>7.7410543336549162E-2</v>
      </c>
    </row>
    <row r="798" spans="1:3" x14ac:dyDescent="0.25">
      <c r="A798" s="437">
        <v>45169</v>
      </c>
      <c r="B798" s="435">
        <v>-0.15969452055098013</v>
      </c>
      <c r="C798" s="436">
        <v>-0.35156955558432901</v>
      </c>
    </row>
    <row r="799" spans="1:3" x14ac:dyDescent="0.25">
      <c r="A799" s="437">
        <v>45170</v>
      </c>
      <c r="B799" s="435">
        <v>0.17991596526802336</v>
      </c>
      <c r="C799" s="436">
        <v>0.23628932528101654</v>
      </c>
    </row>
    <row r="800" spans="1:3" x14ac:dyDescent="0.25">
      <c r="A800" s="437">
        <v>45174</v>
      </c>
      <c r="B800" s="435">
        <v>-0.41941905810084457</v>
      </c>
      <c r="C800" s="436">
        <v>1.449554907955265</v>
      </c>
    </row>
    <row r="801" spans="1:3" x14ac:dyDescent="0.25">
      <c r="A801" s="437">
        <v>45175</v>
      </c>
      <c r="B801" s="435">
        <v>-0.69715777558858938</v>
      </c>
      <c r="C801" s="436">
        <v>-0.23916434540660275</v>
      </c>
    </row>
    <row r="802" spans="1:3" x14ac:dyDescent="0.25">
      <c r="A802" s="437">
        <v>45176</v>
      </c>
      <c r="B802" s="435">
        <v>-0.32113009127796427</v>
      </c>
      <c r="C802" s="436">
        <v>-0.93051369724503807</v>
      </c>
    </row>
    <row r="803" spans="1:3" x14ac:dyDescent="0.25">
      <c r="A803" s="437">
        <v>45177</v>
      </c>
      <c r="B803" s="435">
        <v>0.14266008258557256</v>
      </c>
      <c r="C803" s="436">
        <v>1.2832679873714878</v>
      </c>
    </row>
    <row r="804" spans="1:3" x14ac:dyDescent="0.25">
      <c r="A804" s="437">
        <v>45180</v>
      </c>
      <c r="B804" s="435">
        <v>0.6723514803174041</v>
      </c>
      <c r="C804" s="436">
        <v>1.0596187844470186</v>
      </c>
    </row>
    <row r="805" spans="1:3" x14ac:dyDescent="0.25">
      <c r="A805" s="437">
        <v>45181</v>
      </c>
      <c r="B805" s="435">
        <v>-0.56958724980279263</v>
      </c>
      <c r="C805" s="436">
        <v>-1.8640717238221425</v>
      </c>
    </row>
    <row r="806" spans="1:3" x14ac:dyDescent="0.25">
      <c r="A806" s="437">
        <v>45182</v>
      </c>
      <c r="B806" s="435">
        <v>0.12416235236110097</v>
      </c>
      <c r="C806" s="436">
        <v>1.254767227970399</v>
      </c>
    </row>
    <row r="807" spans="1:3" x14ac:dyDescent="0.25">
      <c r="A807" s="437">
        <v>45183</v>
      </c>
      <c r="B807" s="435">
        <v>0.84298837813156446</v>
      </c>
      <c r="C807" s="436">
        <v>0.74727817524000806</v>
      </c>
    </row>
    <row r="808" spans="1:3" x14ac:dyDescent="0.25">
      <c r="A808" s="437">
        <v>45184</v>
      </c>
      <c r="B808" s="435">
        <v>-1.2159552507158697</v>
      </c>
      <c r="C808" s="436">
        <v>-2.5419937406426754</v>
      </c>
    </row>
    <row r="809" spans="1:3" x14ac:dyDescent="0.25">
      <c r="A809" s="437">
        <v>45187</v>
      </c>
      <c r="B809" s="435">
        <v>7.212964460982664E-2</v>
      </c>
      <c r="C809" s="436">
        <v>-0.38958187162715724</v>
      </c>
    </row>
    <row r="810" spans="1:3" x14ac:dyDescent="0.25">
      <c r="A810" s="437">
        <v>45188</v>
      </c>
      <c r="B810" s="435">
        <v>-0.2151102608492573</v>
      </c>
      <c r="C810" s="436">
        <v>-0.16289855421260135</v>
      </c>
    </row>
    <row r="811" spans="1:3" x14ac:dyDescent="0.25">
      <c r="A811" s="437">
        <v>45189</v>
      </c>
      <c r="B811" s="435">
        <v>-0.93947951709627686</v>
      </c>
      <c r="C811" s="436">
        <v>-2.4359890746573338</v>
      </c>
    </row>
    <row r="812" spans="1:3" x14ac:dyDescent="0.25">
      <c r="A812" s="437">
        <v>45190</v>
      </c>
      <c r="B812" s="435">
        <v>-1.6400890463858939</v>
      </c>
      <c r="C812" s="436">
        <v>-0.42486671213716137</v>
      </c>
    </row>
    <row r="813" spans="1:3" x14ac:dyDescent="0.25">
      <c r="A813" s="437">
        <v>45191</v>
      </c>
      <c r="B813" s="435">
        <v>-0.22956120092377827</v>
      </c>
      <c r="C813" s="436">
        <v>-0.82695490185162646</v>
      </c>
    </row>
    <row r="814" spans="1:3" x14ac:dyDescent="0.25">
      <c r="A814" s="437">
        <v>45194</v>
      </c>
      <c r="B814" s="435">
        <v>0.40230922718664086</v>
      </c>
      <c r="C814" s="436">
        <v>0.12888683425800188</v>
      </c>
    </row>
    <row r="815" spans="1:3" x14ac:dyDescent="0.25">
      <c r="A815" s="437">
        <v>45195</v>
      </c>
      <c r="B815" s="435">
        <v>-1.4734497768268808</v>
      </c>
      <c r="C815" s="436">
        <v>-1.7388712184129818</v>
      </c>
    </row>
    <row r="816" spans="1:3" x14ac:dyDescent="0.25">
      <c r="A816" s="437">
        <v>45196</v>
      </c>
      <c r="B816" s="435">
        <v>2.2931861950202127E-2</v>
      </c>
      <c r="C816" s="436">
        <v>0.16993796013465062</v>
      </c>
    </row>
    <row r="817" spans="1:3" x14ac:dyDescent="0.25">
      <c r="A817" s="437">
        <v>45197</v>
      </c>
      <c r="B817" s="435">
        <v>0.58930731241708645</v>
      </c>
      <c r="C817" s="436">
        <v>0.23344972842563128</v>
      </c>
    </row>
    <row r="818" spans="1:3" x14ac:dyDescent="0.25">
      <c r="A818" s="437">
        <v>45198</v>
      </c>
      <c r="B818" s="435">
        <v>-0.27094913598622317</v>
      </c>
      <c r="C818" s="436">
        <v>0.63444100850938756</v>
      </c>
    </row>
    <row r="819" spans="1:3" x14ac:dyDescent="0.25">
      <c r="A819" s="437">
        <v>45201</v>
      </c>
      <c r="B819" s="435">
        <v>7.9290120217848561E-3</v>
      </c>
      <c r="C819" s="436">
        <v>1.877769041963574</v>
      </c>
    </row>
    <row r="820" spans="1:3" x14ac:dyDescent="0.25">
      <c r="A820" s="437">
        <v>45202</v>
      </c>
      <c r="B820" s="435">
        <v>-1.3744085775780772</v>
      </c>
      <c r="C820" s="436">
        <v>-2.6517161944095471</v>
      </c>
    </row>
    <row r="821" spans="1:3" x14ac:dyDescent="0.25">
      <c r="A821" s="437">
        <v>45203</v>
      </c>
      <c r="B821" s="435">
        <v>0.81098015108347854</v>
      </c>
      <c r="C821" s="436">
        <v>1.7390303977154462</v>
      </c>
    </row>
    <row r="822" spans="1:3" x14ac:dyDescent="0.25">
      <c r="A822" s="437">
        <v>45204</v>
      </c>
      <c r="B822" s="435">
        <v>-0.13040164174729757</v>
      </c>
      <c r="C822" s="436">
        <v>8.7105697042420716E-2</v>
      </c>
    </row>
    <row r="823" spans="1:3" x14ac:dyDescent="0.25">
      <c r="A823" s="437">
        <v>45205</v>
      </c>
      <c r="B823" s="435">
        <v>1.1814879091820798</v>
      </c>
      <c r="C823" s="436">
        <v>2.4354053391332129</v>
      </c>
    </row>
    <row r="824" spans="1:3" x14ac:dyDescent="0.25">
      <c r="A824" s="437">
        <v>45208</v>
      </c>
      <c r="B824" s="435">
        <v>0.6303818034118569</v>
      </c>
      <c r="C824" s="436">
        <v>0.7439517025529494</v>
      </c>
    </row>
    <row r="825" spans="1:3" x14ac:dyDescent="0.25">
      <c r="A825" s="437">
        <v>45209</v>
      </c>
      <c r="B825" s="435">
        <v>0.52079729499084171</v>
      </c>
      <c r="C825" s="436">
        <v>-0.47186739119830601</v>
      </c>
    </row>
    <row r="826" spans="1:3" x14ac:dyDescent="0.25">
      <c r="A826" s="437">
        <v>45210</v>
      </c>
      <c r="B826" s="435">
        <v>0.42930173648078207</v>
      </c>
      <c r="C826" s="436">
        <v>1.1888987015195873</v>
      </c>
    </row>
    <row r="827" spans="1:3" x14ac:dyDescent="0.25">
      <c r="A827" s="437">
        <v>45211</v>
      </c>
      <c r="B827" s="435">
        <v>-0.62463587658072739</v>
      </c>
      <c r="C827" s="436">
        <v>-0.41734125826502755</v>
      </c>
    </row>
    <row r="828" spans="1:3" x14ac:dyDescent="0.25">
      <c r="A828" s="437">
        <v>45212</v>
      </c>
      <c r="B828" s="435">
        <v>-0.50188407696322035</v>
      </c>
      <c r="C828" s="436">
        <v>-1.0740509839865882</v>
      </c>
    </row>
    <row r="829" spans="1:3" x14ac:dyDescent="0.25">
      <c r="A829" s="437">
        <v>45215</v>
      </c>
      <c r="B829" s="435">
        <v>1.0594346293018677</v>
      </c>
      <c r="C829" s="436">
        <v>1.4598856513592267</v>
      </c>
    </row>
    <row r="830" spans="1:3" x14ac:dyDescent="0.25">
      <c r="A830" s="437">
        <v>45216</v>
      </c>
      <c r="B830" s="435">
        <v>-9.8316501395932215E-3</v>
      </c>
      <c r="C830" s="436">
        <v>-0.21266777712987958</v>
      </c>
    </row>
    <row r="831" spans="1:3" x14ac:dyDescent="0.25">
      <c r="A831" s="437">
        <v>45217</v>
      </c>
      <c r="B831" s="435">
        <v>-1.3399798774352754</v>
      </c>
      <c r="C831" s="436">
        <v>-0.62554718778080964</v>
      </c>
    </row>
    <row r="832" spans="1:3" x14ac:dyDescent="0.25">
      <c r="A832" s="437">
        <v>45218</v>
      </c>
      <c r="B832" s="435">
        <v>-0.84828257544153252</v>
      </c>
      <c r="C832" s="436">
        <v>0.32825116627265333</v>
      </c>
    </row>
    <row r="833" spans="1:3" x14ac:dyDescent="0.25">
      <c r="A833" s="437">
        <v>45219</v>
      </c>
      <c r="B833" s="435">
        <v>-1.258532024310429</v>
      </c>
      <c r="C833" s="436">
        <v>-1.4417751604964177</v>
      </c>
    </row>
    <row r="834" spans="1:3" x14ac:dyDescent="0.25">
      <c r="A834" s="437">
        <v>45222</v>
      </c>
      <c r="B834" s="435">
        <v>-0.16855422143100382</v>
      </c>
      <c r="C834" s="436">
        <v>0.77291434308082407</v>
      </c>
    </row>
    <row r="835" spans="1:3" x14ac:dyDescent="0.25">
      <c r="A835" s="437">
        <v>45223</v>
      </c>
      <c r="B835" s="435">
        <v>0.72657598694819892</v>
      </c>
      <c r="C835" s="436">
        <v>0.32912134528133902</v>
      </c>
    </row>
    <row r="836" spans="1:3" x14ac:dyDescent="0.25">
      <c r="A836" s="437">
        <v>45224</v>
      </c>
      <c r="B836" s="435">
        <v>-1.4339592436341686</v>
      </c>
      <c r="C836" s="436">
        <v>3.0295044445823538</v>
      </c>
    </row>
    <row r="837" spans="1:3" x14ac:dyDescent="0.25">
      <c r="A837" s="437">
        <v>45225</v>
      </c>
      <c r="B837" s="435">
        <v>-1.1832510503323772</v>
      </c>
      <c r="C837" s="436">
        <v>-3.7897302733771814</v>
      </c>
    </row>
    <row r="838" spans="1:3" x14ac:dyDescent="0.25">
      <c r="A838" s="437">
        <v>45226</v>
      </c>
      <c r="B838" s="435">
        <v>-0.48003132530702119</v>
      </c>
      <c r="C838" s="436">
        <v>0.54725701978299091</v>
      </c>
    </row>
    <row r="839" spans="1:3" x14ac:dyDescent="0.25">
      <c r="A839" s="437">
        <v>45229</v>
      </c>
      <c r="B839" s="435">
        <v>1.2010093822027124</v>
      </c>
      <c r="C839" s="436">
        <v>2.235736580297969</v>
      </c>
    </row>
    <row r="840" spans="1:3" x14ac:dyDescent="0.25">
      <c r="A840" s="437">
        <v>45230</v>
      </c>
      <c r="B840" s="435">
        <v>0.64749617214087662</v>
      </c>
      <c r="C840" s="436">
        <v>0.19886670266025952</v>
      </c>
    </row>
    <row r="841" spans="1:3" x14ac:dyDescent="0.25">
      <c r="A841" s="437">
        <v>45231</v>
      </c>
      <c r="B841" s="435">
        <v>1.0505985025513733</v>
      </c>
      <c r="C841" s="436">
        <v>2.315970016604207</v>
      </c>
    </row>
    <row r="842" spans="1:3" x14ac:dyDescent="0.25">
      <c r="A842" s="437">
        <v>45232</v>
      </c>
      <c r="B842" s="435">
        <v>1.8858574846738703</v>
      </c>
      <c r="C842" s="436">
        <v>0.61185746943941322</v>
      </c>
    </row>
    <row r="843" spans="1:3" x14ac:dyDescent="0.25">
      <c r="A843" s="437">
        <v>45233</v>
      </c>
      <c r="B843" s="435">
        <v>0.93937162152773879</v>
      </c>
      <c r="C843" s="436">
        <v>1.2478681528388376</v>
      </c>
    </row>
    <row r="844" spans="1:3" x14ac:dyDescent="0.25">
      <c r="A844" s="437">
        <v>45236</v>
      </c>
      <c r="B844" s="435">
        <v>0.175296098973449</v>
      </c>
      <c r="C844" s="436">
        <v>1.0189593897026976</v>
      </c>
    </row>
    <row r="845" spans="1:3" x14ac:dyDescent="0.25">
      <c r="A845" s="437">
        <v>45237</v>
      </c>
      <c r="B845" s="435">
        <v>0.28401412741241477</v>
      </c>
      <c r="C845" s="436">
        <v>1.0836252268306321</v>
      </c>
    </row>
    <row r="846" spans="1:3" x14ac:dyDescent="0.25">
      <c r="A846" s="437">
        <v>45238</v>
      </c>
      <c r="B846" s="435">
        <v>0.10049378994056331</v>
      </c>
      <c r="C846" s="436">
        <v>0.70227998152881588</v>
      </c>
    </row>
    <row r="847" spans="1:3" x14ac:dyDescent="0.25">
      <c r="A847" s="437">
        <v>45239</v>
      </c>
      <c r="B847" s="435">
        <v>-0.80839102122395801</v>
      </c>
      <c r="C847" s="436">
        <v>-0.72938202562504939</v>
      </c>
    </row>
    <row r="848" spans="1:3" x14ac:dyDescent="0.25">
      <c r="A848" s="437">
        <v>45240</v>
      </c>
      <c r="B848" s="435">
        <v>1.5616409996894525</v>
      </c>
      <c r="C848" s="436">
        <v>2.4513756079199531</v>
      </c>
    </row>
    <row r="849" spans="1:3" x14ac:dyDescent="0.25">
      <c r="A849" s="437">
        <v>45243</v>
      </c>
      <c r="B849" s="435">
        <v>-8.3574165843750284E-2</v>
      </c>
      <c r="C849" s="436">
        <v>-0.84713487836487267</v>
      </c>
    </row>
    <row r="850" spans="1:3" x14ac:dyDescent="0.25">
      <c r="A850" s="437">
        <v>45244</v>
      </c>
      <c r="B850" s="435">
        <v>1.9074928313177826</v>
      </c>
      <c r="C850" s="436">
        <v>0.94075423490067123</v>
      </c>
    </row>
    <row r="851" spans="1:3" x14ac:dyDescent="0.25">
      <c r="A851" s="437">
        <v>45245</v>
      </c>
      <c r="B851" s="435">
        <v>0.15970816558045001</v>
      </c>
      <c r="C851" s="436">
        <v>-0.20033743695793463</v>
      </c>
    </row>
    <row r="852" spans="1:3" x14ac:dyDescent="0.25">
      <c r="A852" s="437">
        <v>45246</v>
      </c>
      <c r="B852" s="435">
        <v>0.11903492875669955</v>
      </c>
      <c r="C852" s="436">
        <v>1.7200249307267994</v>
      </c>
    </row>
    <row r="853" spans="1:3" x14ac:dyDescent="0.25">
      <c r="A853" s="437">
        <v>45247</v>
      </c>
      <c r="B853" s="435">
        <v>0.12820967827801213</v>
      </c>
      <c r="C853" s="436">
        <v>-1.7183932508142206</v>
      </c>
    </row>
    <row r="854" spans="1:3" x14ac:dyDescent="0.25">
      <c r="A854" s="437">
        <v>45250</v>
      </c>
      <c r="B854" s="435">
        <v>0.73903084168877564</v>
      </c>
      <c r="C854" s="436">
        <v>2.0138822027495076</v>
      </c>
    </row>
    <row r="855" spans="1:3" x14ac:dyDescent="0.25">
      <c r="A855" s="437">
        <v>45251</v>
      </c>
      <c r="B855" s="435">
        <v>-0.20209439281521466</v>
      </c>
      <c r="C855" s="436">
        <v>-1.1960985843694483</v>
      </c>
    </row>
    <row r="856" spans="1:3" x14ac:dyDescent="0.25">
      <c r="A856" s="437">
        <v>45252</v>
      </c>
      <c r="B856" s="435">
        <v>0.40610904347328547</v>
      </c>
      <c r="C856" s="436">
        <v>1.2429605972905327</v>
      </c>
    </row>
    <row r="857" spans="1:3" x14ac:dyDescent="0.25">
      <c r="A857" s="437">
        <v>45254</v>
      </c>
      <c r="B857" s="435">
        <v>5.9693369207883359E-2</v>
      </c>
      <c r="C857" s="436">
        <v>-0.14945865907912226</v>
      </c>
    </row>
    <row r="858" spans="1:3" x14ac:dyDescent="0.25">
      <c r="A858" s="437">
        <v>45257</v>
      </c>
      <c r="B858" s="435">
        <v>-0.1954230217531453</v>
      </c>
      <c r="C858" s="436">
        <v>0.27433864077701164</v>
      </c>
    </row>
    <row r="859" spans="1:3" x14ac:dyDescent="0.25">
      <c r="A859" s="437">
        <v>45258</v>
      </c>
      <c r="B859" s="435">
        <v>9.8012715281853263E-2</v>
      </c>
      <c r="C859" s="436">
        <v>1.0419744676688916</v>
      </c>
    </row>
    <row r="860" spans="1:3" x14ac:dyDescent="0.25">
      <c r="A860" s="437">
        <v>45259</v>
      </c>
      <c r="B860" s="435">
        <v>-9.4623580371872865E-2</v>
      </c>
      <c r="C860" s="436">
        <v>-1.0443114657116883</v>
      </c>
    </row>
    <row r="861" spans="1:3" x14ac:dyDescent="0.25">
      <c r="A861" s="437">
        <v>45260</v>
      </c>
      <c r="B861" s="435">
        <v>0.37841330116161576</v>
      </c>
      <c r="C861" s="436">
        <v>-2.2463125498272441E-2</v>
      </c>
    </row>
    <row r="862" spans="1:3" x14ac:dyDescent="0.25">
      <c r="A862" s="437">
        <v>45261</v>
      </c>
      <c r="B862" s="435">
        <v>0.58737247690354055</v>
      </c>
      <c r="C862" s="436">
        <v>-1.199524025111776</v>
      </c>
    </row>
    <row r="863" spans="1:3" x14ac:dyDescent="0.25">
      <c r="A863" s="437">
        <v>45264</v>
      </c>
      <c r="B863" s="435">
        <v>-0.54084877345945948</v>
      </c>
      <c r="C863" s="436">
        <v>-1.4721722214661277</v>
      </c>
    </row>
    <row r="864" spans="1:3" x14ac:dyDescent="0.25">
      <c r="A864" s="437">
        <v>45265</v>
      </c>
      <c r="B864" s="435">
        <v>-5.6895517946147403E-2</v>
      </c>
      <c r="C864" s="436">
        <v>0.87733468132816883</v>
      </c>
    </row>
    <row r="865" spans="1:3" x14ac:dyDescent="0.25">
      <c r="A865" s="437">
        <v>45266</v>
      </c>
      <c r="B865" s="435">
        <v>-0.39061302598102426</v>
      </c>
      <c r="C865" s="436">
        <v>-1.0369043997225675</v>
      </c>
    </row>
    <row r="866" spans="1:3" x14ac:dyDescent="0.25">
      <c r="A866" s="437">
        <v>45267</v>
      </c>
      <c r="B866" s="435">
        <v>0.79681887922204098</v>
      </c>
      <c r="C866" s="436">
        <v>0.54467832699496466</v>
      </c>
    </row>
    <row r="867" spans="1:3" x14ac:dyDescent="0.25">
      <c r="A867" s="437">
        <v>45268</v>
      </c>
      <c r="B867" s="435">
        <v>0.4095438100658747</v>
      </c>
      <c r="C867" s="436">
        <v>0.84591590346247936</v>
      </c>
    </row>
    <row r="868" spans="1:3" x14ac:dyDescent="0.25">
      <c r="A868" s="437">
        <v>45271</v>
      </c>
      <c r="B868" s="435">
        <v>0.39245325636297057</v>
      </c>
      <c r="C868" s="436">
        <v>-0.82124709506876115</v>
      </c>
    </row>
    <row r="869" spans="1:3" x14ac:dyDescent="0.25">
      <c r="A869" s="437">
        <v>45272</v>
      </c>
      <c r="B869" s="435">
        <v>0.45993025328614801</v>
      </c>
      <c r="C869" s="436">
        <v>0.79122251536296795</v>
      </c>
    </row>
    <row r="870" spans="1:3" x14ac:dyDescent="0.25">
      <c r="A870" s="437">
        <v>45273</v>
      </c>
      <c r="B870" s="435">
        <v>1.3650752632599077</v>
      </c>
      <c r="C870" s="436">
        <v>-4.0973753904128954E-2</v>
      </c>
    </row>
    <row r="871" spans="1:3" x14ac:dyDescent="0.25">
      <c r="A871" s="437">
        <v>45274</v>
      </c>
      <c r="B871" s="435">
        <v>0.26470706954827794</v>
      </c>
      <c r="C871" s="436">
        <v>-2.2927547139788786</v>
      </c>
    </row>
    <row r="872" spans="1:3" x14ac:dyDescent="0.25">
      <c r="A872" s="437">
        <v>45275</v>
      </c>
      <c r="B872" s="435">
        <v>-7.6278458751487333E-3</v>
      </c>
      <c r="C872" s="436">
        <v>1.2734312305143476</v>
      </c>
    </row>
    <row r="873" spans="1:3" x14ac:dyDescent="0.25">
      <c r="A873" s="437">
        <v>45278</v>
      </c>
      <c r="B873" s="435">
        <v>0.45283194785547526</v>
      </c>
      <c r="C873" s="436">
        <v>0.47959252098072036</v>
      </c>
    </row>
    <row r="874" spans="1:3" x14ac:dyDescent="0.25">
      <c r="A874" s="437">
        <v>45279</v>
      </c>
      <c r="B874" s="435">
        <v>0.58663955313295235</v>
      </c>
      <c r="C874" s="436">
        <v>0.12539676903846403</v>
      </c>
    </row>
    <row r="875" spans="1:3" x14ac:dyDescent="0.25">
      <c r="A875" s="437">
        <v>45280</v>
      </c>
      <c r="B875" s="435">
        <v>-1.4684263175886001</v>
      </c>
      <c r="C875" s="436">
        <v>-0.74558578719161617</v>
      </c>
    </row>
    <row r="876" spans="1:3" x14ac:dyDescent="0.25">
      <c r="A876" s="437">
        <v>45281</v>
      </c>
      <c r="B876" s="435">
        <v>1.0301488820543305</v>
      </c>
      <c r="C876" s="436">
        <v>0.74957276439307619</v>
      </c>
    </row>
    <row r="877" spans="1:3" x14ac:dyDescent="0.25">
      <c r="A877" s="437">
        <v>45282</v>
      </c>
      <c r="B877" s="435">
        <v>0.16600832148312233</v>
      </c>
      <c r="C877" s="436">
        <v>0.24011140840150785</v>
      </c>
    </row>
    <row r="878" spans="1:3" x14ac:dyDescent="0.25">
      <c r="A878" s="437">
        <v>45286</v>
      </c>
      <c r="B878" s="435">
        <v>0.42316647141838359</v>
      </c>
      <c r="C878" s="436">
        <v>-1.6938207385062992E-2</v>
      </c>
    </row>
    <row r="879" spans="1:3" x14ac:dyDescent="0.25">
      <c r="A879" s="437">
        <v>45287</v>
      </c>
      <c r="B879" s="435">
        <v>0.14304413843656583</v>
      </c>
      <c r="C879" s="436">
        <v>-0.19577530926734291</v>
      </c>
    </row>
    <row r="880" spans="1:3" x14ac:dyDescent="0.25">
      <c r="A880" s="437">
        <v>45288</v>
      </c>
      <c r="B880" s="435">
        <v>3.7017052940668912E-2</v>
      </c>
      <c r="C880" s="436">
        <v>0.28516672477272409</v>
      </c>
    </row>
    <row r="881" spans="1:3" x14ac:dyDescent="0.25">
      <c r="A881" s="437">
        <v>45289</v>
      </c>
      <c r="B881" s="435">
        <v>-0.28264709879060568</v>
      </c>
      <c r="C881" s="436">
        <v>0.16421812034353117</v>
      </c>
    </row>
    <row r="882" spans="1:3" x14ac:dyDescent="0.25">
      <c r="A882" s="437">
        <v>45293</v>
      </c>
      <c r="B882" s="435">
        <v>-0.56605790982068549</v>
      </c>
      <c r="C882" s="436">
        <v>-1.4131574290668047</v>
      </c>
    </row>
    <row r="883" spans="1:3" x14ac:dyDescent="0.25">
      <c r="A883" s="437">
        <v>45294</v>
      </c>
      <c r="B883" s="435">
        <v>-0.80163109367191154</v>
      </c>
      <c r="C883" s="436">
        <v>-0.11109882536736615</v>
      </c>
    </row>
    <row r="884" spans="1:3" x14ac:dyDescent="0.25">
      <c r="A884" s="437">
        <v>45295</v>
      </c>
      <c r="B884" s="435">
        <v>-0.34284062480738026</v>
      </c>
      <c r="C884" s="436">
        <v>-0.75605605961539435</v>
      </c>
    </row>
    <row r="885" spans="1:3" x14ac:dyDescent="0.25">
      <c r="A885" s="437">
        <v>45296</v>
      </c>
      <c r="B885" s="435">
        <v>0.18256737503944587</v>
      </c>
      <c r="C885" s="436">
        <v>-8.9939397447193759E-2</v>
      </c>
    </row>
    <row r="886" spans="1:3" x14ac:dyDescent="0.25">
      <c r="A886" s="437">
        <v>45299</v>
      </c>
      <c r="B886" s="435">
        <v>1.4114671594383124</v>
      </c>
      <c r="C886" s="436">
        <v>1.848852141400406</v>
      </c>
    </row>
    <row r="887" spans="1:3" x14ac:dyDescent="0.25">
      <c r="A887" s="437">
        <v>45300</v>
      </c>
      <c r="B887" s="435">
        <v>-0.14778924917183364</v>
      </c>
      <c r="C887" s="436">
        <v>0.25527788948956398</v>
      </c>
    </row>
    <row r="888" spans="1:3" x14ac:dyDescent="0.25">
      <c r="A888" s="437">
        <v>45301</v>
      </c>
      <c r="B888" s="435">
        <v>0.56659308314937062</v>
      </c>
      <c r="C888" s="436">
        <v>1.8191150011529476</v>
      </c>
    </row>
    <row r="889" spans="1:3" x14ac:dyDescent="0.25">
      <c r="A889" s="437">
        <v>45302</v>
      </c>
      <c r="B889" s="435">
        <v>-6.7106377196375758E-2</v>
      </c>
      <c r="C889" s="436">
        <v>0.44763569335446862</v>
      </c>
    </row>
    <row r="890" spans="1:3" x14ac:dyDescent="0.25">
      <c r="A890" s="437">
        <v>45303</v>
      </c>
      <c r="B890" s="435">
        <v>7.5100831757404354E-2</v>
      </c>
      <c r="C890" s="436">
        <v>0.96006100930296434</v>
      </c>
    </row>
    <row r="891" spans="1:3" x14ac:dyDescent="0.25">
      <c r="A891" s="437">
        <v>45307</v>
      </c>
      <c r="B891" s="435">
        <v>-0.37313198838588252</v>
      </c>
      <c r="C891" s="436">
        <v>0.42505315349099115</v>
      </c>
    </row>
    <row r="892" spans="1:3" x14ac:dyDescent="0.25">
      <c r="A892" s="437">
        <v>45308</v>
      </c>
      <c r="B892" s="435">
        <v>-0.5616893062916658</v>
      </c>
      <c r="C892" s="436">
        <v>-0.24328322252495435</v>
      </c>
    </row>
    <row r="893" spans="1:3" x14ac:dyDescent="0.25">
      <c r="A893" s="437">
        <v>45309</v>
      </c>
      <c r="B893" s="435">
        <v>0.88052650125230914</v>
      </c>
      <c r="C893" s="436">
        <v>1.0914388730075752</v>
      </c>
    </row>
    <row r="894" spans="1:3" x14ac:dyDescent="0.25">
      <c r="A894" s="437">
        <v>45310</v>
      </c>
      <c r="B894" s="435">
        <v>1.2313478102632704</v>
      </c>
      <c r="C894" s="436">
        <v>1.1803807984700549</v>
      </c>
    </row>
    <row r="895" spans="1:3" x14ac:dyDescent="0.25">
      <c r="A895" s="437">
        <v>45313</v>
      </c>
      <c r="B895" s="435">
        <v>0.21943010159489507</v>
      </c>
      <c r="C895" s="436">
        <v>-0.58010222478884077</v>
      </c>
    </row>
    <row r="896" spans="1:3" x14ac:dyDescent="0.25">
      <c r="A896" s="437">
        <v>45314</v>
      </c>
      <c r="B896" s="435">
        <v>0.29213904746589625</v>
      </c>
      <c r="C896" s="436">
        <v>0.56445502250245072</v>
      </c>
    </row>
    <row r="897" spans="1:3" x14ac:dyDescent="0.25">
      <c r="A897" s="437">
        <v>45315</v>
      </c>
      <c r="B897" s="435">
        <v>8.119886527154993E-2</v>
      </c>
      <c r="C897" s="436">
        <v>0.87922420532751744</v>
      </c>
    </row>
    <row r="898" spans="1:3" x14ac:dyDescent="0.25">
      <c r="A898" s="437">
        <v>45316</v>
      </c>
      <c r="B898" s="435">
        <v>0.52602931057501046</v>
      </c>
      <c r="C898" s="436">
        <v>0.53552676159492874</v>
      </c>
    </row>
    <row r="899" spans="1:3" x14ac:dyDescent="0.25">
      <c r="A899" s="437">
        <v>45317</v>
      </c>
      <c r="B899" s="435">
        <v>-6.5179724406222925E-2</v>
      </c>
      <c r="C899" s="436">
        <v>-0.27047378704489888</v>
      </c>
    </row>
    <row r="900" spans="1:3" x14ac:dyDescent="0.25">
      <c r="A900" s="437">
        <v>45320</v>
      </c>
      <c r="B900" s="435">
        <v>0.75567832147815328</v>
      </c>
      <c r="C900" s="436">
        <v>1.3951186864900622</v>
      </c>
    </row>
    <row r="901" spans="1:3" x14ac:dyDescent="0.25">
      <c r="A901" s="437">
        <v>45321</v>
      </c>
      <c r="B901" s="435">
        <v>-6.0065788272155578E-2</v>
      </c>
      <c r="C901" s="436">
        <v>-0.31409932569609644</v>
      </c>
    </row>
    <row r="902" spans="1:3" x14ac:dyDescent="0.25">
      <c r="A902" s="437">
        <v>45322</v>
      </c>
      <c r="B902" s="435">
        <v>-1.6105681862021621</v>
      </c>
      <c r="C902" s="436">
        <v>-2.7329349905248215</v>
      </c>
    </row>
    <row r="903" spans="1:3" x14ac:dyDescent="0.25">
      <c r="A903" s="437">
        <v>45323</v>
      </c>
      <c r="B903" s="435">
        <v>1.2493679898465626</v>
      </c>
      <c r="C903" s="436">
        <v>1.5211376484548649</v>
      </c>
    </row>
    <row r="904" spans="1:3" x14ac:dyDescent="0.25">
      <c r="A904" s="437">
        <v>45324</v>
      </c>
      <c r="B904" s="435">
        <v>1.0684461873673885</v>
      </c>
      <c r="C904" s="436">
        <v>1.8042880475570682</v>
      </c>
    </row>
    <row r="905" spans="1:3" x14ac:dyDescent="0.25">
      <c r="A905" s="437">
        <v>45327</v>
      </c>
      <c r="B905" s="435">
        <v>-0.31863768273768805</v>
      </c>
      <c r="C905" s="436">
        <v>-1.3928078027466937</v>
      </c>
    </row>
    <row r="906" spans="1:3" x14ac:dyDescent="0.25">
      <c r="A906" s="437">
        <v>45328</v>
      </c>
      <c r="B906" s="435">
        <v>0.23104266601384968</v>
      </c>
      <c r="C906" s="436">
        <v>-7.7743856123911326E-2</v>
      </c>
    </row>
    <row r="907" spans="1:3" x14ac:dyDescent="0.25">
      <c r="A907" s="437">
        <v>45329</v>
      </c>
      <c r="B907" s="435">
        <v>0.8241442161546968</v>
      </c>
      <c r="C907" s="436">
        <v>2.0727257247040813</v>
      </c>
    </row>
    <row r="908" spans="1:3" x14ac:dyDescent="0.25">
      <c r="A908" s="437">
        <v>45330</v>
      </c>
      <c r="B908" s="435">
        <v>5.7056371695223963E-2</v>
      </c>
      <c r="C908" s="436">
        <v>-2.3809720628222827E-2</v>
      </c>
    </row>
    <row r="909" spans="1:3" x14ac:dyDescent="0.25">
      <c r="A909" s="437">
        <v>45331</v>
      </c>
      <c r="B909" s="435">
        <v>0.57424003233351184</v>
      </c>
      <c r="C909" s="436">
        <v>1.5168431342569513</v>
      </c>
    </row>
    <row r="910" spans="1:3" x14ac:dyDescent="0.25">
      <c r="A910" s="437">
        <v>45334</v>
      </c>
      <c r="B910" s="435">
        <v>-9.4894968975105035E-2</v>
      </c>
      <c r="C910" s="436">
        <v>-1.2961713948269005</v>
      </c>
    </row>
    <row r="911" spans="1:3" x14ac:dyDescent="0.25">
      <c r="A911" s="437">
        <v>45335</v>
      </c>
      <c r="B911" s="435">
        <v>-1.3674270785210214</v>
      </c>
      <c r="C911" s="436">
        <v>-2.1911687532421062</v>
      </c>
    </row>
    <row r="912" spans="1:3" x14ac:dyDescent="0.25">
      <c r="A912" s="437">
        <v>45336</v>
      </c>
      <c r="B912" s="435">
        <v>0.95797236921001738</v>
      </c>
      <c r="C912" s="436">
        <v>0.74186906511817474</v>
      </c>
    </row>
    <row r="913" spans="1:3" x14ac:dyDescent="0.25">
      <c r="A913" s="437">
        <v>45337</v>
      </c>
      <c r="B913" s="435">
        <v>0.58212781615079079</v>
      </c>
      <c r="C913" s="436">
        <v>-0.75382225244870338</v>
      </c>
    </row>
    <row r="914" spans="1:3" x14ac:dyDescent="0.25">
      <c r="A914" s="437">
        <v>45338</v>
      </c>
      <c r="B914" s="435">
        <v>-0.48034387531736011</v>
      </c>
      <c r="C914" s="436">
        <v>-0.65321539066762779</v>
      </c>
    </row>
    <row r="915" spans="1:3" x14ac:dyDescent="0.25">
      <c r="A915" s="437">
        <v>45342</v>
      </c>
      <c r="B915" s="435">
        <v>-0.60053100845656915</v>
      </c>
      <c r="C915" s="436">
        <v>-0.35260703516461672</v>
      </c>
    </row>
    <row r="916" spans="1:3" x14ac:dyDescent="0.25">
      <c r="A916" s="437">
        <v>45343</v>
      </c>
      <c r="B916" s="435">
        <v>0.12641920124771056</v>
      </c>
      <c r="C916" s="436">
        <v>-0.18974764923897933</v>
      </c>
    </row>
    <row r="917" spans="1:3" x14ac:dyDescent="0.25">
      <c r="A917" s="437">
        <v>45344</v>
      </c>
      <c r="B917" s="435">
        <v>2.1122887309807612</v>
      </c>
      <c r="C917" s="436">
        <v>2.3163673541266805</v>
      </c>
    </row>
    <row r="918" spans="1:3" x14ac:dyDescent="0.25">
      <c r="A918" s="437">
        <v>45345</v>
      </c>
      <c r="B918" s="435">
        <v>3.479436920954735E-2</v>
      </c>
      <c r="C918" s="436">
        <v>-0.35653102613722065</v>
      </c>
    </row>
    <row r="919" spans="1:3" x14ac:dyDescent="0.25">
      <c r="A919" s="437">
        <v>45348</v>
      </c>
      <c r="B919" s="435">
        <v>-0.37867473667663176</v>
      </c>
      <c r="C919" s="436">
        <v>-0.72065780749970743</v>
      </c>
    </row>
    <row r="920" spans="1:3" x14ac:dyDescent="0.25">
      <c r="A920" s="437">
        <v>45349</v>
      </c>
      <c r="B920" s="435">
        <v>0.17062725735917425</v>
      </c>
      <c r="C920" s="436">
        <v>-5.3021990154347602E-2</v>
      </c>
    </row>
    <row r="921" spans="1:3" x14ac:dyDescent="0.25">
      <c r="A921" s="437">
        <v>45350</v>
      </c>
      <c r="B921" s="435">
        <v>-0.16580743494716754</v>
      </c>
      <c r="C921" s="436">
        <v>2.0596140552041543E-2</v>
      </c>
    </row>
    <row r="922" spans="1:3" x14ac:dyDescent="0.25">
      <c r="A922" s="437">
        <v>45351</v>
      </c>
      <c r="B922" s="435">
        <v>0.5229044372909214</v>
      </c>
      <c r="C922" s="436">
        <v>1.4136802770234911</v>
      </c>
    </row>
    <row r="923" spans="1:3" x14ac:dyDescent="0.25">
      <c r="A923" s="437">
        <v>45352</v>
      </c>
      <c r="B923" s="435">
        <v>0.80078174821976644</v>
      </c>
      <c r="C923" s="436">
        <v>0.41136273391127176</v>
      </c>
    </row>
    <row r="924" spans="1:3" x14ac:dyDescent="0.25">
      <c r="A924" s="437">
        <v>45355</v>
      </c>
      <c r="B924" s="435">
        <v>-0.11932849011500909</v>
      </c>
      <c r="C924" s="436">
        <v>-0.17788772563177302</v>
      </c>
    </row>
    <row r="925" spans="1:3" x14ac:dyDescent="0.25">
      <c r="A925" s="437">
        <v>45356</v>
      </c>
      <c r="B925" s="435">
        <v>-1.019304417310638</v>
      </c>
      <c r="C925" s="436">
        <v>-2.9955010545560237</v>
      </c>
    </row>
    <row r="926" spans="1:3" x14ac:dyDescent="0.25">
      <c r="A926" s="437">
        <v>45357</v>
      </c>
      <c r="B926" s="435">
        <v>0.51411300247114067</v>
      </c>
      <c r="C926" s="436">
        <v>-0.17737810961000716</v>
      </c>
    </row>
    <row r="927" spans="1:3" x14ac:dyDescent="0.25">
      <c r="A927" s="437">
        <v>45358</v>
      </c>
      <c r="B927" s="435">
        <v>1.0304108322428371</v>
      </c>
      <c r="C927" s="436">
        <v>1.7150435474977648</v>
      </c>
    </row>
    <row r="928" spans="1:3" x14ac:dyDescent="0.25">
      <c r="A928" s="437">
        <v>45359</v>
      </c>
      <c r="B928" s="435">
        <v>-0.65285339786247376</v>
      </c>
      <c r="C928" s="436">
        <v>-0.7519955303675151</v>
      </c>
    </row>
    <row r="929" spans="1:3" x14ac:dyDescent="0.25">
      <c r="A929" s="437">
        <v>45362</v>
      </c>
      <c r="B929" s="435">
        <v>-0.11222380745127049</v>
      </c>
      <c r="C929" s="436">
        <v>-0.45679539555291737</v>
      </c>
    </row>
    <row r="930" spans="1:3" x14ac:dyDescent="0.25">
      <c r="A930" s="437">
        <v>45363</v>
      </c>
      <c r="B930" s="435">
        <v>1.1201772588189944</v>
      </c>
      <c r="C930" s="436">
        <v>2.6216451924735331</v>
      </c>
    </row>
    <row r="931" spans="1:3" x14ac:dyDescent="0.25">
      <c r="A931" s="437">
        <v>45364</v>
      </c>
      <c r="B931" s="435">
        <v>-0.19245372705192262</v>
      </c>
      <c r="C931" s="436">
        <v>-8.1642564157530656E-2</v>
      </c>
    </row>
    <row r="932" spans="1:3" x14ac:dyDescent="0.25">
      <c r="A932" s="437">
        <v>45365</v>
      </c>
      <c r="B932" s="435">
        <v>-0.28710764697570595</v>
      </c>
      <c r="C932" s="436">
        <v>2.3996655152305677</v>
      </c>
    </row>
    <row r="933" spans="1:3" x14ac:dyDescent="0.25">
      <c r="A933" s="437">
        <v>45366</v>
      </c>
      <c r="B933" s="435">
        <v>-0.64828909150214009</v>
      </c>
      <c r="C933" s="436">
        <v>-2.1078141289932035</v>
      </c>
    </row>
    <row r="934" spans="1:3" x14ac:dyDescent="0.25">
      <c r="A934" s="437">
        <v>45369</v>
      </c>
      <c r="B934" s="435">
        <v>0.63180440445643771</v>
      </c>
      <c r="C934" s="436">
        <v>0.17782650014493717</v>
      </c>
    </row>
    <row r="935" spans="1:3" x14ac:dyDescent="0.25">
      <c r="A935" s="437">
        <v>45370</v>
      </c>
      <c r="B935" s="435">
        <v>0.56491799076401117</v>
      </c>
      <c r="C935" s="436">
        <v>0.94176252549498285</v>
      </c>
    </row>
    <row r="936" spans="1:3" x14ac:dyDescent="0.25">
      <c r="A936" s="437">
        <v>45371</v>
      </c>
      <c r="B936" s="435">
        <v>0.89041056211148906</v>
      </c>
      <c r="C936" s="436">
        <v>0.86818227705576145</v>
      </c>
    </row>
    <row r="937" spans="1:3" x14ac:dyDescent="0.25">
      <c r="A937" s="437">
        <v>45372</v>
      </c>
      <c r="B937" s="435">
        <v>0.32365990253836363</v>
      </c>
      <c r="C937" s="436">
        <v>0.93528697479139744</v>
      </c>
    </row>
    <row r="938" spans="1:3" x14ac:dyDescent="0.25">
      <c r="A938" s="437">
        <v>45373</v>
      </c>
      <c r="B938" s="435">
        <v>-0.14022623165372428</v>
      </c>
      <c r="C938" s="436">
        <v>-0.18502776564185386</v>
      </c>
    </row>
    <row r="939" spans="1:3" x14ac:dyDescent="0.25">
      <c r="A939" s="437">
        <v>45376</v>
      </c>
      <c r="B939" s="435">
        <v>-0.3054919777310045</v>
      </c>
      <c r="C939" s="436">
        <v>-1.4097617570430001</v>
      </c>
    </row>
    <row r="940" spans="1:3" x14ac:dyDescent="0.25">
      <c r="A940" s="437">
        <v>45377</v>
      </c>
      <c r="B940" s="435">
        <v>-0.27998213940082045</v>
      </c>
      <c r="C940" s="436">
        <v>-0.32444459701123113</v>
      </c>
    </row>
    <row r="941" spans="1:3" x14ac:dyDescent="0.25">
      <c r="A941" s="437">
        <v>45378</v>
      </c>
      <c r="B941" s="435">
        <v>0.86305966277062818</v>
      </c>
      <c r="C941" s="436">
        <v>-9.0476213240967801E-2</v>
      </c>
    </row>
    <row r="942" spans="1:3" x14ac:dyDescent="0.25">
      <c r="A942" s="437">
        <v>45379</v>
      </c>
      <c r="B942" s="435">
        <v>0.11165116061954167</v>
      </c>
      <c r="C942" s="436">
        <v>-0.20677210967255472</v>
      </c>
    </row>
    <row r="943" spans="1:3" x14ac:dyDescent="0.25">
      <c r="A943" s="437">
        <v>45383</v>
      </c>
      <c r="B943" s="435">
        <v>-0.20135697089078433</v>
      </c>
      <c r="C943" s="436">
        <v>0.87679935131416553</v>
      </c>
    </row>
    <row r="944" spans="1:3" x14ac:dyDescent="0.25">
      <c r="A944" s="437">
        <v>45384</v>
      </c>
      <c r="B944" s="435">
        <v>-0.72390665494482087</v>
      </c>
      <c r="C944" s="436">
        <v>-0.77551764335557105</v>
      </c>
    </row>
    <row r="945" spans="1:3" x14ac:dyDescent="0.25">
      <c r="A945" s="437">
        <v>45385</v>
      </c>
      <c r="B945" s="435">
        <v>0.10910886106099496</v>
      </c>
      <c r="C945" s="436">
        <v>-0.27320650989508527</v>
      </c>
    </row>
    <row r="946" spans="1:3" x14ac:dyDescent="0.25">
      <c r="A946" s="437">
        <v>45386</v>
      </c>
      <c r="B946" s="435">
        <v>-1.2334284436888443</v>
      </c>
      <c r="C946" s="436">
        <v>-0.64955149878697882</v>
      </c>
    </row>
    <row r="947" spans="1:3" x14ac:dyDescent="0.25">
      <c r="A947" s="437">
        <v>45387</v>
      </c>
      <c r="B947" s="435">
        <v>1.1099216857287755</v>
      </c>
      <c r="C947" s="436">
        <v>1.7899722093870052</v>
      </c>
    </row>
    <row r="948" spans="1:3" x14ac:dyDescent="0.25">
      <c r="A948" s="437">
        <v>45390</v>
      </c>
      <c r="B948" s="435">
        <v>-3.7468728023146415E-2</v>
      </c>
      <c r="C948" s="436">
        <v>-0.25685448017508394</v>
      </c>
    </row>
    <row r="949" spans="1:3" x14ac:dyDescent="0.25">
      <c r="A949" s="437">
        <v>45391</v>
      </c>
      <c r="B949" s="435">
        <v>0.14454894769518484</v>
      </c>
      <c r="C949" s="436">
        <v>0.35973175202460267</v>
      </c>
    </row>
    <row r="950" spans="1:3" x14ac:dyDescent="0.25">
      <c r="A950" s="437">
        <v>45392</v>
      </c>
      <c r="B950" s="435">
        <v>-0.94569771838668093</v>
      </c>
      <c r="C950" s="436">
        <v>-0.74675195812247175</v>
      </c>
    </row>
    <row r="951" spans="1:3" x14ac:dyDescent="0.25">
      <c r="A951" s="437">
        <v>45393</v>
      </c>
      <c r="B951" s="435">
        <v>0.74448130464438655</v>
      </c>
      <c r="C951" s="436">
        <v>1.0650366936791411</v>
      </c>
    </row>
    <row r="952" spans="1:3" x14ac:dyDescent="0.25">
      <c r="A952" s="437">
        <v>45394</v>
      </c>
      <c r="B952" s="435">
        <v>-1.4550707243232535</v>
      </c>
      <c r="C952" s="436">
        <v>-1.4474087557866109</v>
      </c>
    </row>
    <row r="953" spans="1:3" x14ac:dyDescent="0.25">
      <c r="A953" s="437">
        <v>45397</v>
      </c>
      <c r="B953" s="435">
        <v>-1.2021290507689244</v>
      </c>
      <c r="C953" s="436">
        <v>-1.9961049579209018</v>
      </c>
    </row>
    <row r="954" spans="1:3" x14ac:dyDescent="0.25">
      <c r="A954" s="437">
        <v>45398</v>
      </c>
      <c r="B954" s="435">
        <v>-0.20565725371506405</v>
      </c>
      <c r="C954" s="436">
        <v>0.18894397203206068</v>
      </c>
    </row>
    <row r="955" spans="1:3" x14ac:dyDescent="0.25">
      <c r="A955" s="437">
        <v>45399</v>
      </c>
      <c r="B955" s="435">
        <v>-0.57805642384997102</v>
      </c>
      <c r="C955" s="436">
        <v>-0.69920768631338481</v>
      </c>
    </row>
    <row r="956" spans="1:3" x14ac:dyDescent="0.25">
      <c r="A956" s="437">
        <v>45400</v>
      </c>
      <c r="B956" s="435">
        <v>-0.22081912146246666</v>
      </c>
      <c r="C956" s="436">
        <v>-1.8763941806341644</v>
      </c>
    </row>
    <row r="957" spans="1:3" x14ac:dyDescent="0.25">
      <c r="A957" s="437">
        <v>45401</v>
      </c>
      <c r="B957" s="435">
        <v>-0.87585210491866738</v>
      </c>
      <c r="C957" s="436">
        <v>-1.3121996562022793</v>
      </c>
    </row>
    <row r="958" spans="1:3" x14ac:dyDescent="0.25">
      <c r="A958" s="437">
        <v>45404</v>
      </c>
      <c r="B958" s="435">
        <v>0.87312244450127741</v>
      </c>
      <c r="C958" s="436">
        <v>0.42271323487939638</v>
      </c>
    </row>
    <row r="959" spans="1:3" x14ac:dyDescent="0.25">
      <c r="A959" s="437">
        <v>45405</v>
      </c>
      <c r="B959" s="435">
        <v>1.1964634973855388</v>
      </c>
      <c r="C959" s="436">
        <v>1.6102475230370237</v>
      </c>
    </row>
    <row r="960" spans="1:3" x14ac:dyDescent="0.25">
      <c r="A960" s="437">
        <v>45406</v>
      </c>
      <c r="B960" s="435">
        <v>2.129946455512572E-2</v>
      </c>
      <c r="C960" s="436">
        <v>0.32727915803653135</v>
      </c>
    </row>
    <row r="961" spans="1:3" x14ac:dyDescent="0.25">
      <c r="A961" s="437">
        <v>45407</v>
      </c>
      <c r="B961" s="435">
        <v>-0.45764379499293201</v>
      </c>
      <c r="C961" s="436">
        <v>-2.4878157309417501</v>
      </c>
    </row>
    <row r="962" spans="1:3" x14ac:dyDescent="0.25">
      <c r="A962" s="437">
        <v>45408</v>
      </c>
      <c r="B962" s="435">
        <v>1.0209134739185717</v>
      </c>
      <c r="C962" s="436">
        <v>1.7860779660700583</v>
      </c>
    </row>
    <row r="963" spans="1:3" x14ac:dyDescent="0.25">
      <c r="A963" s="437">
        <v>45411</v>
      </c>
      <c r="B963" s="435">
        <v>0.31784563016180589</v>
      </c>
      <c r="C963" s="436">
        <v>-1.0399752633103729</v>
      </c>
    </row>
    <row r="964" spans="1:3" x14ac:dyDescent="0.25">
      <c r="A964" s="437">
        <v>45412</v>
      </c>
      <c r="B964" s="435">
        <v>-1.5730517164206912</v>
      </c>
      <c r="C964" s="436">
        <v>-3.2502361093847068</v>
      </c>
    </row>
    <row r="965" spans="1:3" x14ac:dyDescent="0.25">
      <c r="A965" s="437">
        <v>45413</v>
      </c>
      <c r="B965" s="435">
        <v>-0.34354775611682359</v>
      </c>
      <c r="C965" s="436">
        <v>1.402640895210308</v>
      </c>
    </row>
    <row r="966" spans="1:3" x14ac:dyDescent="0.25">
      <c r="A966" s="437">
        <v>45414</v>
      </c>
      <c r="B966" s="435">
        <v>0.91284256504575145</v>
      </c>
      <c r="C966" s="436">
        <v>0.69598722978534666</v>
      </c>
    </row>
    <row r="967" spans="1:3" x14ac:dyDescent="0.25">
      <c r="A967" s="437">
        <v>45415</v>
      </c>
      <c r="B967" s="435">
        <v>1.2556771059594831</v>
      </c>
      <c r="C967" s="436">
        <v>2.178673680041971</v>
      </c>
    </row>
    <row r="968" spans="1:3" x14ac:dyDescent="0.25">
      <c r="A968" s="437">
        <v>45418</v>
      </c>
      <c r="B968" s="435">
        <v>1.0326085896653299</v>
      </c>
      <c r="C968" s="436">
        <v>1.6535322265102772</v>
      </c>
    </row>
    <row r="969" spans="1:3" x14ac:dyDescent="0.25">
      <c r="A969" s="437">
        <v>45419</v>
      </c>
      <c r="B969" s="435">
        <v>0.13434374239973512</v>
      </c>
      <c r="C969" s="436">
        <v>-1.0539243431333902</v>
      </c>
    </row>
    <row r="970" spans="1:3" x14ac:dyDescent="0.25">
      <c r="A970" s="437">
        <v>45420</v>
      </c>
      <c r="B970" s="435">
        <v>-5.7829095745215301E-4</v>
      </c>
      <c r="C970" s="436">
        <v>0.25485801332054847</v>
      </c>
    </row>
    <row r="971" spans="1:3" x14ac:dyDescent="0.25">
      <c r="A971" s="437">
        <v>45421</v>
      </c>
      <c r="B971" s="435">
        <v>0.50909175024625419</v>
      </c>
      <c r="C971" s="436">
        <v>0.3952747944118104</v>
      </c>
    </row>
    <row r="972" spans="1:3" x14ac:dyDescent="0.25">
      <c r="A972" s="437">
        <v>45422</v>
      </c>
      <c r="B972" s="435">
        <v>0.16493801399288779</v>
      </c>
      <c r="C972" s="436">
        <v>0.54861864544909211</v>
      </c>
    </row>
    <row r="973" spans="1:3" x14ac:dyDescent="0.25">
      <c r="A973" s="437">
        <v>45425</v>
      </c>
      <c r="B973" s="435">
        <v>-2.4125544739486589E-2</v>
      </c>
      <c r="C973" s="436">
        <v>-0.28423456734180685</v>
      </c>
    </row>
    <row r="974" spans="1:3" x14ac:dyDescent="0.25">
      <c r="A974" s="437">
        <v>45426</v>
      </c>
      <c r="B974" s="435">
        <v>0.48377644395586294</v>
      </c>
      <c r="C974" s="436">
        <v>0.64815388019323306</v>
      </c>
    </row>
    <row r="975" spans="1:3" x14ac:dyDescent="0.25">
      <c r="A975" s="437">
        <v>45427</v>
      </c>
      <c r="B975" s="435">
        <v>1.17159803914093</v>
      </c>
      <c r="C975" s="436">
        <v>1.5268980582158564</v>
      </c>
    </row>
    <row r="976" spans="1:3" x14ac:dyDescent="0.25">
      <c r="A976" s="437">
        <v>45428</v>
      </c>
      <c r="B976" s="435">
        <v>-0.20817045486655941</v>
      </c>
      <c r="C976" s="436">
        <v>-0.53229571339214377</v>
      </c>
    </row>
    <row r="977" spans="1:3" x14ac:dyDescent="0.25">
      <c r="A977" s="437">
        <v>45429</v>
      </c>
      <c r="B977" s="435">
        <v>0.1164788280379844</v>
      </c>
      <c r="C977" s="436">
        <v>-0.2235773269027074</v>
      </c>
    </row>
    <row r="978" spans="1:3" x14ac:dyDescent="0.25">
      <c r="A978" s="437">
        <v>45432</v>
      </c>
      <c r="B978" s="435">
        <v>9.1641572086649789E-2</v>
      </c>
      <c r="C978" s="436">
        <v>1.1825193783759851</v>
      </c>
    </row>
    <row r="979" spans="1:3" x14ac:dyDescent="0.25">
      <c r="A979" s="437">
        <v>45433</v>
      </c>
      <c r="B979" s="435">
        <v>0.25018226757821954</v>
      </c>
      <c r="C979" s="436">
        <v>0.83159538599610383</v>
      </c>
    </row>
    <row r="980" spans="1:3" x14ac:dyDescent="0.25">
      <c r="A980" s="437">
        <v>45434</v>
      </c>
      <c r="B980" s="435">
        <v>-0.27060497123881894</v>
      </c>
      <c r="C980" s="436">
        <v>0.30665151243575789</v>
      </c>
    </row>
    <row r="981" spans="1:3" x14ac:dyDescent="0.25">
      <c r="A981" s="437">
        <v>45435</v>
      </c>
      <c r="B981" s="435">
        <v>-0.73808038801509834</v>
      </c>
      <c r="C981" s="436">
        <v>-0.85591337218653729</v>
      </c>
    </row>
    <row r="982" spans="1:3" x14ac:dyDescent="0.25">
      <c r="A982" s="437">
        <v>45436</v>
      </c>
      <c r="B982" s="435">
        <v>0.70009719353663191</v>
      </c>
      <c r="C982" s="436">
        <v>0.70174777517564757</v>
      </c>
    </row>
    <row r="983" spans="1:3" x14ac:dyDescent="0.25">
      <c r="A983" s="437">
        <v>45440</v>
      </c>
      <c r="B983" s="435">
        <v>2.4883499977373148E-2</v>
      </c>
      <c r="C983" s="436">
        <v>-1.1038407773586098E-3</v>
      </c>
    </row>
    <row r="984" spans="1:3" x14ac:dyDescent="0.25">
      <c r="A984" s="437">
        <v>45441</v>
      </c>
      <c r="B984" s="435">
        <v>-0.73670760114888212</v>
      </c>
      <c r="C984" s="436">
        <v>-0.30554158330848713</v>
      </c>
    </row>
    <row r="985" spans="1:3" x14ac:dyDescent="0.25">
      <c r="A985" s="437">
        <v>45442</v>
      </c>
      <c r="B985" s="435">
        <v>-0.59749950160909548</v>
      </c>
      <c r="C985" s="436">
        <v>-3.416914432691037</v>
      </c>
    </row>
    <row r="986" spans="1:3" x14ac:dyDescent="0.25">
      <c r="A986" s="437">
        <v>45443</v>
      </c>
      <c r="B986" s="435">
        <v>0.80279172110294861</v>
      </c>
      <c r="C986" s="436">
        <v>7.2629651428640862E-2</v>
      </c>
    </row>
    <row r="987" spans="1:3" x14ac:dyDescent="0.25">
      <c r="A987" s="437">
        <v>45446</v>
      </c>
      <c r="B987" s="435">
        <v>0.11160566251886624</v>
      </c>
      <c r="C987" s="436">
        <v>-0.42613416775667018</v>
      </c>
    </row>
    <row r="988" spans="1:3" x14ac:dyDescent="0.25">
      <c r="A988" s="437">
        <v>45447</v>
      </c>
      <c r="B988" s="435">
        <v>0.1502820153689009</v>
      </c>
      <c r="C988" s="436">
        <v>0.57836136289241524</v>
      </c>
    </row>
    <row r="989" spans="1:3" x14ac:dyDescent="0.25">
      <c r="A989" s="437">
        <v>45448</v>
      </c>
      <c r="B989" s="435">
        <v>1.184766051699562</v>
      </c>
      <c r="C989" s="436">
        <v>1.8700334213994538</v>
      </c>
    </row>
    <row r="990" spans="1:3" x14ac:dyDescent="0.25">
      <c r="A990" s="437">
        <v>45449</v>
      </c>
      <c r="B990" s="435">
        <v>-1.9984945919236705E-2</v>
      </c>
      <c r="C990" s="436">
        <v>8.1975226521182137E-2</v>
      </c>
    </row>
    <row r="991" spans="1:3" x14ac:dyDescent="0.25">
      <c r="A991" s="437">
        <v>45450</v>
      </c>
      <c r="B991" s="435">
        <v>-0.11152708034433761</v>
      </c>
      <c r="C991" s="436">
        <v>-0.19612130815046308</v>
      </c>
    </row>
    <row r="992" spans="1:3" x14ac:dyDescent="0.25">
      <c r="A992" s="437">
        <v>45453</v>
      </c>
      <c r="B992" s="435">
        <v>0.25808913052016524</v>
      </c>
      <c r="C992" s="436">
        <v>0.91014613497540209</v>
      </c>
    </row>
    <row r="993" spans="1:3" x14ac:dyDescent="0.25">
      <c r="A993" s="437">
        <v>45454</v>
      </c>
      <c r="B993" s="435">
        <v>0.27104214117694864</v>
      </c>
      <c r="C993" s="436">
        <v>1.0858727758918938</v>
      </c>
    </row>
    <row r="994" spans="1:3" x14ac:dyDescent="0.25">
      <c r="A994" s="437">
        <v>45455</v>
      </c>
      <c r="B994" s="435">
        <v>0.85036797809246778</v>
      </c>
      <c r="C994" s="436">
        <v>1.8984673882716325</v>
      </c>
    </row>
    <row r="995" spans="1:3" x14ac:dyDescent="0.25">
      <c r="A995" s="437">
        <v>45456</v>
      </c>
      <c r="B995" s="435">
        <v>0.23445728948188882</v>
      </c>
      <c r="C995" s="436">
        <v>7.9595298226525987E-2</v>
      </c>
    </row>
    <row r="996" spans="1:3" x14ac:dyDescent="0.25">
      <c r="A996" s="437">
        <v>45457</v>
      </c>
      <c r="B996" s="435">
        <v>-3.9383555341245956E-2</v>
      </c>
      <c r="C996" s="436">
        <v>0.1858994721558698</v>
      </c>
    </row>
    <row r="997" spans="1:3" x14ac:dyDescent="0.25">
      <c r="A997" s="437">
        <v>45460</v>
      </c>
      <c r="B997" s="435">
        <v>0.76644082774871491</v>
      </c>
      <c r="C997" s="436">
        <v>1.2722244160840845</v>
      </c>
    </row>
    <row r="998" spans="1:3" x14ac:dyDescent="0.25">
      <c r="A998" s="437">
        <v>45461</v>
      </c>
      <c r="B998" s="435">
        <v>0.25213630708010049</v>
      </c>
      <c r="C998" s="436">
        <v>-0.49105085813894211</v>
      </c>
    </row>
    <row r="999" spans="1:3" x14ac:dyDescent="0.25">
      <c r="A999" s="437">
        <v>45463</v>
      </c>
      <c r="B999" s="435">
        <v>-0.252595666508105</v>
      </c>
      <c r="C999" s="436">
        <v>-0.1816848648419063</v>
      </c>
    </row>
    <row r="1000" spans="1:3" x14ac:dyDescent="0.25">
      <c r="A1000" s="437">
        <v>45464</v>
      </c>
      <c r="B1000" s="435">
        <v>-0.15621659842468227</v>
      </c>
      <c r="C1000" s="436">
        <v>0.87711101416886661</v>
      </c>
    </row>
    <row r="1001" spans="1:3" x14ac:dyDescent="0.25">
      <c r="A1001" s="437">
        <v>45467</v>
      </c>
      <c r="B1001" s="435">
        <v>-0.30651719607218797</v>
      </c>
      <c r="C1001" s="436">
        <v>-0.50741512399198352</v>
      </c>
    </row>
    <row r="1002" spans="1:3" x14ac:dyDescent="0.25">
      <c r="A1002" s="437">
        <v>45468</v>
      </c>
      <c r="B1002" s="435">
        <v>0.39336474622192324</v>
      </c>
      <c r="C1002" s="436">
        <v>0.69438231169194531</v>
      </c>
    </row>
    <row r="1003" spans="1:3" x14ac:dyDescent="0.25">
      <c r="A1003" s="437">
        <v>45469</v>
      </c>
      <c r="B1003" s="435">
        <v>0.15724132887205775</v>
      </c>
      <c r="C1003" s="436">
        <v>0.23002064925191745</v>
      </c>
    </row>
    <row r="1004" spans="1:3" x14ac:dyDescent="0.25">
      <c r="A1004" s="437">
        <v>45470</v>
      </c>
      <c r="B1004" s="435">
        <v>9.0728198762304077E-2</v>
      </c>
      <c r="C1004" s="436">
        <v>0.11430129022822477</v>
      </c>
    </row>
    <row r="1005" spans="1:3" x14ac:dyDescent="0.25">
      <c r="A1005" s="437">
        <v>45471</v>
      </c>
      <c r="B1005" s="435">
        <v>-0.40836277351095918</v>
      </c>
      <c r="C1005" s="436">
        <v>-1.3411583243521017</v>
      </c>
    </row>
    <row r="1006" spans="1:3" x14ac:dyDescent="0.25">
      <c r="A1006" s="437">
        <v>45474</v>
      </c>
      <c r="B1006" s="435">
        <v>0.26755889592124837</v>
      </c>
      <c r="C1006" s="436">
        <v>2.1498639416982441</v>
      </c>
    </row>
    <row r="1007" spans="1:3" x14ac:dyDescent="0.25">
      <c r="A1007" s="437">
        <v>45475</v>
      </c>
      <c r="B1007" s="435">
        <v>0.61953319488812186</v>
      </c>
      <c r="C1007" s="436">
        <v>0.52001408897717138</v>
      </c>
    </row>
    <row r="1008" spans="1:3" x14ac:dyDescent="0.25">
      <c r="A1008" s="437">
        <v>45476</v>
      </c>
      <c r="B1008" s="435">
        <v>0.50843981041966191</v>
      </c>
      <c r="C1008" s="436">
        <v>0.28611865599290648</v>
      </c>
    </row>
    <row r="1009" spans="1:3" x14ac:dyDescent="0.25">
      <c r="A1009" s="437">
        <v>45478</v>
      </c>
      <c r="B1009" s="435">
        <v>0.54487793072806601</v>
      </c>
      <c r="C1009" s="436">
        <v>1.4353222328056174</v>
      </c>
    </row>
    <row r="1010" spans="1:3" x14ac:dyDescent="0.25">
      <c r="A1010" s="437">
        <v>45481</v>
      </c>
      <c r="B1010" s="435">
        <v>0.10166708878268506</v>
      </c>
      <c r="C1010" s="436">
        <v>-0.32061842023406584</v>
      </c>
    </row>
    <row r="1011" spans="1:3" x14ac:dyDescent="0.25">
      <c r="A1011" s="437">
        <v>45482</v>
      </c>
      <c r="B1011" s="435">
        <v>7.4109297756070946E-2</v>
      </c>
      <c r="C1011" s="436">
        <v>-1.4753240956808489</v>
      </c>
    </row>
    <row r="1012" spans="1:3" x14ac:dyDescent="0.25">
      <c r="A1012" s="437">
        <v>45483</v>
      </c>
      <c r="B1012" s="435">
        <v>1.0208033738690168</v>
      </c>
      <c r="C1012" s="436">
        <v>1.4218538209048524</v>
      </c>
    </row>
    <row r="1013" spans="1:3" x14ac:dyDescent="0.25">
      <c r="A1013" s="437">
        <v>45484</v>
      </c>
      <c r="B1013" s="435">
        <v>-0.87630082837673817</v>
      </c>
      <c r="C1013" s="436">
        <v>-2.5155092225201039</v>
      </c>
    </row>
    <row r="1014" spans="1:3" x14ac:dyDescent="0.25">
      <c r="A1014" s="437">
        <v>45485</v>
      </c>
      <c r="B1014" s="435">
        <v>0.55170166208855886</v>
      </c>
      <c r="C1014" s="436">
        <v>-0.29121928076747672</v>
      </c>
    </row>
    <row r="1015" spans="1:3" x14ac:dyDescent="0.25">
      <c r="A1015" s="437">
        <v>45488</v>
      </c>
      <c r="B1015" s="435">
        <v>0.28261818052302867</v>
      </c>
      <c r="C1015" s="436">
        <v>5.2098635398049542E-2</v>
      </c>
    </row>
    <row r="1016" spans="1:3" x14ac:dyDescent="0.25">
      <c r="A1016" s="437">
        <v>45489</v>
      </c>
      <c r="B1016" s="435">
        <v>0.63893792108991587</v>
      </c>
      <c r="C1016" s="436">
        <v>-1.0163602009043551</v>
      </c>
    </row>
    <row r="1017" spans="1:3" x14ac:dyDescent="0.25">
      <c r="A1017" s="437">
        <v>45490</v>
      </c>
      <c r="B1017" s="435">
        <v>-1.3927512704686509</v>
      </c>
      <c r="C1017" s="436">
        <v>-1.373057106874729</v>
      </c>
    </row>
    <row r="1018" spans="1:3" x14ac:dyDescent="0.25">
      <c r="A1018" s="437">
        <v>45491</v>
      </c>
      <c r="B1018" s="435">
        <v>-0.78163725088444702</v>
      </c>
      <c r="C1018" s="436">
        <v>-0.74852593752814878</v>
      </c>
    </row>
    <row r="1019" spans="1:3" x14ac:dyDescent="0.25">
      <c r="A1019" s="437">
        <v>45492</v>
      </c>
      <c r="B1019" s="435">
        <v>-0.71402935113326949</v>
      </c>
      <c r="C1019" s="436">
        <v>-0.77858885641948028</v>
      </c>
    </row>
    <row r="1020" spans="1:3" x14ac:dyDescent="0.25">
      <c r="A1020" s="437">
        <v>45495</v>
      </c>
      <c r="B1020" s="435">
        <v>1.0792007266121681</v>
      </c>
      <c r="C1020" s="436">
        <v>1.2954643156332835</v>
      </c>
    </row>
    <row r="1021" spans="1:3" x14ac:dyDescent="0.25">
      <c r="A1021" s="437">
        <v>45496</v>
      </c>
      <c r="B1021" s="435">
        <v>-0.15581166736455568</v>
      </c>
      <c r="C1021" s="436">
        <v>0.39291054575694312</v>
      </c>
    </row>
    <row r="1022" spans="1:3" x14ac:dyDescent="0.25">
      <c r="A1022" s="437">
        <v>45497</v>
      </c>
      <c r="B1022" s="435">
        <v>-2.3149031452155731</v>
      </c>
      <c r="C1022" s="436">
        <v>-3.6237809002745105</v>
      </c>
    </row>
    <row r="1023" spans="1:3" x14ac:dyDescent="0.25">
      <c r="A1023" s="437">
        <v>45498</v>
      </c>
      <c r="B1023" s="435">
        <v>-0.51426813066943033</v>
      </c>
      <c r="C1023" s="436">
        <v>-2.4864231398664929</v>
      </c>
    </row>
    <row r="1024" spans="1:3" x14ac:dyDescent="0.25">
      <c r="A1024" s="437">
        <v>45499</v>
      </c>
      <c r="B1024" s="435">
        <v>1.1090490848678163</v>
      </c>
      <c r="C1024" s="436">
        <v>1.6036682357834875</v>
      </c>
    </row>
    <row r="1025" spans="1:3" x14ac:dyDescent="0.25">
      <c r="A1025" s="437">
        <v>45502</v>
      </c>
      <c r="B1025" s="435">
        <v>8.1332087706757511E-2</v>
      </c>
      <c r="C1025" s="436">
        <v>0.30501649017442911</v>
      </c>
    </row>
    <row r="1026" spans="1:3" x14ac:dyDescent="0.25">
      <c r="A1026" s="437">
        <v>45503</v>
      </c>
      <c r="B1026" s="435">
        <v>-0.49601540393225568</v>
      </c>
      <c r="C1026" s="436">
        <v>-0.93113572792821631</v>
      </c>
    </row>
    <row r="1027" spans="1:3" x14ac:dyDescent="0.25">
      <c r="A1027" s="437">
        <v>45504</v>
      </c>
      <c r="B1027" s="435">
        <v>1.5793423637527608</v>
      </c>
      <c r="C1027" s="436">
        <v>-1.1188842380412429</v>
      </c>
    </row>
    <row r="1028" spans="1:3" x14ac:dyDescent="0.25">
      <c r="A1028" s="437">
        <v>45505</v>
      </c>
      <c r="B1028" s="435">
        <v>-1.3693569708273707</v>
      </c>
      <c r="C1028" s="436">
        <v>-0.33470754923283375</v>
      </c>
    </row>
    <row r="1029" spans="1:3" x14ac:dyDescent="0.25">
      <c r="A1029" s="437">
        <v>45506</v>
      </c>
      <c r="B1029" s="435">
        <v>-1.8381839946536218</v>
      </c>
      <c r="C1029" s="436">
        <v>-2.1049000119848529</v>
      </c>
    </row>
    <row r="1030" spans="1:3" x14ac:dyDescent="0.25">
      <c r="A1030" s="437">
        <v>45509</v>
      </c>
      <c r="B1030" s="435">
        <v>-2.9968802370122183</v>
      </c>
      <c r="C1030" s="436">
        <v>-3.3039849192314326</v>
      </c>
    </row>
    <row r="1031" spans="1:3" x14ac:dyDescent="0.25">
      <c r="A1031" s="437">
        <v>45510</v>
      </c>
      <c r="B1031" s="435">
        <v>1.0354142524675409</v>
      </c>
      <c r="C1031" s="436">
        <v>1.0903830488981361</v>
      </c>
    </row>
    <row r="1032" spans="1:3" x14ac:dyDescent="0.25">
      <c r="A1032" s="437">
        <v>45511</v>
      </c>
      <c r="B1032" s="435">
        <v>-0.77346885418594458</v>
      </c>
      <c r="C1032" s="436">
        <v>-0.33358591484018357</v>
      </c>
    </row>
    <row r="1033" spans="1:3" x14ac:dyDescent="0.25">
      <c r="A1033" s="437">
        <v>45512</v>
      </c>
      <c r="B1033" s="435">
        <v>2.3042600250024119</v>
      </c>
      <c r="C1033" s="436">
        <v>1.0308988742925707</v>
      </c>
    </row>
    <row r="1034" spans="1:3" x14ac:dyDescent="0.25">
      <c r="A1034" s="437">
        <v>45513</v>
      </c>
      <c r="B1034" s="435">
        <v>0.467165854217924</v>
      </c>
      <c r="C1034" s="436">
        <v>0.78863560392890431</v>
      </c>
    </row>
    <row r="1035" spans="1:3" x14ac:dyDescent="0.25">
      <c r="A1035" s="437">
        <v>45516</v>
      </c>
      <c r="B1035" s="435">
        <v>4.3037633603872812E-3</v>
      </c>
      <c r="C1035" s="436">
        <v>0.15627391788658901</v>
      </c>
    </row>
    <row r="1036" spans="1:3" x14ac:dyDescent="0.25">
      <c r="A1036" s="437">
        <v>45517</v>
      </c>
      <c r="B1036" s="435">
        <v>1.6847572875482508</v>
      </c>
      <c r="C1036" s="436">
        <v>1.7315709558264141</v>
      </c>
    </row>
    <row r="1037" spans="1:3" x14ac:dyDescent="0.25">
      <c r="A1037" s="437">
        <v>45518</v>
      </c>
      <c r="B1037" s="435">
        <v>0.38237680860733775</v>
      </c>
      <c r="C1037" s="436">
        <v>0.65008311421503362</v>
      </c>
    </row>
    <row r="1038" spans="1:3" x14ac:dyDescent="0.25">
      <c r="A1038" s="437">
        <v>45519</v>
      </c>
      <c r="B1038" s="435">
        <v>1.6133201104998749</v>
      </c>
      <c r="C1038" s="436">
        <v>0.96203923860549501</v>
      </c>
    </row>
    <row r="1039" spans="1:3" x14ac:dyDescent="0.25">
      <c r="A1039" s="437">
        <v>45520</v>
      </c>
      <c r="B1039" s="435">
        <v>0.19898181923141683</v>
      </c>
      <c r="C1039" s="436">
        <v>-0.64633220817525427</v>
      </c>
    </row>
    <row r="1040" spans="1:3" x14ac:dyDescent="0.25">
      <c r="A1040" s="437">
        <v>45523</v>
      </c>
      <c r="B1040" s="435">
        <v>0.97222847369131737</v>
      </c>
      <c r="C1040" s="436">
        <v>0.69293473431490982</v>
      </c>
    </row>
    <row r="1041" spans="1:3" x14ac:dyDescent="0.25">
      <c r="A1041" s="437">
        <v>45524</v>
      </c>
      <c r="B1041" s="435">
        <v>-0.19845762938528258</v>
      </c>
      <c r="C1041" s="436">
        <v>0.737442890839902</v>
      </c>
    </row>
    <row r="1042" spans="1:3" x14ac:dyDescent="0.25">
      <c r="A1042" s="437">
        <v>45525</v>
      </c>
      <c r="B1042" s="435">
        <v>0.42396804070665756</v>
      </c>
      <c r="C1042" s="436">
        <v>-0.19366088009493529</v>
      </c>
    </row>
    <row r="1043" spans="1:3" x14ac:dyDescent="0.25">
      <c r="A1043" s="437">
        <v>45526</v>
      </c>
      <c r="B1043" s="435">
        <v>-0.89328126528905838</v>
      </c>
      <c r="C1043" s="436">
        <v>-2.0635809676540471</v>
      </c>
    </row>
    <row r="1044" spans="1:3" x14ac:dyDescent="0.25">
      <c r="A1044" s="437">
        <v>45527</v>
      </c>
      <c r="B1044" s="435">
        <v>1.1483420217425528</v>
      </c>
      <c r="C1044" s="436">
        <v>0.26010477338673704</v>
      </c>
    </row>
    <row r="1045" spans="1:3" x14ac:dyDescent="0.25">
      <c r="A1045" s="437">
        <v>45530</v>
      </c>
      <c r="B1045" s="435">
        <v>-0.31537231503155549</v>
      </c>
      <c r="C1045" s="436">
        <v>-0.83007017892480728</v>
      </c>
    </row>
    <row r="1046" spans="1:3" x14ac:dyDescent="0.25">
      <c r="A1046" s="437">
        <v>45531</v>
      </c>
      <c r="B1046" s="435">
        <v>0.15952029967027789</v>
      </c>
      <c r="C1046" s="436">
        <v>4.6346789152019771E-2</v>
      </c>
    </row>
    <row r="1047" spans="1:3" x14ac:dyDescent="0.25">
      <c r="A1047" s="437">
        <v>45532</v>
      </c>
      <c r="B1047" s="435">
        <v>-0.59760389633474154</v>
      </c>
      <c r="C1047" s="436">
        <v>-0.8212088612305074</v>
      </c>
    </row>
    <row r="1048" spans="1:3" x14ac:dyDescent="0.25">
      <c r="A1048" s="437">
        <v>45533</v>
      </c>
      <c r="B1048" s="435">
        <v>-3.9340650694408025E-3</v>
      </c>
      <c r="C1048" s="436">
        <v>0.57543330812859506</v>
      </c>
    </row>
  </sheetData>
  <mergeCells count="2">
    <mergeCell ref="L2:S2"/>
    <mergeCell ref="L3:S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E9F69-BF1A-492A-AF7F-4EE2CF88489F}">
  <sheetPr>
    <tabColor theme="9" tint="0.39997558519241921"/>
  </sheetPr>
  <dimension ref="B1:N42"/>
  <sheetViews>
    <sheetView showGridLines="0" workbookViewId="0">
      <selection activeCell="L8" sqref="L8"/>
    </sheetView>
  </sheetViews>
  <sheetFormatPr defaultColWidth="8.7109375" defaultRowHeight="15" x14ac:dyDescent="0.25"/>
  <cols>
    <col min="1" max="1" width="2.7109375" style="2" customWidth="1"/>
    <col min="2" max="2" width="60.42578125" style="2" bestFit="1" customWidth="1"/>
    <col min="3" max="11" width="11.7109375" style="2" customWidth="1"/>
    <col min="12" max="12" width="8.7109375" style="2"/>
    <col min="13" max="13" width="13.42578125" style="2" bestFit="1" customWidth="1"/>
    <col min="14" max="16384" width="8.7109375" style="2"/>
  </cols>
  <sheetData>
    <row r="1" spans="2:14" ht="18.75" x14ac:dyDescent="0.3">
      <c r="B1" s="285" t="str">
        <f>" Valuation Analysis " &amp; 'Summary Stock Performance'!C6</f>
        <v xml:space="preserve"> Valuation Analysis MICROSOFT CORP</v>
      </c>
    </row>
    <row r="2" spans="2:14" x14ac:dyDescent="0.25">
      <c r="B2" s="5" t="s">
        <v>4</v>
      </c>
    </row>
    <row r="3" spans="2:14" ht="18" thickBot="1" x14ac:dyDescent="0.45">
      <c r="B3" s="407"/>
      <c r="C3" s="408"/>
      <c r="D3" s="409" t="s">
        <v>48</v>
      </c>
      <c r="E3" s="410"/>
      <c r="F3" s="410"/>
      <c r="G3" s="286" t="s">
        <v>206</v>
      </c>
      <c r="H3" s="287"/>
      <c r="I3" s="287"/>
      <c r="J3" s="287"/>
      <c r="K3" s="288"/>
      <c r="M3" s="282" t="s">
        <v>205</v>
      </c>
      <c r="N3" s="289">
        <v>1</v>
      </c>
    </row>
    <row r="4" spans="2:14" ht="15.75" thickBot="1" x14ac:dyDescent="0.3">
      <c r="B4" s="411" t="s">
        <v>207</v>
      </c>
      <c r="C4" s="412">
        <v>2021</v>
      </c>
      <c r="D4" s="413">
        <v>44926</v>
      </c>
      <c r="E4" s="414">
        <v>45291</v>
      </c>
      <c r="F4" s="414">
        <v>45657</v>
      </c>
      <c r="G4" s="290">
        <v>46022</v>
      </c>
      <c r="H4" s="290">
        <v>46387</v>
      </c>
      <c r="I4" s="290">
        <v>46752</v>
      </c>
      <c r="J4" s="290">
        <v>47118</v>
      </c>
      <c r="K4" s="291">
        <v>47483</v>
      </c>
      <c r="M4" s="2" t="s">
        <v>40</v>
      </c>
      <c r="N4" s="284">
        <v>1</v>
      </c>
    </row>
    <row r="5" spans="2:14" x14ac:dyDescent="0.25">
      <c r="B5" s="292" t="s">
        <v>315</v>
      </c>
      <c r="C5" s="417">
        <v>53915</v>
      </c>
      <c r="D5" s="417">
        <v>63364</v>
      </c>
      <c r="E5" s="417">
        <v>69274</v>
      </c>
      <c r="F5" s="417">
        <v>77728</v>
      </c>
      <c r="G5" s="426">
        <f>G21</f>
        <v>86278.080000000002</v>
      </c>
      <c r="H5" s="426">
        <f t="shared" ref="H5:K5" si="0">H21</f>
        <v>94905.888000000006</v>
      </c>
      <c r="I5" s="426">
        <f t="shared" si="0"/>
        <v>103447.41792000002</v>
      </c>
      <c r="J5" s="426">
        <f t="shared" si="0"/>
        <v>111723.21135360003</v>
      </c>
      <c r="K5" s="430">
        <f t="shared" si="0"/>
        <v>119543.83614835203</v>
      </c>
      <c r="M5" s="2" t="s">
        <v>41</v>
      </c>
      <c r="N5" s="284">
        <v>2</v>
      </c>
    </row>
    <row r="6" spans="2:14" x14ac:dyDescent="0.25">
      <c r="B6" s="292" t="s">
        <v>316</v>
      </c>
      <c r="C6" s="417">
        <v>59728</v>
      </c>
      <c r="D6" s="417">
        <v>74965</v>
      </c>
      <c r="E6" s="417">
        <v>87907</v>
      </c>
      <c r="F6" s="417">
        <v>105362</v>
      </c>
      <c r="G6" s="426">
        <f>G22</f>
        <v>126434.4</v>
      </c>
      <c r="H6" s="426">
        <f t="shared" ref="H6:K7" si="1">H22</f>
        <v>149192.59199999998</v>
      </c>
      <c r="I6" s="426">
        <f t="shared" si="1"/>
        <v>173063.40672</v>
      </c>
      <c r="J6" s="426">
        <f t="shared" si="1"/>
        <v>197292.28366080002</v>
      </c>
      <c r="K6" s="427">
        <f t="shared" si="1"/>
        <v>220967.35770009604</v>
      </c>
      <c r="M6" s="2" t="s">
        <v>43</v>
      </c>
      <c r="N6" s="284">
        <v>3</v>
      </c>
    </row>
    <row r="7" spans="2:14" x14ac:dyDescent="0.25">
      <c r="B7" s="292" t="s">
        <v>317</v>
      </c>
      <c r="C7" s="417">
        <v>54445</v>
      </c>
      <c r="D7" s="417">
        <v>59941</v>
      </c>
      <c r="E7" s="417">
        <v>54734</v>
      </c>
      <c r="F7" s="417">
        <v>62032</v>
      </c>
      <c r="G7" s="426">
        <f>G23</f>
        <v>74438.399999999994</v>
      </c>
      <c r="H7" s="426">
        <f t="shared" si="1"/>
        <v>87837.311999999991</v>
      </c>
      <c r="I7" s="426">
        <f t="shared" si="1"/>
        <v>101891.28192000001</v>
      </c>
      <c r="J7" s="426">
        <f t="shared" si="1"/>
        <v>116156.06138880002</v>
      </c>
      <c r="K7" s="427">
        <f t="shared" si="1"/>
        <v>130094.78875545604</v>
      </c>
    </row>
    <row r="8" spans="2:14" ht="15.75" thickBot="1" x14ac:dyDescent="0.3">
      <c r="B8" s="293" t="s">
        <v>54</v>
      </c>
      <c r="C8" s="294">
        <f>SUM(C4:C7)</f>
        <v>170109</v>
      </c>
      <c r="D8" s="295">
        <f t="shared" ref="D8:K8" si="2">SUM(D5:D7)</f>
        <v>198270</v>
      </c>
      <c r="E8" s="295">
        <f t="shared" si="2"/>
        <v>211915</v>
      </c>
      <c r="F8" s="295">
        <f t="shared" si="2"/>
        <v>245122</v>
      </c>
      <c r="G8" s="428">
        <f t="shared" si="2"/>
        <v>287150.88</v>
      </c>
      <c r="H8" s="428">
        <f t="shared" si="2"/>
        <v>331935.79199999996</v>
      </c>
      <c r="I8" s="428">
        <f t="shared" si="2"/>
        <v>378402.10655999999</v>
      </c>
      <c r="J8" s="428">
        <f t="shared" si="2"/>
        <v>425171.55640320008</v>
      </c>
      <c r="K8" s="429">
        <f t="shared" si="2"/>
        <v>470605.98260390409</v>
      </c>
    </row>
    <row r="9" spans="2:14" ht="15.75" thickTop="1" x14ac:dyDescent="0.25"/>
    <row r="11" spans="2:14" ht="17.25" x14ac:dyDescent="0.4">
      <c r="B11" s="407"/>
      <c r="C11" s="550" t="s">
        <v>48</v>
      </c>
      <c r="D11" s="550"/>
      <c r="E11" s="550"/>
      <c r="F11" s="550"/>
      <c r="G11" s="286" t="s">
        <v>206</v>
      </c>
      <c r="H11" s="287"/>
      <c r="I11" s="287"/>
      <c r="J11" s="287"/>
      <c r="K11" s="288"/>
    </row>
    <row r="12" spans="2:14" ht="15.75" thickBot="1" x14ac:dyDescent="0.3">
      <c r="B12" s="411" t="s">
        <v>208</v>
      </c>
      <c r="C12" s="412">
        <v>2021</v>
      </c>
      <c r="D12" s="413">
        <v>44926</v>
      </c>
      <c r="E12" s="414">
        <v>45291</v>
      </c>
      <c r="F12" s="414">
        <v>45657</v>
      </c>
      <c r="G12" s="290">
        <v>46022</v>
      </c>
      <c r="H12" s="290">
        <v>46387</v>
      </c>
      <c r="I12" s="290">
        <v>46752</v>
      </c>
      <c r="J12" s="290">
        <v>47118</v>
      </c>
      <c r="K12" s="291">
        <v>47483</v>
      </c>
    </row>
    <row r="13" spans="2:14" x14ac:dyDescent="0.25">
      <c r="B13" s="292" t="s">
        <v>315</v>
      </c>
      <c r="C13" s="296"/>
      <c r="D13" s="297">
        <f t="shared" ref="D13:K16" si="3">D5/C5-1</f>
        <v>0.17525734953167027</v>
      </c>
      <c r="E13" s="297">
        <f t="shared" si="3"/>
        <v>9.3270626854365268E-2</v>
      </c>
      <c r="F13" s="297">
        <f t="shared" si="3"/>
        <v>0.12203712792678356</v>
      </c>
      <c r="G13" s="298">
        <f t="shared" si="3"/>
        <v>0.1100000000000001</v>
      </c>
      <c r="H13" s="298">
        <f t="shared" si="3"/>
        <v>0.10000000000000009</v>
      </c>
      <c r="I13" s="298">
        <f t="shared" si="3"/>
        <v>9.000000000000008E-2</v>
      </c>
      <c r="J13" s="298">
        <f t="shared" si="3"/>
        <v>8.0000000000000071E-2</v>
      </c>
      <c r="K13" s="299">
        <f t="shared" si="3"/>
        <v>7.0000000000000062E-2</v>
      </c>
    </row>
    <row r="14" spans="2:14" x14ac:dyDescent="0.25">
      <c r="B14" s="292" t="s">
        <v>316</v>
      </c>
      <c r="C14" s="296"/>
      <c r="D14" s="297">
        <f t="shared" si="3"/>
        <v>0.25510648272167158</v>
      </c>
      <c r="E14" s="297">
        <f t="shared" si="3"/>
        <v>0.17264056559727869</v>
      </c>
      <c r="F14" s="297">
        <f t="shared" si="3"/>
        <v>0.19856211678250868</v>
      </c>
      <c r="G14" s="298">
        <f t="shared" si="3"/>
        <v>0.19999999999999996</v>
      </c>
      <c r="H14" s="298">
        <f t="shared" si="3"/>
        <v>0.17999999999999994</v>
      </c>
      <c r="I14" s="298">
        <f t="shared" si="3"/>
        <v>0.16000000000000014</v>
      </c>
      <c r="J14" s="298">
        <f t="shared" si="3"/>
        <v>0.14000000000000012</v>
      </c>
      <c r="K14" s="299">
        <f t="shared" si="3"/>
        <v>0.12000000000000011</v>
      </c>
    </row>
    <row r="15" spans="2:14" x14ac:dyDescent="0.25">
      <c r="B15" s="292" t="s">
        <v>317</v>
      </c>
      <c r="C15" s="296"/>
      <c r="D15" s="297">
        <f t="shared" si="3"/>
        <v>0.10094590871521714</v>
      </c>
      <c r="E15" s="297">
        <f t="shared" si="3"/>
        <v>-8.6868754275037152E-2</v>
      </c>
      <c r="F15" s="297">
        <f t="shared" si="3"/>
        <v>0.133335769357255</v>
      </c>
      <c r="G15" s="298">
        <f t="shared" si="3"/>
        <v>0.19999999999999996</v>
      </c>
      <c r="H15" s="298">
        <f t="shared" si="3"/>
        <v>0.17999999999999994</v>
      </c>
      <c r="I15" s="298">
        <f t="shared" si="3"/>
        <v>0.16000000000000014</v>
      </c>
      <c r="J15" s="298">
        <f t="shared" si="3"/>
        <v>0.14000000000000012</v>
      </c>
      <c r="K15" s="299">
        <f t="shared" si="3"/>
        <v>0.12000000000000011</v>
      </c>
    </row>
    <row r="16" spans="2:14" x14ac:dyDescent="0.25">
      <c r="B16" s="293" t="s">
        <v>209</v>
      </c>
      <c r="C16" s="300"/>
      <c r="D16" s="301">
        <f t="shared" si="3"/>
        <v>0.16554679646579551</v>
      </c>
      <c r="E16" s="301">
        <f t="shared" si="3"/>
        <v>6.8820295556564215E-2</v>
      </c>
      <c r="F16" s="301">
        <f t="shared" si="3"/>
        <v>0.1566996201307127</v>
      </c>
      <c r="G16" s="302">
        <f t="shared" si="3"/>
        <v>0.17146106836595654</v>
      </c>
      <c r="H16" s="302">
        <f t="shared" si="3"/>
        <v>0.15596299757117227</v>
      </c>
      <c r="I16" s="302">
        <f t="shared" si="3"/>
        <v>0.13998585172158839</v>
      </c>
      <c r="J16" s="302">
        <f t="shared" si="3"/>
        <v>0.12359722377968385</v>
      </c>
      <c r="K16" s="303">
        <f t="shared" si="3"/>
        <v>0.10686139633860514</v>
      </c>
    </row>
    <row r="17" spans="2:14" x14ac:dyDescent="0.25">
      <c r="E17" s="304"/>
      <c r="F17" s="304"/>
      <c r="G17" s="305"/>
      <c r="H17" s="305"/>
      <c r="I17" s="305"/>
      <c r="J17" s="305"/>
      <c r="K17" s="305"/>
    </row>
    <row r="18" spans="2:14" x14ac:dyDescent="0.25">
      <c r="B18" s="6" t="s">
        <v>210</v>
      </c>
    </row>
    <row r="19" spans="2:14" ht="17.25" x14ac:dyDescent="0.4">
      <c r="B19" s="416"/>
      <c r="C19" s="551" t="s">
        <v>48</v>
      </c>
      <c r="D19" s="551"/>
      <c r="E19" s="551"/>
      <c r="F19" s="551"/>
      <c r="G19" s="306" t="s">
        <v>206</v>
      </c>
      <c r="H19" s="307"/>
      <c r="I19" s="307"/>
      <c r="J19" s="307"/>
      <c r="K19" s="308"/>
    </row>
    <row r="20" spans="2:14" ht="15.75" thickBot="1" x14ac:dyDescent="0.3">
      <c r="B20" s="411"/>
      <c r="C20" s="412">
        <v>2021</v>
      </c>
      <c r="D20" s="413">
        <v>44926</v>
      </c>
      <c r="E20" s="414">
        <v>45291</v>
      </c>
      <c r="F20" s="414">
        <v>45657</v>
      </c>
      <c r="G20" s="290">
        <v>46022</v>
      </c>
      <c r="H20" s="290">
        <v>46387</v>
      </c>
      <c r="I20" s="290">
        <v>46752</v>
      </c>
      <c r="J20" s="290">
        <v>47118</v>
      </c>
      <c r="K20" s="309">
        <v>47483</v>
      </c>
    </row>
    <row r="21" spans="2:14" x14ac:dyDescent="0.25">
      <c r="B21" s="292" t="s">
        <v>315</v>
      </c>
      <c r="C21" s="241">
        <f t="shared" ref="C21:F24" si="4">C5</f>
        <v>53915</v>
      </c>
      <c r="D21" s="241">
        <f t="shared" si="4"/>
        <v>63364</v>
      </c>
      <c r="E21" s="241">
        <f t="shared" si="4"/>
        <v>69274</v>
      </c>
      <c r="F21" s="241">
        <f t="shared" si="4"/>
        <v>77728</v>
      </c>
      <c r="G21" s="174">
        <f>F21*(1+G29)</f>
        <v>86278.080000000002</v>
      </c>
      <c r="H21" s="174">
        <f>G21*(1+H29)</f>
        <v>94905.888000000006</v>
      </c>
      <c r="I21" s="174">
        <f>H21*(1+I29)</f>
        <v>103447.41792000002</v>
      </c>
      <c r="J21" s="174">
        <f>I21*(1+J29)</f>
        <v>111723.21135360003</v>
      </c>
      <c r="K21" s="174">
        <f>J21*(1+K29)</f>
        <v>119543.83614835203</v>
      </c>
      <c r="M21" s="6"/>
    </row>
    <row r="22" spans="2:14" x14ac:dyDescent="0.25">
      <c r="B22" s="292" t="s">
        <v>316</v>
      </c>
      <c r="C22" s="241">
        <f t="shared" si="4"/>
        <v>59728</v>
      </c>
      <c r="D22" s="241">
        <f t="shared" si="4"/>
        <v>74965</v>
      </c>
      <c r="E22" s="241">
        <f t="shared" si="4"/>
        <v>87907</v>
      </c>
      <c r="F22" s="241">
        <f t="shared" si="4"/>
        <v>105362</v>
      </c>
      <c r="G22" s="174">
        <f>F22*((1+G34))</f>
        <v>126434.4</v>
      </c>
      <c r="H22" s="174">
        <f>G22*((1+H34))</f>
        <v>149192.59199999998</v>
      </c>
      <c r="I22" s="174">
        <f>H22*((1+I34))</f>
        <v>173063.40672</v>
      </c>
      <c r="J22" s="174">
        <f>I22*((1+J34))</f>
        <v>197292.28366080002</v>
      </c>
      <c r="K22" s="174">
        <f>J22*((1+K34))</f>
        <v>220967.35770009604</v>
      </c>
      <c r="M22" s="6"/>
    </row>
    <row r="23" spans="2:14" x14ac:dyDescent="0.25">
      <c r="B23" s="292" t="s">
        <v>317</v>
      </c>
      <c r="C23" s="241">
        <f t="shared" si="4"/>
        <v>54445</v>
      </c>
      <c r="D23" s="241">
        <f t="shared" si="4"/>
        <v>59941</v>
      </c>
      <c r="E23" s="241">
        <f t="shared" si="4"/>
        <v>54734</v>
      </c>
      <c r="F23" s="241">
        <f t="shared" si="4"/>
        <v>62032</v>
      </c>
      <c r="G23" s="174">
        <f>F23*(1+G39)</f>
        <v>74438.399999999994</v>
      </c>
      <c r="H23" s="174">
        <f>G23*(1+H39)</f>
        <v>87837.311999999991</v>
      </c>
      <c r="I23" s="174">
        <f>H23*(1+I39)</f>
        <v>101891.28192000001</v>
      </c>
      <c r="J23" s="174">
        <f>I23*(1+J39)</f>
        <v>116156.06138880002</v>
      </c>
      <c r="K23" s="174">
        <f>J23*(1+K39)</f>
        <v>130094.78875545604</v>
      </c>
    </row>
    <row r="24" spans="2:14" x14ac:dyDescent="0.25">
      <c r="B24" s="293" t="s">
        <v>54</v>
      </c>
      <c r="C24" s="266">
        <f t="shared" si="4"/>
        <v>170109</v>
      </c>
      <c r="D24" s="266">
        <f t="shared" si="4"/>
        <v>198270</v>
      </c>
      <c r="E24" s="266">
        <f t="shared" si="4"/>
        <v>211915</v>
      </c>
      <c r="F24" s="266">
        <f t="shared" si="4"/>
        <v>245122</v>
      </c>
      <c r="G24" s="193">
        <f>SUM(G21:G23)</f>
        <v>287150.88</v>
      </c>
      <c r="H24" s="193">
        <f>SUM(H21:H23)</f>
        <v>331935.79199999996</v>
      </c>
      <c r="I24" s="193">
        <f>SUM(I21:I23)</f>
        <v>378402.10655999999</v>
      </c>
      <c r="J24" s="193">
        <f>SUM(J21:J23)</f>
        <v>425171.55640320008</v>
      </c>
      <c r="K24" s="194">
        <f>SUM(K21:K23)</f>
        <v>470605.98260390409</v>
      </c>
    </row>
    <row r="25" spans="2:14" x14ac:dyDescent="0.25">
      <c r="D25" s="304"/>
      <c r="E25" s="304"/>
      <c r="F25" s="304"/>
      <c r="G25" s="305"/>
      <c r="H25" s="305"/>
      <c r="I25" s="305"/>
      <c r="J25" s="305"/>
      <c r="K25" s="305"/>
    </row>
    <row r="26" spans="2:14" ht="17.25" x14ac:dyDescent="0.4">
      <c r="B26" s="310"/>
      <c r="D26" s="311"/>
      <c r="E26" s="312"/>
      <c r="F26" s="312"/>
      <c r="G26" s="313"/>
      <c r="H26" s="314"/>
      <c r="I26" s="314"/>
      <c r="J26" s="314"/>
      <c r="K26" s="314"/>
    </row>
    <row r="27" spans="2:14" ht="15.75" thickBot="1" x14ac:dyDescent="0.3">
      <c r="B27" s="315" t="s">
        <v>211</v>
      </c>
      <c r="C27" s="15"/>
      <c r="D27" s="316"/>
      <c r="E27" s="317"/>
      <c r="F27" s="317"/>
      <c r="G27" s="318"/>
      <c r="H27" s="318"/>
      <c r="I27" s="318"/>
      <c r="J27" s="318"/>
      <c r="K27" s="318"/>
    </row>
    <row r="28" spans="2:14" x14ac:dyDescent="0.25">
      <c r="B28" s="319" t="s">
        <v>315</v>
      </c>
      <c r="C28" s="320"/>
      <c r="D28" s="321"/>
      <c r="E28" s="321"/>
      <c r="F28" s="321"/>
      <c r="G28" s="322"/>
      <c r="H28" s="322"/>
      <c r="I28" s="322"/>
      <c r="J28" s="322"/>
      <c r="K28" s="323"/>
    </row>
    <row r="29" spans="2:14" x14ac:dyDescent="0.25">
      <c r="B29" s="310" t="s">
        <v>212</v>
      </c>
      <c r="D29" s="304"/>
      <c r="E29" s="304"/>
      <c r="F29" s="304"/>
      <c r="G29" s="298">
        <f>CHOOSE($N$3,G30,G31,G32)</f>
        <v>0.11</v>
      </c>
      <c r="H29" s="298">
        <f t="shared" ref="H29:K29" si="5">CHOOSE($N$3,H30,H31,H32)</f>
        <v>0.1</v>
      </c>
      <c r="I29" s="298">
        <f t="shared" si="5"/>
        <v>9.0000000000000011E-2</v>
      </c>
      <c r="J29" s="298">
        <f t="shared" si="5"/>
        <v>8.0000000000000016E-2</v>
      </c>
      <c r="K29" s="298">
        <f t="shared" si="5"/>
        <v>7.0000000000000021E-2</v>
      </c>
    </row>
    <row r="30" spans="2:14" x14ac:dyDescent="0.25">
      <c r="B30" s="310" t="s">
        <v>40</v>
      </c>
      <c r="D30" s="324">
        <f>D5/C5-1</f>
        <v>0.17525734953167027</v>
      </c>
      <c r="E30" s="324">
        <f>E5/D5-1</f>
        <v>9.3270626854365268E-2</v>
      </c>
      <c r="F30" s="324">
        <f>F5/E5-1</f>
        <v>0.12203712792678356</v>
      </c>
      <c r="G30" s="325">
        <v>0.11</v>
      </c>
      <c r="H30" s="326">
        <f>G30-$N$30</f>
        <v>0.1</v>
      </c>
      <c r="I30" s="326">
        <f t="shared" ref="I30:K30" si="6">H30-$N$30</f>
        <v>9.0000000000000011E-2</v>
      </c>
      <c r="J30" s="326">
        <f t="shared" si="6"/>
        <v>8.0000000000000016E-2</v>
      </c>
      <c r="K30" s="326">
        <f t="shared" si="6"/>
        <v>7.0000000000000021E-2</v>
      </c>
      <c r="M30" s="327" t="s">
        <v>213</v>
      </c>
      <c r="N30" s="328">
        <v>0.01</v>
      </c>
    </row>
    <row r="31" spans="2:14" x14ac:dyDescent="0.25">
      <c r="B31" s="310" t="s">
        <v>41</v>
      </c>
      <c r="D31" s="304"/>
      <c r="E31" s="304"/>
      <c r="F31" s="304"/>
      <c r="G31" s="326">
        <f>G30+$N$31</f>
        <v>0.13</v>
      </c>
      <c r="H31" s="326">
        <f t="shared" ref="H31:K31" si="7">H30+$N$31</f>
        <v>0.12000000000000001</v>
      </c>
      <c r="I31" s="326">
        <f t="shared" si="7"/>
        <v>0.11000000000000001</v>
      </c>
      <c r="J31" s="326">
        <f t="shared" si="7"/>
        <v>0.10000000000000002</v>
      </c>
      <c r="K31" s="326">
        <f t="shared" si="7"/>
        <v>9.0000000000000024E-2</v>
      </c>
      <c r="M31" s="2" t="s">
        <v>214</v>
      </c>
      <c r="N31" s="248">
        <v>0.02</v>
      </c>
    </row>
    <row r="32" spans="2:14" ht="15.75" thickBot="1" x14ac:dyDescent="0.3">
      <c r="B32" s="310" t="s">
        <v>43</v>
      </c>
      <c r="D32" s="304"/>
      <c r="E32" s="304"/>
      <c r="F32" s="304"/>
      <c r="G32" s="326">
        <f>G30+$N$32</f>
        <v>0.09</v>
      </c>
      <c r="H32" s="326">
        <f t="shared" ref="H32:K32" si="8">H30+$N$32</f>
        <v>0.08</v>
      </c>
      <c r="I32" s="326">
        <f t="shared" si="8"/>
        <v>7.0000000000000007E-2</v>
      </c>
      <c r="J32" s="326">
        <f t="shared" si="8"/>
        <v>6.0000000000000012E-2</v>
      </c>
      <c r="K32" s="326">
        <f t="shared" si="8"/>
        <v>5.0000000000000017E-2</v>
      </c>
      <c r="M32" s="2" t="s">
        <v>215</v>
      </c>
      <c r="N32" s="248">
        <v>-0.02</v>
      </c>
    </row>
    <row r="33" spans="2:14" x14ac:dyDescent="0.25">
      <c r="B33" s="319" t="s">
        <v>316</v>
      </c>
      <c r="C33" s="320"/>
      <c r="D33" s="321"/>
      <c r="E33" s="321"/>
      <c r="F33" s="321"/>
      <c r="G33" s="322"/>
      <c r="H33" s="322"/>
      <c r="I33" s="322"/>
      <c r="J33" s="322"/>
      <c r="K33" s="323"/>
    </row>
    <row r="34" spans="2:14" x14ac:dyDescent="0.25">
      <c r="B34" s="310" t="s">
        <v>212</v>
      </c>
      <c r="D34" s="304"/>
      <c r="E34" s="304"/>
      <c r="F34" s="304"/>
      <c r="G34" s="298">
        <f>CHOOSE($N$3,G35,G36,G37)</f>
        <v>0.2</v>
      </c>
      <c r="H34" s="298">
        <f t="shared" ref="H34:K34" si="9">CHOOSE($N$3,H35,H36,H37)</f>
        <v>0.18000000000000002</v>
      </c>
      <c r="I34" s="298">
        <f t="shared" si="9"/>
        <v>0.16000000000000003</v>
      </c>
      <c r="J34" s="298">
        <f t="shared" si="9"/>
        <v>0.14000000000000004</v>
      </c>
      <c r="K34" s="298">
        <f t="shared" si="9"/>
        <v>0.12000000000000004</v>
      </c>
    </row>
    <row r="35" spans="2:14" x14ac:dyDescent="0.25">
      <c r="B35" s="310" t="s">
        <v>40</v>
      </c>
      <c r="D35" s="324">
        <f>D14</f>
        <v>0.25510648272167158</v>
      </c>
      <c r="E35" s="324">
        <f>E14</f>
        <v>0.17264056559727869</v>
      </c>
      <c r="F35" s="324">
        <f>F14</f>
        <v>0.19856211678250868</v>
      </c>
      <c r="G35" s="329">
        <v>0.2</v>
      </c>
      <c r="H35" s="298">
        <f>G35-$N$35</f>
        <v>0.18000000000000002</v>
      </c>
      <c r="I35" s="298">
        <f t="shared" ref="I35:K35" si="10">H35-$N$35</f>
        <v>0.16000000000000003</v>
      </c>
      <c r="J35" s="298">
        <f t="shared" si="10"/>
        <v>0.14000000000000004</v>
      </c>
      <c r="K35" s="298">
        <f t="shared" si="10"/>
        <v>0.12000000000000004</v>
      </c>
      <c r="M35" s="327" t="s">
        <v>213</v>
      </c>
      <c r="N35" s="328">
        <v>0.02</v>
      </c>
    </row>
    <row r="36" spans="2:14" x14ac:dyDescent="0.25">
      <c r="B36" s="310" t="s">
        <v>41</v>
      </c>
      <c r="D36" s="304"/>
      <c r="E36" s="304"/>
      <c r="F36" s="304"/>
      <c r="G36" s="298">
        <f>G35+$N$36</f>
        <v>0.25</v>
      </c>
      <c r="H36" s="298">
        <f t="shared" ref="H36:K36" si="11">H35+$N$36</f>
        <v>0.23000000000000004</v>
      </c>
      <c r="I36" s="298">
        <f t="shared" si="11"/>
        <v>0.21000000000000002</v>
      </c>
      <c r="J36" s="298">
        <f t="shared" si="11"/>
        <v>0.19000000000000006</v>
      </c>
      <c r="K36" s="298">
        <f t="shared" si="11"/>
        <v>0.17000000000000004</v>
      </c>
      <c r="M36" s="2" t="s">
        <v>214</v>
      </c>
      <c r="N36" s="248">
        <v>0.05</v>
      </c>
    </row>
    <row r="37" spans="2:14" ht="15.75" thickBot="1" x14ac:dyDescent="0.3">
      <c r="B37" s="310" t="s">
        <v>43</v>
      </c>
      <c r="D37" s="304"/>
      <c r="E37" s="304"/>
      <c r="F37" s="304"/>
      <c r="G37" s="298">
        <f>G35+$N$37</f>
        <v>0.17</v>
      </c>
      <c r="H37" s="298">
        <f t="shared" ref="H37:K37" si="12">H35+$N$37</f>
        <v>0.15000000000000002</v>
      </c>
      <c r="I37" s="298">
        <f t="shared" si="12"/>
        <v>0.13000000000000003</v>
      </c>
      <c r="J37" s="298">
        <f t="shared" si="12"/>
        <v>0.11000000000000004</v>
      </c>
      <c r="K37" s="298">
        <f t="shared" si="12"/>
        <v>9.0000000000000038E-2</v>
      </c>
      <c r="M37" s="2" t="s">
        <v>215</v>
      </c>
      <c r="N37" s="248">
        <v>-0.03</v>
      </c>
    </row>
    <row r="38" spans="2:14" x14ac:dyDescent="0.25">
      <c r="B38" s="319" t="s">
        <v>317</v>
      </c>
      <c r="C38" s="320"/>
      <c r="D38" s="321"/>
      <c r="E38" s="321"/>
      <c r="F38" s="321"/>
      <c r="G38" s="322"/>
      <c r="H38" s="322"/>
      <c r="I38" s="322"/>
      <c r="J38" s="322"/>
      <c r="K38" s="323"/>
    </row>
    <row r="39" spans="2:14" x14ac:dyDescent="0.25">
      <c r="B39" s="310" t="s">
        <v>212</v>
      </c>
      <c r="D39" s="304"/>
      <c r="E39" s="304"/>
      <c r="F39" s="304"/>
      <c r="G39" s="298">
        <f>CHOOSE($N$3,G40,G41,G42)</f>
        <v>0.2</v>
      </c>
      <c r="H39" s="298">
        <f t="shared" ref="H39:K39" si="13">CHOOSE($N$3,H40,H41,H42)</f>
        <v>0.18000000000000002</v>
      </c>
      <c r="I39" s="298">
        <f t="shared" si="13"/>
        <v>0.16000000000000003</v>
      </c>
      <c r="J39" s="298">
        <f t="shared" si="13"/>
        <v>0.14000000000000004</v>
      </c>
      <c r="K39" s="298">
        <f t="shared" si="13"/>
        <v>0.12000000000000004</v>
      </c>
    </row>
    <row r="40" spans="2:14" x14ac:dyDescent="0.25">
      <c r="B40" s="310" t="s">
        <v>40</v>
      </c>
      <c r="D40" s="324">
        <f>D15</f>
        <v>0.10094590871521714</v>
      </c>
      <c r="E40" s="324">
        <f>E15</f>
        <v>-8.6868754275037152E-2</v>
      </c>
      <c r="F40" s="324">
        <f>F15</f>
        <v>0.133335769357255</v>
      </c>
      <c r="G40" s="329">
        <v>0.2</v>
      </c>
      <c r="H40" s="298">
        <f>G40-$N$40</f>
        <v>0.18000000000000002</v>
      </c>
      <c r="I40" s="298">
        <f t="shared" ref="I40:K40" si="14">H40-$N$40</f>
        <v>0.16000000000000003</v>
      </c>
      <c r="J40" s="298">
        <f t="shared" si="14"/>
        <v>0.14000000000000004</v>
      </c>
      <c r="K40" s="298">
        <f t="shared" si="14"/>
        <v>0.12000000000000004</v>
      </c>
      <c r="M40" s="327" t="s">
        <v>213</v>
      </c>
      <c r="N40" s="328">
        <v>0.02</v>
      </c>
    </row>
    <row r="41" spans="2:14" x14ac:dyDescent="0.25">
      <c r="B41" s="310" t="s">
        <v>41</v>
      </c>
      <c r="D41" s="304"/>
      <c r="E41" s="304"/>
      <c r="F41" s="304"/>
      <c r="G41" s="298">
        <f>G40+$N$41</f>
        <v>0.25</v>
      </c>
      <c r="H41" s="298">
        <f t="shared" ref="H41:K41" si="15">H40+$N$41</f>
        <v>0.23000000000000004</v>
      </c>
      <c r="I41" s="298">
        <f t="shared" si="15"/>
        <v>0.21000000000000002</v>
      </c>
      <c r="J41" s="298">
        <f t="shared" si="15"/>
        <v>0.19000000000000006</v>
      </c>
      <c r="K41" s="298">
        <f t="shared" si="15"/>
        <v>0.17000000000000004</v>
      </c>
      <c r="M41" s="2" t="s">
        <v>214</v>
      </c>
      <c r="N41" s="248">
        <v>0.05</v>
      </c>
    </row>
    <row r="42" spans="2:14" x14ac:dyDescent="0.25">
      <c r="B42" s="330" t="s">
        <v>43</v>
      </c>
      <c r="C42" s="27"/>
      <c r="D42" s="331"/>
      <c r="E42" s="331"/>
      <c r="F42" s="331"/>
      <c r="G42" s="418">
        <f>G40+$N$42</f>
        <v>0.22500000000000001</v>
      </c>
      <c r="H42" s="418">
        <f t="shared" ref="H42:K42" si="16">H40+$N$42</f>
        <v>0.20500000000000002</v>
      </c>
      <c r="I42" s="418">
        <f t="shared" si="16"/>
        <v>0.18500000000000003</v>
      </c>
      <c r="J42" s="418">
        <f t="shared" si="16"/>
        <v>0.16500000000000004</v>
      </c>
      <c r="K42" s="418">
        <f t="shared" si="16"/>
        <v>0.14500000000000005</v>
      </c>
      <c r="M42" s="2" t="s">
        <v>215</v>
      </c>
      <c r="N42" s="248">
        <v>2.5000000000000001E-2</v>
      </c>
    </row>
  </sheetData>
  <mergeCells count="2">
    <mergeCell ref="C11:F11"/>
    <mergeCell ref="C19:F19"/>
  </mergeCells>
  <dataValidations disablePrompts="1" count="1">
    <dataValidation type="list" allowBlank="1" showInputMessage="1" showErrorMessage="1" sqref="N3" xr:uid="{B6F4D215-D6D5-4D9F-81D3-163E3E6A726D}">
      <formula1>"1,2,3"</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30B1-E6A4-457A-9E0E-AEC89BC80B6C}">
  <sheetPr>
    <tabColor theme="9" tint="0.39997558519241921"/>
  </sheetPr>
  <dimension ref="B1:N123"/>
  <sheetViews>
    <sheetView showGridLines="0" topLeftCell="A3" zoomScaleNormal="100" workbookViewId="0">
      <selection activeCell="M32" sqref="M32"/>
    </sheetView>
  </sheetViews>
  <sheetFormatPr defaultColWidth="8.7109375" defaultRowHeight="15" x14ac:dyDescent="0.25"/>
  <cols>
    <col min="1" max="1" width="2.7109375" style="2" customWidth="1"/>
    <col min="2" max="2" width="51.140625" style="2" customWidth="1"/>
    <col min="3" max="10" width="11.7109375" style="2" customWidth="1"/>
    <col min="11" max="16384" width="8.7109375" style="2"/>
  </cols>
  <sheetData>
    <row r="1" spans="2:10" ht="18.75" x14ac:dyDescent="0.3">
      <c r="B1" s="285" t="str">
        <f>" Valuation Analysis " &amp; 'Summary Stock Performance'!C6</f>
        <v xml:space="preserve"> Valuation Analysis MICROSOFT CORP</v>
      </c>
    </row>
    <row r="2" spans="2:10" x14ac:dyDescent="0.25">
      <c r="B2" s="5" t="s">
        <v>4</v>
      </c>
    </row>
    <row r="3" spans="2:10" ht="17.25" x14ac:dyDescent="0.4">
      <c r="B3" s="407"/>
      <c r="C3" s="550" t="s">
        <v>48</v>
      </c>
      <c r="D3" s="550"/>
      <c r="E3" s="550"/>
      <c r="F3" s="552" t="s">
        <v>206</v>
      </c>
      <c r="G3" s="552"/>
      <c r="H3" s="552"/>
      <c r="I3" s="552"/>
      <c r="J3" s="553"/>
    </row>
    <row r="4" spans="2:10" ht="15.75" thickBot="1" x14ac:dyDescent="0.3">
      <c r="B4" s="411" t="s">
        <v>226</v>
      </c>
      <c r="C4" s="415">
        <v>44926</v>
      </c>
      <c r="D4" s="151">
        <v>45291</v>
      </c>
      <c r="E4" s="151">
        <v>45657</v>
      </c>
      <c r="F4" s="290">
        <v>46022</v>
      </c>
      <c r="G4" s="290">
        <v>46387</v>
      </c>
      <c r="H4" s="290">
        <v>46752</v>
      </c>
      <c r="I4" s="290">
        <v>47118</v>
      </c>
      <c r="J4" s="291">
        <v>47483</v>
      </c>
    </row>
    <row r="5" spans="2:10" x14ac:dyDescent="0.25">
      <c r="B5" s="319" t="s">
        <v>227</v>
      </c>
      <c r="C5" s="333"/>
      <c r="D5" s="333"/>
      <c r="E5" s="333"/>
      <c r="F5" s="334"/>
      <c r="G5" s="334"/>
      <c r="H5" s="334"/>
      <c r="I5" s="334"/>
      <c r="J5" s="335"/>
    </row>
    <row r="6" spans="2:10" x14ac:dyDescent="0.25">
      <c r="B6" s="310" t="s">
        <v>209</v>
      </c>
      <c r="C6" s="338">
        <f>'Financial Statements'!E9</f>
        <v>198270</v>
      </c>
      <c r="D6" s="338">
        <f>'Financial Statements'!F9</f>
        <v>211915</v>
      </c>
      <c r="E6" s="338">
        <f>'Financial Statements'!G9</f>
        <v>245121</v>
      </c>
      <c r="F6" s="442">
        <f>'Financial Statements'!H9</f>
        <v>287150.88</v>
      </c>
      <c r="G6" s="442">
        <f>'Financial Statements'!I9</f>
        <v>331935.79199999996</v>
      </c>
      <c r="H6" s="442">
        <f>'Financial Statements'!J9</f>
        <v>378402.10655999999</v>
      </c>
      <c r="I6" s="442">
        <f>'Financial Statements'!K9</f>
        <v>425171.55640320008</v>
      </c>
      <c r="J6" s="346">
        <f>'Financial Statements'!L9</f>
        <v>470605.98260390409</v>
      </c>
    </row>
    <row r="7" spans="2:10" x14ac:dyDescent="0.25">
      <c r="B7" s="310" t="s">
        <v>228</v>
      </c>
      <c r="C7" s="338">
        <f>'Financial Statements'!E13</f>
        <v>62650</v>
      </c>
      <c r="D7" s="338">
        <f>'Financial Statements'!F13</f>
        <v>65863</v>
      </c>
      <c r="E7" s="338">
        <f>'Financial Statements'!G9</f>
        <v>245121</v>
      </c>
      <c r="F7" s="442">
        <f>'Financial Statements'!H13</f>
        <v>90280.661399975856</v>
      </c>
      <c r="G7" s="442">
        <f>'Financial Statements'!I13</f>
        <v>98552.227614624091</v>
      </c>
      <c r="H7" s="442">
        <f>'Financial Statements'!J13</f>
        <v>105726.10827151708</v>
      </c>
      <c r="I7" s="442">
        <f>'Financial Statements'!K13</f>
        <v>111353.05949785086</v>
      </c>
      <c r="J7" s="346">
        <f>'Financial Statements'!L13</f>
        <v>115016.79822679865</v>
      </c>
    </row>
    <row r="8" spans="2:10" x14ac:dyDescent="0.25">
      <c r="B8" s="310"/>
      <c r="F8" s="167"/>
      <c r="G8" s="167"/>
      <c r="H8" s="167"/>
      <c r="I8" s="167"/>
      <c r="J8" s="168"/>
    </row>
    <row r="9" spans="2:10" x14ac:dyDescent="0.25">
      <c r="B9" s="23" t="s">
        <v>229</v>
      </c>
      <c r="C9" s="27"/>
      <c r="D9" s="27"/>
      <c r="E9" s="27"/>
      <c r="F9" s="347"/>
      <c r="G9" s="347"/>
      <c r="H9" s="347"/>
      <c r="I9" s="347"/>
      <c r="J9" s="348"/>
    </row>
    <row r="10" spans="2:10" x14ac:dyDescent="0.25">
      <c r="B10" s="310" t="s">
        <v>136</v>
      </c>
      <c r="C10" s="338">
        <f>'Financial Statements'!E45</f>
        <v>90826</v>
      </c>
      <c r="D10" s="338">
        <f>'Financial Statements'!F45</f>
        <v>76558</v>
      </c>
      <c r="E10" s="338">
        <f>'Financial Statements'!G45</f>
        <v>57228</v>
      </c>
      <c r="F10" s="174">
        <f>+F6*F38</f>
        <v>100773.52984226882</v>
      </c>
      <c r="G10" s="174">
        <f>+G6*G38</f>
        <v>116490.47163229703</v>
      </c>
      <c r="H10" s="174">
        <f>+H6*H38</f>
        <v>132797.48952119367</v>
      </c>
      <c r="I10" s="174">
        <f>+I6*I38</f>
        <v>149210.89055092487</v>
      </c>
      <c r="J10" s="175">
        <f>+J6*J38</f>
        <v>165155.77466412351</v>
      </c>
    </row>
    <row r="11" spans="2:10" x14ac:dyDescent="0.25">
      <c r="B11" s="310" t="s">
        <v>76</v>
      </c>
      <c r="C11" s="338">
        <f>'Financial Statements'!E46</f>
        <v>50361</v>
      </c>
      <c r="D11" s="338">
        <f>'Financial Statements'!F46</f>
        <v>57888</v>
      </c>
      <c r="E11" s="338">
        <f>'Financial Statements'!G46</f>
        <v>67424</v>
      </c>
      <c r="F11" s="350">
        <f>(F6/F57)*F39</f>
        <v>76787.246373270973</v>
      </c>
      <c r="G11" s="350">
        <f>(G6/G57)*G39</f>
        <v>88763.215492882431</v>
      </c>
      <c r="H11" s="350">
        <f>(H6/H57)*H39</f>
        <v>101188.80981520047</v>
      </c>
      <c r="I11" s="350">
        <f>(I6/I57)*I39</f>
        <v>113695.46578592967</v>
      </c>
      <c r="J11" s="351">
        <f>(J6/J57)*J39</f>
        <v>125845.12201718224</v>
      </c>
    </row>
    <row r="12" spans="2:10" x14ac:dyDescent="0.25">
      <c r="B12" s="310" t="s">
        <v>77</v>
      </c>
      <c r="C12" s="338">
        <f>'Financial Statements'!E47</f>
        <v>3742</v>
      </c>
      <c r="D12" s="338">
        <f>'Financial Statements'!F47</f>
        <v>2500</v>
      </c>
      <c r="E12" s="338">
        <f>'Financial Statements'!G47</f>
        <v>1246</v>
      </c>
      <c r="F12" s="350">
        <f>+F7/F57*F40</f>
        <v>3710.1641671222956</v>
      </c>
      <c r="G12" s="350">
        <f t="shared" ref="G12:J12" si="0">+G7/G57*G40</f>
        <v>4050.0915458064692</v>
      </c>
      <c r="H12" s="350">
        <f t="shared" si="0"/>
        <v>4344.9085591034418</v>
      </c>
      <c r="I12" s="350">
        <f t="shared" si="0"/>
        <v>4576.1531300486658</v>
      </c>
      <c r="J12" s="350">
        <f t="shared" si="0"/>
        <v>4726.7177353478901</v>
      </c>
    </row>
    <row r="13" spans="2:10" x14ac:dyDescent="0.25">
      <c r="B13" s="310" t="s">
        <v>78</v>
      </c>
      <c r="C13" s="338">
        <f>'Financial Statements'!E48</f>
        <v>14625</v>
      </c>
      <c r="D13" s="338">
        <f>'Financial Statements'!F48</f>
        <v>17108</v>
      </c>
      <c r="E13" s="338">
        <f>'Financial Statements'!G48</f>
        <v>20421</v>
      </c>
      <c r="F13" s="350">
        <f>+F6*F41</f>
        <v>22761.819241406807</v>
      </c>
      <c r="G13" s="350">
        <f>+G6*G41</f>
        <v>26311.820800469799</v>
      </c>
      <c r="H13" s="350">
        <f>+H6*H41</f>
        <v>29995.10344556937</v>
      </c>
      <c r="I13" s="350">
        <f>+I6*I41</f>
        <v>33702.414958426176</v>
      </c>
      <c r="J13" s="351">
        <f>+J6*J41</f>
        <v>37303.90208086669</v>
      </c>
    </row>
    <row r="14" spans="2:10" x14ac:dyDescent="0.25">
      <c r="B14" s="310"/>
      <c r="C14" s="338"/>
      <c r="D14" s="338"/>
      <c r="E14" s="338"/>
      <c r="F14" s="350"/>
      <c r="G14" s="350"/>
      <c r="H14" s="350"/>
      <c r="I14" s="350"/>
      <c r="J14" s="351"/>
    </row>
    <row r="15" spans="2:10" x14ac:dyDescent="0.25">
      <c r="B15" s="310" t="s">
        <v>80</v>
      </c>
      <c r="C15" s="338"/>
      <c r="D15" s="338"/>
      <c r="E15" s="338"/>
      <c r="F15" s="350"/>
      <c r="G15" s="350"/>
      <c r="H15" s="350"/>
      <c r="I15" s="350"/>
      <c r="J15" s="351"/>
    </row>
    <row r="16" spans="2:10" x14ac:dyDescent="0.25">
      <c r="B16" s="310" t="s">
        <v>333</v>
      </c>
      <c r="C16" s="338">
        <f>'Financial Statements'!E55</f>
        <v>6891</v>
      </c>
      <c r="D16" s="338">
        <f>'Financial Statements'!F55</f>
        <v>9879</v>
      </c>
      <c r="E16" s="338">
        <f>'Financial Statements'!G55</f>
        <v>14600</v>
      </c>
      <c r="F16" s="350">
        <f t="shared" ref="F16:J20" si="1">F$6*F43</f>
        <v>13489.946726280292</v>
      </c>
      <c r="G16" s="350">
        <f t="shared" si="1"/>
        <v>15593.879254786387</v>
      </c>
      <c r="H16" s="350">
        <f t="shared" si="1"/>
        <v>17776.801723911267</v>
      </c>
      <c r="I16" s="350">
        <f t="shared" si="1"/>
        <v>19973.965064668599</v>
      </c>
      <c r="J16" s="351">
        <f t="shared" si="1"/>
        <v>22108.410861897606</v>
      </c>
    </row>
    <row r="17" spans="2:10" x14ac:dyDescent="0.25">
      <c r="B17" s="310" t="s">
        <v>82</v>
      </c>
      <c r="C17" s="338">
        <f>'Financial Statements'!E56</f>
        <v>67524</v>
      </c>
      <c r="D17" s="338">
        <f>'Financial Statements'!F56</f>
        <v>67886</v>
      </c>
      <c r="E17" s="338">
        <f>'Financial Statements'!G56</f>
        <v>119220</v>
      </c>
      <c r="F17" s="350">
        <f t="shared" si="1"/>
        <v>109814.47482429008</v>
      </c>
      <c r="G17" s="350">
        <f t="shared" si="1"/>
        <v>126941.46949459039</v>
      </c>
      <c r="H17" s="350">
        <f t="shared" si="1"/>
        <v>144711.47922058066</v>
      </c>
      <c r="I17" s="350">
        <f t="shared" si="1"/>
        <v>162597.41630129583</v>
      </c>
      <c r="J17" s="351">
        <f t="shared" si="1"/>
        <v>179972.80324830182</v>
      </c>
    </row>
    <row r="18" spans="2:10" x14ac:dyDescent="0.25">
      <c r="B18" s="310" t="s">
        <v>83</v>
      </c>
      <c r="C18" s="338">
        <f>'Financial Statements'!E57</f>
        <v>11298</v>
      </c>
      <c r="D18" s="338">
        <f>'Financial Statements'!F57</f>
        <v>9366</v>
      </c>
      <c r="E18" s="338">
        <f>'Financial Statements'!G57</f>
        <v>27597</v>
      </c>
      <c r="F18" s="350">
        <f t="shared" si="1"/>
        <v>20460.943696467511</v>
      </c>
      <c r="G18" s="350">
        <f t="shared" si="1"/>
        <v>23652.093808503567</v>
      </c>
      <c r="H18" s="350">
        <f t="shared" si="1"/>
        <v>26963.052305285848</v>
      </c>
      <c r="I18" s="350">
        <f t="shared" si="1"/>
        <v>30295.610714845581</v>
      </c>
      <c r="J18" s="351">
        <f t="shared" si="1"/>
        <v>33533.041978764792</v>
      </c>
    </row>
    <row r="19" spans="2:10" x14ac:dyDescent="0.25">
      <c r="B19" s="310" t="s">
        <v>334</v>
      </c>
      <c r="C19" s="338">
        <f>'Financial Statements'!E58</f>
        <v>13515</v>
      </c>
      <c r="D19" s="338">
        <f>'Financial Statements'!F58</f>
        <v>20163</v>
      </c>
      <c r="E19" s="338">
        <f>'Financial Statements'!G58</f>
        <v>22270</v>
      </c>
      <c r="F19" s="350">
        <f t="shared" si="1"/>
        <v>24327.839100679801</v>
      </c>
      <c r="G19" s="350">
        <f t="shared" si="1"/>
        <v>28122.081811250991</v>
      </c>
      <c r="H19" s="350">
        <f t="shared" si="1"/>
        <v>32058.775385783156</v>
      </c>
      <c r="I19" s="350">
        <f t="shared" si="1"/>
        <v>36021.151021242418</v>
      </c>
      <c r="J19" s="351">
        <f t="shared" si="1"/>
        <v>39870.421517096154</v>
      </c>
    </row>
    <row r="20" spans="2:10" x14ac:dyDescent="0.25">
      <c r="B20" s="310" t="s">
        <v>335</v>
      </c>
      <c r="C20" s="338">
        <f>'Financial Statements'!E59</f>
        <v>4582</v>
      </c>
      <c r="D20" s="338">
        <f>'Financial Statements'!F59</f>
        <v>5938</v>
      </c>
      <c r="E20" s="338">
        <f>'Financial Statements'!G59</f>
        <v>9290</v>
      </c>
      <c r="F20" s="350">
        <f t="shared" si="1"/>
        <v>8521.701897958761</v>
      </c>
      <c r="G20" s="350">
        <f t="shared" si="1"/>
        <v>9850.7720703723571</v>
      </c>
      <c r="H20" s="350">
        <f t="shared" si="1"/>
        <v>11229.740788758667</v>
      </c>
      <c r="I20" s="350">
        <f t="shared" si="1"/>
        <v>12617.705574014715</v>
      </c>
      <c r="J20" s="351">
        <f t="shared" si="1"/>
        <v>13966.051210243329</v>
      </c>
    </row>
    <row r="21" spans="2:10" x14ac:dyDescent="0.25">
      <c r="B21" s="310"/>
      <c r="C21" s="338"/>
      <c r="D21" s="338"/>
      <c r="E21" s="338"/>
      <c r="F21" s="350"/>
      <c r="G21" s="350"/>
      <c r="H21" s="350"/>
      <c r="I21" s="350"/>
      <c r="J21" s="351"/>
    </row>
    <row r="22" spans="2:10" x14ac:dyDescent="0.25">
      <c r="B22" s="310" t="s">
        <v>89</v>
      </c>
      <c r="C22" s="338">
        <f>'Financial Statements'!E65</f>
        <v>19000</v>
      </c>
      <c r="D22" s="338">
        <f>'Financial Statements'!F65</f>
        <v>18095</v>
      </c>
      <c r="E22" s="338">
        <f>'Financial Statements'!G65</f>
        <v>21996</v>
      </c>
      <c r="F22" s="350">
        <f>+F7/F57*F49</f>
        <v>20094.801256471928</v>
      </c>
      <c r="G22" s="350">
        <f>+G7/G57*G49</f>
        <v>21935.898525650202</v>
      </c>
      <c r="H22" s="350">
        <f>+H7/H57*H49</f>
        <v>23532.671342801401</v>
      </c>
      <c r="I22" s="350">
        <f>+I7/I57*I49</f>
        <v>24785.126351655254</v>
      </c>
      <c r="J22" s="351">
        <f>+J7/J57*J49</f>
        <v>25600.606660197442</v>
      </c>
    </row>
    <row r="23" spans="2:10" x14ac:dyDescent="0.25">
      <c r="B23" s="310" t="s">
        <v>130</v>
      </c>
      <c r="C23" s="338">
        <f>'Financial Statements'!E66</f>
        <v>10661</v>
      </c>
      <c r="D23" s="338">
        <f>'Financial Statements'!F66</f>
        <v>11009</v>
      </c>
      <c r="E23" s="338">
        <f>'Financial Statements'!G66</f>
        <v>12564</v>
      </c>
      <c r="F23" s="350">
        <f>+F$7*F50</f>
        <v>11693.56984302023</v>
      </c>
      <c r="G23" s="350">
        <f>+G$7*G50</f>
        <v>12764.941449544387</v>
      </c>
      <c r="H23" s="350">
        <f>+H$7*H50</f>
        <v>13694.135733303725</v>
      </c>
      <c r="I23" s="350">
        <f>+I$7*I50</f>
        <v>14422.964545012232</v>
      </c>
      <c r="J23" s="351">
        <f>+J$7*J50</f>
        <v>14897.508971793986</v>
      </c>
    </row>
    <row r="24" spans="2:10" x14ac:dyDescent="0.25">
      <c r="B24" s="310" t="s">
        <v>129</v>
      </c>
      <c r="C24" s="338">
        <f>'Financial Statements'!E67</f>
        <v>2749</v>
      </c>
      <c r="D24" s="338">
        <f>'Financial Statements'!F67</f>
        <v>5247</v>
      </c>
      <c r="E24" s="338">
        <f>'Financial Statements'!G67</f>
        <v>2249</v>
      </c>
      <c r="F24" s="350">
        <f>+F7*F51</f>
        <v>3993.9899060409048</v>
      </c>
      <c r="G24" s="350">
        <f t="shared" ref="G24:J24" si="2">+G7*G51</f>
        <v>4359.9215624572244</v>
      </c>
      <c r="H24" s="350">
        <f t="shared" si="2"/>
        <v>4677.2919326612282</v>
      </c>
      <c r="I24" s="350">
        <f t="shared" si="2"/>
        <v>4926.2265998563844</v>
      </c>
      <c r="J24" s="350">
        <f t="shared" si="2"/>
        <v>5088.3093236078139</v>
      </c>
    </row>
    <row r="25" spans="2:10" x14ac:dyDescent="0.25">
      <c r="B25" s="310" t="s">
        <v>336</v>
      </c>
      <c r="C25" s="338">
        <f>'Financial Statements'!E68</f>
        <v>3288</v>
      </c>
      <c r="D25" s="338">
        <f>'Financial Statements'!F68</f>
        <v>3606</v>
      </c>
      <c r="E25" s="338">
        <f>'Financial Statements'!G68</f>
        <v>5929</v>
      </c>
      <c r="F25" s="350">
        <f>+F7*F52</f>
        <v>3954.8981069580364</v>
      </c>
      <c r="G25" s="350">
        <f>+G7*G52</f>
        <v>4317.2481502187866</v>
      </c>
      <c r="H25" s="350">
        <f>+H7*H52</f>
        <v>4631.5122084293362</v>
      </c>
      <c r="I25" s="350">
        <f>+I7*I52</f>
        <v>4878.0103887470386</v>
      </c>
      <c r="J25" s="351">
        <f>+J7*J52</f>
        <v>5038.5067025623503</v>
      </c>
    </row>
    <row r="26" spans="2:10" x14ac:dyDescent="0.25">
      <c r="B26" s="310" t="s">
        <v>131</v>
      </c>
      <c r="C26" s="338">
        <f>'Financial Statements'!E69</f>
        <v>4067</v>
      </c>
      <c r="D26" s="338">
        <f>'Financial Statements'!F69</f>
        <v>4152</v>
      </c>
      <c r="E26" s="338">
        <f>'Financial Statements'!G69</f>
        <v>5017</v>
      </c>
      <c r="F26" s="350">
        <f>+F6*F53</f>
        <v>5797.8286154004236</v>
      </c>
      <c r="G26" s="350">
        <f>+G6*G53</f>
        <v>6702.0753456621924</v>
      </c>
      <c r="H26" s="350">
        <f>+H6*H53</f>
        <v>7640.2710712269736</v>
      </c>
      <c r="I26" s="350">
        <f>+I6*I53</f>
        <v>8584.5873645548581</v>
      </c>
      <c r="J26" s="351">
        <f>+J6*J53</f>
        <v>9501.9483573219386</v>
      </c>
    </row>
    <row r="27" spans="2:10" x14ac:dyDescent="0.25">
      <c r="B27" s="310" t="s">
        <v>132</v>
      </c>
      <c r="C27" s="338">
        <f>'Financial Statements'!E70</f>
        <v>45538</v>
      </c>
      <c r="D27" s="338">
        <f>'Financial Statements'!F70</f>
        <v>50901</v>
      </c>
      <c r="E27" s="338">
        <f>'Financial Statements'!G70</f>
        <v>57582</v>
      </c>
      <c r="F27" s="350">
        <f>F$6*F54</f>
        <v>67459.841111243717</v>
      </c>
      <c r="G27" s="350">
        <f>G$6*G54</f>
        <v>77981.080146628286</v>
      </c>
      <c r="H27" s="350">
        <f>H$6*H54</f>
        <v>88897.328069123498</v>
      </c>
      <c r="I27" s="350">
        <f>I$6*I54</f>
        <v>99884.791019898927</v>
      </c>
      <c r="J27" s="351">
        <f>J$6*J54</f>
        <v>110558.61926127509</v>
      </c>
    </row>
    <row r="28" spans="2:10" x14ac:dyDescent="0.25">
      <c r="B28" s="310" t="s">
        <v>90</v>
      </c>
      <c r="C28" s="338">
        <f>'Financial Statements'!E71</f>
        <v>9779</v>
      </c>
      <c r="D28" s="338">
        <f>'Financial Statements'!F71</f>
        <v>11139</v>
      </c>
      <c r="E28" s="338">
        <f>'Financial Statements'!G71</f>
        <v>13256</v>
      </c>
      <c r="F28" s="350">
        <f>F$7*F55</f>
        <v>11414.261859904524</v>
      </c>
      <c r="G28" s="350">
        <f>G$7*G55</f>
        <v>12460.0431080862</v>
      </c>
      <c r="H28" s="350">
        <f>H$7*H55</f>
        <v>13367.043024787103</v>
      </c>
      <c r="I28" s="350">
        <f>I$7*I55</f>
        <v>14078.46331983494</v>
      </c>
      <c r="J28" s="351">
        <f>J$7*J55</f>
        <v>14541.672966175602</v>
      </c>
    </row>
    <row r="29" spans="2:10" x14ac:dyDescent="0.25">
      <c r="B29" s="310" t="s">
        <v>91</v>
      </c>
      <c r="C29" s="338">
        <f>'Financial Statements'!E72</f>
        <v>1</v>
      </c>
      <c r="D29" s="338">
        <f>'Financial Statements'!F72</f>
        <v>1</v>
      </c>
      <c r="E29" s="338">
        <f>'Financial Statements'!G72</f>
        <v>6693</v>
      </c>
      <c r="F29" s="350">
        <f>F6*F56</f>
        <v>2614.474742597366</v>
      </c>
      <c r="G29" s="350">
        <f>G6*G56</f>
        <v>3022.23606052697</v>
      </c>
      <c r="H29" s="350">
        <f>H6*H56</f>
        <v>3445.3063495635361</v>
      </c>
      <c r="I29" s="350">
        <f>I6*I56</f>
        <v>3871.1366494401063</v>
      </c>
      <c r="J29" s="351">
        <f>J6*J56</f>
        <v>4284.8117172168259</v>
      </c>
    </row>
    <row r="30" spans="2:10" x14ac:dyDescent="0.25">
      <c r="B30" s="310"/>
      <c r="C30" s="338"/>
      <c r="D30" s="338"/>
      <c r="E30" s="338"/>
      <c r="F30" s="350"/>
      <c r="G30" s="350"/>
      <c r="H30" s="350"/>
      <c r="I30" s="350"/>
      <c r="J30" s="351"/>
    </row>
    <row r="31" spans="2:10" x14ac:dyDescent="0.25">
      <c r="B31" s="45" t="s">
        <v>137</v>
      </c>
      <c r="C31" s="338">
        <f>'Financial Statements'!E74</f>
        <v>47032</v>
      </c>
      <c r="D31" s="338">
        <f>'Financial Statements'!F74</f>
        <v>41990</v>
      </c>
      <c r="E31" s="338">
        <f>'Financial Statements'!G74</f>
        <v>42688</v>
      </c>
      <c r="F31" s="350">
        <f>F7*F59</f>
        <v>47018.063466335661</v>
      </c>
      <c r="G31" s="350">
        <f t="shared" ref="G31:J31" si="3">G7*G59</f>
        <v>51325.885531609463</v>
      </c>
      <c r="H31" s="350">
        <f t="shared" si="3"/>
        <v>55062.034234944091</v>
      </c>
      <c r="I31" s="350">
        <f t="shared" si="3"/>
        <v>57992.543889825814</v>
      </c>
      <c r="J31" s="351">
        <f t="shared" si="3"/>
        <v>59900.614759162461</v>
      </c>
    </row>
    <row r="32" spans="2:10" x14ac:dyDescent="0.25">
      <c r="B32" s="45" t="s">
        <v>337</v>
      </c>
      <c r="C32" s="338">
        <f>'Financial Statements'!E75</f>
        <v>25331</v>
      </c>
      <c r="D32" s="338">
        <f>'Financial Statements'!F75</f>
        <v>28598</v>
      </c>
      <c r="E32" s="338">
        <f>'Financial Statements'!G75</f>
        <v>40293</v>
      </c>
      <c r="F32" s="350">
        <f>F60*F7</f>
        <v>30181.125819775705</v>
      </c>
      <c r="G32" s="350">
        <f t="shared" ref="G32:J32" si="4">G60*G7</f>
        <v>32946.337956900912</v>
      </c>
      <c r="H32" s="350">
        <f t="shared" si="4"/>
        <v>35344.590155813137</v>
      </c>
      <c r="I32" s="350">
        <f t="shared" si="4"/>
        <v>37225.69869345802</v>
      </c>
      <c r="J32" s="351">
        <f t="shared" si="4"/>
        <v>38450.498754007727</v>
      </c>
    </row>
    <row r="33" spans="2:10" x14ac:dyDescent="0.25">
      <c r="B33" s="45" t="s">
        <v>338</v>
      </c>
      <c r="C33" s="338">
        <f>'Financial Statements'!E76</f>
        <v>2870</v>
      </c>
      <c r="D33" s="338">
        <f>'Financial Statements'!F76</f>
        <v>2912</v>
      </c>
      <c r="E33" s="338">
        <f>'Financial Statements'!G76</f>
        <v>2602</v>
      </c>
      <c r="F33" s="350">
        <f>F6*F61</f>
        <v>3716.8555976142261</v>
      </c>
      <c r="G33" s="350">
        <f t="shared" ref="G33:J34" si="5">G6*G61</f>
        <v>4296.5475381573315</v>
      </c>
      <c r="H33" s="350">
        <f t="shared" si="5"/>
        <v>4898.0034047485797</v>
      </c>
      <c r="I33" s="350">
        <f t="shared" si="5"/>
        <v>5503.3830276389435</v>
      </c>
      <c r="J33" s="351">
        <f t="shared" si="5"/>
        <v>6091.4822225586213</v>
      </c>
    </row>
    <row r="34" spans="2:10" x14ac:dyDescent="0.25">
      <c r="B34" s="45" t="s">
        <v>138</v>
      </c>
      <c r="C34" s="338">
        <f>'Financial Statements'!E77</f>
        <v>230</v>
      </c>
      <c r="D34" s="338">
        <f>'Financial Statements'!F77</f>
        <v>433</v>
      </c>
      <c r="E34" s="338">
        <f>'Financial Statements'!G77</f>
        <v>2618</v>
      </c>
      <c r="F34" s="350">
        <f>F7*F62</f>
        <v>417.81125177140916</v>
      </c>
      <c r="G34" s="350">
        <f t="shared" si="5"/>
        <v>456.09135938981876</v>
      </c>
      <c r="H34" s="350">
        <f t="shared" si="5"/>
        <v>489.29147125027487</v>
      </c>
      <c r="I34" s="350">
        <f t="shared" si="5"/>
        <v>515.33252477241729</v>
      </c>
      <c r="J34" s="351">
        <f t="shared" si="5"/>
        <v>532.28799719328583</v>
      </c>
    </row>
    <row r="35" spans="2:10" x14ac:dyDescent="0.25">
      <c r="B35" s="45" t="s">
        <v>93</v>
      </c>
      <c r="C35" s="338">
        <f>'Financial Statements'!E78</f>
        <v>27753</v>
      </c>
      <c r="D35" s="338">
        <f>'Financial Statements'!F78</f>
        <v>27671</v>
      </c>
      <c r="E35" s="338">
        <f>'Financial Statements'!G78</f>
        <v>30199</v>
      </c>
      <c r="F35" s="350">
        <f>F7*F63</f>
        <v>29681.71984692373</v>
      </c>
      <c r="G35" s="350">
        <f t="shared" ref="G35:J35" si="6">G7*G63</f>
        <v>32401.176121072538</v>
      </c>
      <c r="H35" s="350">
        <f t="shared" si="6"/>
        <v>34759.744529535921</v>
      </c>
      <c r="I35" s="350">
        <f t="shared" si="6"/>
        <v>36609.726433771153</v>
      </c>
      <c r="J35" s="351">
        <f t="shared" si="6"/>
        <v>37814.259773011639</v>
      </c>
    </row>
    <row r="36" spans="2:10" x14ac:dyDescent="0.25">
      <c r="B36" s="45"/>
      <c r="C36" s="338"/>
      <c r="D36" s="338"/>
      <c r="E36" s="338"/>
      <c r="F36" s="350"/>
      <c r="G36" s="350"/>
      <c r="H36" s="350"/>
      <c r="I36" s="350"/>
      <c r="J36" s="351"/>
    </row>
    <row r="37" spans="2:10" x14ac:dyDescent="0.25">
      <c r="B37" s="23" t="s">
        <v>230</v>
      </c>
      <c r="C37" s="27"/>
      <c r="D37" s="27"/>
      <c r="E37" s="27"/>
      <c r="F37" s="347"/>
      <c r="G37" s="347"/>
      <c r="H37" s="347"/>
      <c r="I37" s="347"/>
      <c r="J37" s="348"/>
    </row>
    <row r="38" spans="2:10" x14ac:dyDescent="0.25">
      <c r="B38" s="310" t="s">
        <v>332</v>
      </c>
      <c r="C38" s="248">
        <f>+C10/C6</f>
        <v>0.45809250012609071</v>
      </c>
      <c r="D38" s="248">
        <f>+D10/D6</f>
        <v>0.36126748932354952</v>
      </c>
      <c r="E38" s="248">
        <f>+E10/E6</f>
        <v>0.23346836868322177</v>
      </c>
      <c r="F38" s="447">
        <f>AVERAGE(C38:E38)</f>
        <v>0.3509427860442873</v>
      </c>
      <c r="G38" s="447">
        <f t="shared" ref="G38:J38" si="7">+F38</f>
        <v>0.3509427860442873</v>
      </c>
      <c r="H38" s="447">
        <f t="shared" si="7"/>
        <v>0.3509427860442873</v>
      </c>
      <c r="I38" s="447">
        <f t="shared" si="7"/>
        <v>0.3509427860442873</v>
      </c>
      <c r="J38" s="448">
        <f t="shared" si="7"/>
        <v>0.3509427860442873</v>
      </c>
    </row>
    <row r="39" spans="2:10" x14ac:dyDescent="0.25">
      <c r="B39" s="349" t="s">
        <v>232</v>
      </c>
      <c r="C39" s="253">
        <f t="shared" ref="C39:E40" si="8">(C11/C6)*C$57</f>
        <v>92.710773188076871</v>
      </c>
      <c r="D39" s="253">
        <f t="shared" si="8"/>
        <v>99.705636693957487</v>
      </c>
      <c r="E39" s="253">
        <f t="shared" si="8"/>
        <v>100.39841547643816</v>
      </c>
      <c r="F39" s="443">
        <f>AVERAGE(C39:E39)</f>
        <v>97.604941786157511</v>
      </c>
      <c r="G39" s="443">
        <f>+F39</f>
        <v>97.604941786157511</v>
      </c>
      <c r="H39" s="443">
        <f>+G39</f>
        <v>97.604941786157511</v>
      </c>
      <c r="I39" s="443">
        <f>+H39</f>
        <v>97.604941786157511</v>
      </c>
      <c r="J39" s="352">
        <f>+I39</f>
        <v>97.604941786157511</v>
      </c>
    </row>
    <row r="40" spans="2:10" x14ac:dyDescent="0.25">
      <c r="B40" s="349" t="s">
        <v>233</v>
      </c>
      <c r="C40" s="253">
        <f t="shared" si="8"/>
        <v>21.80095770151636</v>
      </c>
      <c r="D40" s="253">
        <f t="shared" si="8"/>
        <v>13.854516192703034</v>
      </c>
      <c r="E40" s="253">
        <f t="shared" si="8"/>
        <v>1.8553693889956389</v>
      </c>
      <c r="F40" s="443">
        <v>15</v>
      </c>
      <c r="G40" s="443">
        <f t="shared" ref="G40:J41" si="9">+F40</f>
        <v>15</v>
      </c>
      <c r="H40" s="443">
        <f t="shared" si="9"/>
        <v>15</v>
      </c>
      <c r="I40" s="443">
        <f t="shared" si="9"/>
        <v>15</v>
      </c>
      <c r="J40" s="352">
        <f t="shared" si="9"/>
        <v>15</v>
      </c>
    </row>
    <row r="41" spans="2:10" x14ac:dyDescent="0.25">
      <c r="B41" s="349" t="s">
        <v>234</v>
      </c>
      <c r="C41" s="248">
        <f>C13/C$6</f>
        <v>7.3763050385837498E-2</v>
      </c>
      <c r="D41" s="248">
        <f>D13/D$6</f>
        <v>8.0730481561003237E-2</v>
      </c>
      <c r="E41" s="248">
        <f>E13/E$6</f>
        <v>8.3309875530860264E-2</v>
      </c>
      <c r="F41" s="339">
        <f t="shared" ref="F41:F47" si="10">AVERAGE(C41:E41)</f>
        <v>7.9267802492566999E-2</v>
      </c>
      <c r="G41" s="339">
        <f>+F41</f>
        <v>7.9267802492566999E-2</v>
      </c>
      <c r="H41" s="339">
        <f t="shared" si="9"/>
        <v>7.9267802492566999E-2</v>
      </c>
      <c r="I41" s="339">
        <f t="shared" si="9"/>
        <v>7.9267802492566999E-2</v>
      </c>
      <c r="J41" s="340">
        <f t="shared" si="9"/>
        <v>7.9267802492566999E-2</v>
      </c>
    </row>
    <row r="42" spans="2:10" x14ac:dyDescent="0.25">
      <c r="B42" s="310" t="s">
        <v>80</v>
      </c>
      <c r="C42" s="248"/>
      <c r="D42" s="248"/>
      <c r="E42" s="248"/>
      <c r="F42" s="339"/>
      <c r="G42" s="339"/>
      <c r="H42" s="339"/>
      <c r="I42" s="339"/>
      <c r="J42" s="340"/>
    </row>
    <row r="43" spans="2:10" x14ac:dyDescent="0.25">
      <c r="B43" s="310" t="s">
        <v>333</v>
      </c>
      <c r="C43" s="248">
        <f t="shared" ref="C43:E47" si="11">C16/C$6</f>
        <v>3.4755636253593583E-2</v>
      </c>
      <c r="D43" s="248">
        <f t="shared" si="11"/>
        <v>4.6617747681853575E-2</v>
      </c>
      <c r="E43" s="248">
        <f t="shared" si="11"/>
        <v>5.9562420192476366E-2</v>
      </c>
      <c r="F43" s="339">
        <f t="shared" si="10"/>
        <v>4.697860137597451E-2</v>
      </c>
      <c r="G43" s="339">
        <f>F43</f>
        <v>4.697860137597451E-2</v>
      </c>
      <c r="H43" s="339">
        <f>G43</f>
        <v>4.697860137597451E-2</v>
      </c>
      <c r="I43" s="339">
        <f>H43</f>
        <v>4.697860137597451E-2</v>
      </c>
      <c r="J43" s="340">
        <f>I43</f>
        <v>4.697860137597451E-2</v>
      </c>
    </row>
    <row r="44" spans="2:10" x14ac:dyDescent="0.25">
      <c r="B44" s="310" t="s">
        <v>82</v>
      </c>
      <c r="C44" s="248">
        <f t="shared" si="11"/>
        <v>0.340565894991678</v>
      </c>
      <c r="D44" s="248">
        <f t="shared" si="11"/>
        <v>0.32034542151334261</v>
      </c>
      <c r="E44" s="248">
        <f t="shared" si="11"/>
        <v>0.48637203666760498</v>
      </c>
      <c r="F44" s="339">
        <f t="shared" si="10"/>
        <v>0.38242778439087521</v>
      </c>
      <c r="G44" s="339">
        <f t="shared" ref="G44:J44" si="12">F44</f>
        <v>0.38242778439087521</v>
      </c>
      <c r="H44" s="339">
        <f t="shared" si="12"/>
        <v>0.38242778439087521</v>
      </c>
      <c r="I44" s="339">
        <f t="shared" si="12"/>
        <v>0.38242778439087521</v>
      </c>
      <c r="J44" s="340">
        <f t="shared" si="12"/>
        <v>0.38242778439087521</v>
      </c>
    </row>
    <row r="45" spans="2:10" x14ac:dyDescent="0.25">
      <c r="B45" s="310" t="s">
        <v>83</v>
      </c>
      <c r="C45" s="248">
        <f t="shared" si="11"/>
        <v>5.6982902103192616E-2</v>
      </c>
      <c r="D45" s="248">
        <f t="shared" si="11"/>
        <v>4.4196965764575422E-2</v>
      </c>
      <c r="E45" s="248">
        <f t="shared" si="11"/>
        <v>0.11258521301724454</v>
      </c>
      <c r="F45" s="339">
        <f t="shared" si="10"/>
        <v>7.1255026961670853E-2</v>
      </c>
      <c r="G45" s="339">
        <f t="shared" ref="G45:J45" si="13">F45</f>
        <v>7.1255026961670853E-2</v>
      </c>
      <c r="H45" s="339">
        <f t="shared" si="13"/>
        <v>7.1255026961670853E-2</v>
      </c>
      <c r="I45" s="339">
        <f t="shared" si="13"/>
        <v>7.1255026961670853E-2</v>
      </c>
      <c r="J45" s="340">
        <f t="shared" si="13"/>
        <v>7.1255026961670853E-2</v>
      </c>
    </row>
    <row r="46" spans="2:10" x14ac:dyDescent="0.25">
      <c r="B46" s="310" t="s">
        <v>334</v>
      </c>
      <c r="C46" s="248">
        <f t="shared" si="11"/>
        <v>6.8164623997579055E-2</v>
      </c>
      <c r="D46" s="248">
        <f t="shared" si="11"/>
        <v>9.5146638982610957E-2</v>
      </c>
      <c r="E46" s="248">
        <f t="shared" si="11"/>
        <v>9.0853088882633479E-2</v>
      </c>
      <c r="F46" s="339">
        <f t="shared" si="10"/>
        <v>8.4721450620941163E-2</v>
      </c>
      <c r="G46" s="339">
        <f t="shared" ref="G46:J46" si="14">F46</f>
        <v>8.4721450620941163E-2</v>
      </c>
      <c r="H46" s="339">
        <f t="shared" si="14"/>
        <v>8.4721450620941163E-2</v>
      </c>
      <c r="I46" s="339">
        <f t="shared" si="14"/>
        <v>8.4721450620941163E-2</v>
      </c>
      <c r="J46" s="340">
        <f t="shared" si="14"/>
        <v>8.4721450620941163E-2</v>
      </c>
    </row>
    <row r="47" spans="2:10" x14ac:dyDescent="0.25">
      <c r="B47" s="310" t="s">
        <v>335</v>
      </c>
      <c r="C47" s="248">
        <f t="shared" si="11"/>
        <v>2.3109900640540675E-2</v>
      </c>
      <c r="D47" s="248">
        <f t="shared" si="11"/>
        <v>2.802066866432296E-2</v>
      </c>
      <c r="E47" s="248">
        <f t="shared" si="11"/>
        <v>3.7899649560829141E-2</v>
      </c>
      <c r="F47" s="339">
        <f t="shared" si="10"/>
        <v>2.9676739621897593E-2</v>
      </c>
      <c r="G47" s="339">
        <f t="shared" ref="G47:J47" si="15">F47</f>
        <v>2.9676739621897593E-2</v>
      </c>
      <c r="H47" s="339">
        <f t="shared" si="15"/>
        <v>2.9676739621897593E-2</v>
      </c>
      <c r="I47" s="339">
        <f t="shared" si="15"/>
        <v>2.9676739621897593E-2</v>
      </c>
      <c r="J47" s="340">
        <f t="shared" si="15"/>
        <v>2.9676739621897593E-2</v>
      </c>
    </row>
    <row r="48" spans="2:10" x14ac:dyDescent="0.25">
      <c r="B48" s="349"/>
      <c r="C48" s="248"/>
      <c r="D48" s="248"/>
      <c r="E48" s="248"/>
      <c r="F48" s="339"/>
      <c r="G48" s="339"/>
      <c r="H48" s="339"/>
      <c r="I48" s="339"/>
      <c r="J48" s="340"/>
    </row>
    <row r="49" spans="2:11" x14ac:dyDescent="0.25">
      <c r="B49" s="310" t="s">
        <v>235</v>
      </c>
      <c r="C49" s="253">
        <f>(C22/C7)*C$57</f>
        <v>110.69433359936153</v>
      </c>
      <c r="D49" s="253">
        <f>(D22/D7)*D$57</f>
        <v>100.27898820278456</v>
      </c>
      <c r="E49" s="253">
        <f>(E22/E7)*E$57</f>
        <v>32.753374863842751</v>
      </c>
      <c r="F49" s="443">
        <f>AVERAGE(C49:E49)</f>
        <v>81.242232221996275</v>
      </c>
      <c r="G49" s="443">
        <f>+F49</f>
        <v>81.242232221996275</v>
      </c>
      <c r="H49" s="443">
        <f t="shared" ref="H49:J50" si="16">+G49</f>
        <v>81.242232221996275</v>
      </c>
      <c r="I49" s="443">
        <f t="shared" si="16"/>
        <v>81.242232221996275</v>
      </c>
      <c r="J49" s="352">
        <f t="shared" si="16"/>
        <v>81.242232221996275</v>
      </c>
      <c r="K49" s="2" t="s">
        <v>231</v>
      </c>
    </row>
    <row r="50" spans="2:11" x14ac:dyDescent="0.25">
      <c r="B50" s="310" t="s">
        <v>130</v>
      </c>
      <c r="C50" s="248">
        <f t="shared" ref="C50:E52" si="17">C23/C$7</f>
        <v>0.17016759776536314</v>
      </c>
      <c r="D50" s="248">
        <f t="shared" si="17"/>
        <v>0.16714999316763585</v>
      </c>
      <c r="E50" s="248">
        <f t="shared" si="17"/>
        <v>5.1256318308100894E-2</v>
      </c>
      <c r="F50" s="339">
        <f t="shared" ref="F50:F56" si="18">AVERAGE(C50:E50)</f>
        <v>0.12952463641369996</v>
      </c>
      <c r="G50" s="339">
        <f>+F50</f>
        <v>0.12952463641369996</v>
      </c>
      <c r="H50" s="339">
        <f t="shared" si="16"/>
        <v>0.12952463641369996</v>
      </c>
      <c r="I50" s="339">
        <f t="shared" si="16"/>
        <v>0.12952463641369996</v>
      </c>
      <c r="J50" s="340">
        <f t="shared" si="16"/>
        <v>0.12952463641369996</v>
      </c>
      <c r="K50" s="2" t="s">
        <v>231</v>
      </c>
    </row>
    <row r="51" spans="2:11" x14ac:dyDescent="0.25">
      <c r="B51" s="310" t="s">
        <v>129</v>
      </c>
      <c r="C51" s="248">
        <f t="shared" si="17"/>
        <v>4.3878691141260973E-2</v>
      </c>
      <c r="D51" s="248">
        <f t="shared" si="17"/>
        <v>7.9665365986972964E-2</v>
      </c>
      <c r="E51" s="248">
        <f t="shared" si="17"/>
        <v>9.1750604803342017E-3</v>
      </c>
      <c r="F51" s="339">
        <f t="shared" si="18"/>
        <v>4.4239705869522715E-2</v>
      </c>
      <c r="G51" s="339">
        <f t="shared" ref="G51:J56" si="19">+F51</f>
        <v>4.4239705869522715E-2</v>
      </c>
      <c r="H51" s="339">
        <f t="shared" si="19"/>
        <v>4.4239705869522715E-2</v>
      </c>
      <c r="I51" s="339">
        <f t="shared" si="19"/>
        <v>4.4239705869522715E-2</v>
      </c>
      <c r="J51" s="340">
        <f t="shared" si="19"/>
        <v>4.4239705869522715E-2</v>
      </c>
      <c r="K51" s="2" t="s">
        <v>231</v>
      </c>
    </row>
    <row r="52" spans="2:11" x14ac:dyDescent="0.25">
      <c r="B52" s="310" t="s">
        <v>336</v>
      </c>
      <c r="C52" s="248">
        <f t="shared" si="17"/>
        <v>5.2482043096568239E-2</v>
      </c>
      <c r="D52" s="248">
        <f t="shared" si="17"/>
        <v>5.4750011387273582E-2</v>
      </c>
      <c r="E52" s="248">
        <f t="shared" si="17"/>
        <v>2.418805406309537E-2</v>
      </c>
      <c r="F52" s="339">
        <f t="shared" si="18"/>
        <v>4.3806702848979064E-2</v>
      </c>
      <c r="G52" s="339">
        <f t="shared" si="19"/>
        <v>4.3806702848979064E-2</v>
      </c>
      <c r="H52" s="339">
        <f t="shared" si="19"/>
        <v>4.3806702848979064E-2</v>
      </c>
      <c r="I52" s="339">
        <f t="shared" si="19"/>
        <v>4.3806702848979064E-2</v>
      </c>
      <c r="J52" s="340">
        <f t="shared" si="19"/>
        <v>4.3806702848979064E-2</v>
      </c>
      <c r="K52" s="2" t="s">
        <v>231</v>
      </c>
    </row>
    <row r="53" spans="2:11" x14ac:dyDescent="0.25">
      <c r="B53" s="310" t="s">
        <v>131</v>
      </c>
      <c r="C53" s="248">
        <f>C26/C6</f>
        <v>2.0512432541483834E-2</v>
      </c>
      <c r="D53" s="248">
        <f t="shared" ref="D53:E53" si="20">D26/D6</f>
        <v>1.9592761248613831E-2</v>
      </c>
      <c r="E53" s="248">
        <f t="shared" si="20"/>
        <v>2.0467442609976298E-2</v>
      </c>
      <c r="F53" s="339">
        <f t="shared" ref="F53" si="21">AVERAGE(C53:E53)</f>
        <v>2.0190878800024653E-2</v>
      </c>
      <c r="G53" s="339">
        <f t="shared" ref="G53" si="22">+F53</f>
        <v>2.0190878800024653E-2</v>
      </c>
      <c r="H53" s="339">
        <f t="shared" ref="H53" si="23">+G53</f>
        <v>2.0190878800024653E-2</v>
      </c>
      <c r="I53" s="339">
        <f t="shared" ref="I53" si="24">+H53</f>
        <v>2.0190878800024653E-2</v>
      </c>
      <c r="J53" s="340">
        <f t="shared" ref="J53" si="25">+I53</f>
        <v>2.0190878800024653E-2</v>
      </c>
      <c r="K53" s="2" t="s">
        <v>231</v>
      </c>
    </row>
    <row r="54" spans="2:11" x14ac:dyDescent="0.25">
      <c r="B54" s="310" t="s">
        <v>132</v>
      </c>
      <c r="C54" s="248">
        <f>C27/C$6</f>
        <v>0.22967670348514652</v>
      </c>
      <c r="D54" s="248">
        <f>D27/D$6</f>
        <v>0.24019536134771016</v>
      </c>
      <c r="E54" s="248">
        <f>E27/E$6</f>
        <v>0.23491255339199824</v>
      </c>
      <c r="F54" s="339">
        <f t="shared" si="18"/>
        <v>0.23492820607495166</v>
      </c>
      <c r="G54" s="339">
        <f t="shared" si="19"/>
        <v>0.23492820607495166</v>
      </c>
      <c r="H54" s="339">
        <f t="shared" si="19"/>
        <v>0.23492820607495166</v>
      </c>
      <c r="I54" s="339">
        <f t="shared" si="19"/>
        <v>0.23492820607495166</v>
      </c>
      <c r="J54" s="340">
        <f t="shared" si="19"/>
        <v>0.23492820607495166</v>
      </c>
      <c r="K54" s="2" t="s">
        <v>231</v>
      </c>
    </row>
    <row r="55" spans="2:11" x14ac:dyDescent="0.25">
      <c r="B55" s="310" t="s">
        <v>90</v>
      </c>
      <c r="C55" s="248">
        <f>C28/C$7</f>
        <v>0.15608938547486034</v>
      </c>
      <c r="D55" s="248">
        <f>D28/D$7</f>
        <v>0.16912378725536339</v>
      </c>
      <c r="E55" s="248">
        <f>E28/E$7</f>
        <v>5.4079413840511424E-2</v>
      </c>
      <c r="F55" s="339">
        <f t="shared" si="18"/>
        <v>0.12643086219024505</v>
      </c>
      <c r="G55" s="339">
        <f t="shared" si="19"/>
        <v>0.12643086219024505</v>
      </c>
      <c r="H55" s="339">
        <f t="shared" si="19"/>
        <v>0.12643086219024505</v>
      </c>
      <c r="I55" s="339">
        <f t="shared" si="19"/>
        <v>0.12643086219024505</v>
      </c>
      <c r="J55" s="340">
        <f t="shared" si="19"/>
        <v>0.12643086219024505</v>
      </c>
    </row>
    <row r="56" spans="2:11" x14ac:dyDescent="0.25">
      <c r="B56" s="310" t="s">
        <v>91</v>
      </c>
      <c r="C56" s="248">
        <f>C29/C$6</f>
        <v>5.0436273768094015E-6</v>
      </c>
      <c r="D56" s="248">
        <f>D29/D$6</f>
        <v>4.7188731330958169E-6</v>
      </c>
      <c r="E56" s="248">
        <f>E29/E$6</f>
        <v>2.7304882078646873E-2</v>
      </c>
      <c r="F56" s="339">
        <f t="shared" si="18"/>
        <v>9.1048815263855918E-3</v>
      </c>
      <c r="G56" s="339">
        <f t="shared" si="19"/>
        <v>9.1048815263855918E-3</v>
      </c>
      <c r="H56" s="339">
        <f t="shared" si="19"/>
        <v>9.1048815263855918E-3</v>
      </c>
      <c r="I56" s="339">
        <f t="shared" si="19"/>
        <v>9.1048815263855918E-3</v>
      </c>
      <c r="J56" s="340">
        <f t="shared" si="19"/>
        <v>9.1048815263855918E-3</v>
      </c>
    </row>
    <row r="57" spans="2:11" x14ac:dyDescent="0.25">
      <c r="B57" s="349" t="s">
        <v>236</v>
      </c>
      <c r="C57" s="11">
        <v>365</v>
      </c>
      <c r="D57" s="11">
        <v>365</v>
      </c>
      <c r="E57" s="11">
        <v>365</v>
      </c>
      <c r="F57" s="444">
        <v>365</v>
      </c>
      <c r="G57" s="444">
        <v>365</v>
      </c>
      <c r="H57" s="444">
        <v>365</v>
      </c>
      <c r="I57" s="444">
        <v>365</v>
      </c>
      <c r="J57" s="353">
        <v>365</v>
      </c>
    </row>
    <row r="58" spans="2:11" x14ac:dyDescent="0.25">
      <c r="B58" s="349"/>
      <c r="C58" s="11"/>
      <c r="D58" s="11"/>
      <c r="E58" s="11"/>
      <c r="F58" s="444"/>
      <c r="G58" s="444"/>
      <c r="H58" s="444"/>
      <c r="I58" s="444"/>
      <c r="J58" s="353"/>
    </row>
    <row r="59" spans="2:11" x14ac:dyDescent="0.25">
      <c r="B59" s="45" t="s">
        <v>137</v>
      </c>
      <c r="C59" s="248">
        <f>C31/C$7</f>
        <v>0.75071029529130084</v>
      </c>
      <c r="D59" s="248">
        <f t="shared" ref="D59:E59" si="26">D31/D$7</f>
        <v>0.63753549033600043</v>
      </c>
      <c r="E59" s="248">
        <f t="shared" si="26"/>
        <v>0.17415072556002953</v>
      </c>
      <c r="F59" s="339">
        <f t="shared" ref="F59:F60" si="27">AVERAGE(C59:E59)</f>
        <v>0.52079883706244356</v>
      </c>
      <c r="G59" s="339">
        <f t="shared" ref="G59:J63" si="28">F59</f>
        <v>0.52079883706244356</v>
      </c>
      <c r="H59" s="339">
        <f t="shared" si="28"/>
        <v>0.52079883706244356</v>
      </c>
      <c r="I59" s="339">
        <f t="shared" si="28"/>
        <v>0.52079883706244356</v>
      </c>
      <c r="J59" s="340">
        <f t="shared" si="28"/>
        <v>0.52079883706244356</v>
      </c>
    </row>
    <row r="60" spans="2:11" x14ac:dyDescent="0.25">
      <c r="B60" s="45" t="s">
        <v>337</v>
      </c>
      <c r="C60" s="248">
        <f>C32/C7</f>
        <v>0.40432561851556265</v>
      </c>
      <c r="D60" s="248">
        <f t="shared" ref="D60:E60" si="29">D32/D7</f>
        <v>0.43420433323717411</v>
      </c>
      <c r="E60" s="248">
        <f t="shared" si="29"/>
        <v>0.16438004087777058</v>
      </c>
      <c r="F60" s="339">
        <f t="shared" si="27"/>
        <v>0.33430333087683578</v>
      </c>
      <c r="G60" s="339">
        <f t="shared" si="28"/>
        <v>0.33430333087683578</v>
      </c>
      <c r="H60" s="339">
        <f t="shared" si="28"/>
        <v>0.33430333087683578</v>
      </c>
      <c r="I60" s="339">
        <f t="shared" si="28"/>
        <v>0.33430333087683578</v>
      </c>
      <c r="J60" s="340">
        <f t="shared" si="28"/>
        <v>0.33430333087683578</v>
      </c>
    </row>
    <row r="61" spans="2:11" x14ac:dyDescent="0.25">
      <c r="B61" s="45" t="s">
        <v>338</v>
      </c>
      <c r="C61" s="248">
        <f>C33/C6</f>
        <v>1.4475210571442982E-2</v>
      </c>
      <c r="D61" s="248">
        <f t="shared" ref="D61:E61" si="30">D33/D6</f>
        <v>1.3741358563575019E-2</v>
      </c>
      <c r="E61" s="248">
        <f t="shared" si="30"/>
        <v>1.0615165571289281E-2</v>
      </c>
      <c r="F61" s="339">
        <f t="shared" ref="F61:F63" si="31">AVERAGE(C61:E61)</f>
        <v>1.2943911568769095E-2</v>
      </c>
      <c r="G61" s="339">
        <f t="shared" si="28"/>
        <v>1.2943911568769095E-2</v>
      </c>
      <c r="H61" s="339">
        <f t="shared" si="28"/>
        <v>1.2943911568769095E-2</v>
      </c>
      <c r="I61" s="339">
        <f t="shared" si="28"/>
        <v>1.2943911568769095E-2</v>
      </c>
      <c r="J61" s="340">
        <f t="shared" si="28"/>
        <v>1.2943911568769095E-2</v>
      </c>
    </row>
    <row r="62" spans="2:11" x14ac:dyDescent="0.25">
      <c r="B62" s="45" t="s">
        <v>138</v>
      </c>
      <c r="C62" s="248">
        <f>C34/C6</f>
        <v>1.1600342966661622E-3</v>
      </c>
      <c r="D62" s="248">
        <f t="shared" ref="D62:E62" si="32">D34/D6</f>
        <v>2.0432720666304885E-3</v>
      </c>
      <c r="E62" s="248">
        <f t="shared" si="32"/>
        <v>1.0680439456431722E-2</v>
      </c>
      <c r="F62" s="339">
        <f t="shared" si="31"/>
        <v>4.627915273242791E-3</v>
      </c>
      <c r="G62" s="339">
        <f t="shared" si="28"/>
        <v>4.627915273242791E-3</v>
      </c>
      <c r="H62" s="339">
        <f t="shared" si="28"/>
        <v>4.627915273242791E-3</v>
      </c>
      <c r="I62" s="339">
        <f t="shared" si="28"/>
        <v>4.627915273242791E-3</v>
      </c>
      <c r="J62" s="340">
        <f t="shared" si="28"/>
        <v>4.627915273242791E-3</v>
      </c>
    </row>
    <row r="63" spans="2:11" x14ac:dyDescent="0.25">
      <c r="B63" s="45" t="s">
        <v>93</v>
      </c>
      <c r="C63" s="248">
        <f>C35/C7</f>
        <v>0.44298483639265762</v>
      </c>
      <c r="D63" s="248">
        <f t="shared" ref="D63:E63" si="33">D35/D7</f>
        <v>0.42012966308853228</v>
      </c>
      <c r="E63" s="248">
        <f t="shared" si="33"/>
        <v>0.12320037858853383</v>
      </c>
      <c r="F63" s="339">
        <f t="shared" si="31"/>
        <v>0.32877162602324123</v>
      </c>
      <c r="G63" s="339">
        <f t="shared" si="28"/>
        <v>0.32877162602324123</v>
      </c>
      <c r="H63" s="339">
        <f t="shared" si="28"/>
        <v>0.32877162602324123</v>
      </c>
      <c r="I63" s="339">
        <f t="shared" si="28"/>
        <v>0.32877162602324123</v>
      </c>
      <c r="J63" s="340">
        <f t="shared" si="28"/>
        <v>0.32877162602324123</v>
      </c>
    </row>
    <row r="64" spans="2:11" x14ac:dyDescent="0.25">
      <c r="B64" s="310"/>
      <c r="F64" s="167"/>
      <c r="G64" s="167"/>
      <c r="H64" s="167"/>
      <c r="I64" s="167"/>
      <c r="J64" s="168"/>
    </row>
    <row r="65" spans="2:14" ht="17.25" x14ac:dyDescent="0.4">
      <c r="B65" s="310"/>
      <c r="C65" s="354" t="s">
        <v>48</v>
      </c>
      <c r="D65" s="355"/>
      <c r="E65" s="355"/>
      <c r="F65" s="356" t="s">
        <v>206</v>
      </c>
      <c r="G65" s="357"/>
      <c r="H65" s="357"/>
      <c r="I65" s="357"/>
      <c r="J65" s="358"/>
    </row>
    <row r="66" spans="2:14" ht="15.75" thickBot="1" x14ac:dyDescent="0.3">
      <c r="B66" s="359" t="s">
        <v>237</v>
      </c>
      <c r="C66" s="360">
        <v>44926</v>
      </c>
      <c r="D66" s="361">
        <v>45291</v>
      </c>
      <c r="E66" s="361">
        <v>45657</v>
      </c>
      <c r="F66" s="290">
        <v>46022</v>
      </c>
      <c r="G66" s="290">
        <v>46387</v>
      </c>
      <c r="H66" s="290">
        <v>46752</v>
      </c>
      <c r="I66" s="290">
        <v>47118</v>
      </c>
      <c r="J66" s="291">
        <v>47483</v>
      </c>
    </row>
    <row r="67" spans="2:14" x14ac:dyDescent="0.25">
      <c r="B67" s="310" t="s">
        <v>238</v>
      </c>
      <c r="C67" s="338">
        <f>Depreciation!B7</f>
        <v>87546</v>
      </c>
      <c r="D67" s="338">
        <f>Depreciation!C7</f>
        <v>109987</v>
      </c>
      <c r="E67" s="338">
        <f>Depreciation!D7</f>
        <v>154552</v>
      </c>
      <c r="F67" s="350">
        <f>E71</f>
        <v>39440</v>
      </c>
      <c r="G67" s="350">
        <f t="shared" ref="G67:J67" si="34">F71</f>
        <v>77299.771428571417</v>
      </c>
      <c r="H67" s="350">
        <f t="shared" si="34"/>
        <v>116684.46857142856</v>
      </c>
      <c r="I67" s="350">
        <f t="shared" si="34"/>
        <v>157899.07657142857</v>
      </c>
      <c r="J67" s="351">
        <f t="shared" si="34"/>
        <v>201309.57759999999</v>
      </c>
    </row>
    <row r="68" spans="2:14" x14ac:dyDescent="0.25">
      <c r="B68" s="310" t="s">
        <v>239</v>
      </c>
      <c r="C68" s="338">
        <f>Depreciation!B8</f>
        <v>23886</v>
      </c>
      <c r="D68" s="338">
        <f>Depreciation!C8</f>
        <v>28107</v>
      </c>
      <c r="E68" s="338">
        <f>Depreciation!D8</f>
        <v>44477</v>
      </c>
      <c r="F68" s="350">
        <f>E68*(1+$N$72)</f>
        <v>53372.4</v>
      </c>
      <c r="G68" s="350">
        <f>F68*(1+$N$72)</f>
        <v>64046.879999999997</v>
      </c>
      <c r="H68" s="350">
        <f>G68*(1+$N$72)</f>
        <v>76856.255999999994</v>
      </c>
      <c r="I68" s="350">
        <f>H68*(1+$N$72)</f>
        <v>92227.507199999993</v>
      </c>
      <c r="J68" s="351">
        <f>I68*(1+$N$72)</f>
        <v>110673.00863999999</v>
      </c>
    </row>
    <row r="69" spans="2:14" x14ac:dyDescent="0.25">
      <c r="B69" s="310" t="s">
        <v>240</v>
      </c>
      <c r="C69" s="338">
        <f>Depreciation!B9</f>
        <v>14460</v>
      </c>
      <c r="D69" s="338">
        <f>Depreciation!C9</f>
        <v>13861</v>
      </c>
      <c r="E69" s="338">
        <f>Depreciation!D9</f>
        <v>22287</v>
      </c>
      <c r="F69" s="350">
        <f>F83</f>
        <v>15512.628571428571</v>
      </c>
      <c r="G69" s="350">
        <f t="shared" ref="G69:J69" si="35">G83</f>
        <v>24662.182857142856</v>
      </c>
      <c r="H69" s="350">
        <f t="shared" si="35"/>
        <v>35641.648000000001</v>
      </c>
      <c r="I69" s="350">
        <f t="shared" si="35"/>
        <v>48817.006171428569</v>
      </c>
      <c r="J69" s="351">
        <f t="shared" si="35"/>
        <v>64627.435977142857</v>
      </c>
    </row>
    <row r="70" spans="2:14" x14ac:dyDescent="0.25">
      <c r="B70" s="310" t="s">
        <v>241</v>
      </c>
      <c r="C70" s="338">
        <f>Depreciation!B11</f>
        <v>0.12976523799267714</v>
      </c>
      <c r="D70" s="338">
        <f>Depreciation!C11</f>
        <v>0.10037365852245572</v>
      </c>
      <c r="E70" s="338">
        <f>Depreciation!D11</f>
        <v>0.11197865637670892</v>
      </c>
      <c r="F70" s="339">
        <f t="shared" ref="F70:J70" si="36">F69/SUM(F67:F68)</f>
        <v>0.1671396125025166</v>
      </c>
      <c r="G70" s="339">
        <f t="shared" si="36"/>
        <v>0.17448013524116435</v>
      </c>
      <c r="H70" s="339">
        <f t="shared" si="36"/>
        <v>0.18415580534238424</v>
      </c>
      <c r="I70" s="339">
        <f t="shared" si="36"/>
        <v>0.19516920367024512</v>
      </c>
      <c r="J70" s="340">
        <f t="shared" si="36"/>
        <v>0.20715077965097281</v>
      </c>
    </row>
    <row r="71" spans="2:14" x14ac:dyDescent="0.25">
      <c r="B71" s="7" t="s">
        <v>242</v>
      </c>
      <c r="C71" s="362">
        <f>Depreciation!B12</f>
        <v>37378</v>
      </c>
      <c r="D71" s="362">
        <f>Depreciation!C12</f>
        <v>36766</v>
      </c>
      <c r="E71" s="362">
        <f>Depreciation!D12</f>
        <v>39440</v>
      </c>
      <c r="F71" s="363">
        <f>SUM(F67:F68)-F69</f>
        <v>77299.771428571417</v>
      </c>
      <c r="G71" s="363">
        <f t="shared" ref="G71:J71" si="37">SUM(G67:G68)-G69</f>
        <v>116684.46857142856</v>
      </c>
      <c r="H71" s="363">
        <f t="shared" si="37"/>
        <v>157899.07657142857</v>
      </c>
      <c r="I71" s="363">
        <f t="shared" si="37"/>
        <v>201309.57759999999</v>
      </c>
      <c r="J71" s="364">
        <f t="shared" si="37"/>
        <v>247355.15026285712</v>
      </c>
    </row>
    <row r="72" spans="2:14" x14ac:dyDescent="0.25">
      <c r="B72" s="310"/>
      <c r="F72" s="167"/>
      <c r="G72" s="167"/>
      <c r="H72" s="167"/>
      <c r="I72" s="167"/>
      <c r="J72" s="168"/>
      <c r="N72" s="218">
        <v>0.2</v>
      </c>
    </row>
    <row r="73" spans="2:14" x14ac:dyDescent="0.25">
      <c r="B73" s="23" t="s">
        <v>243</v>
      </c>
      <c r="C73" s="27"/>
      <c r="D73" s="27"/>
      <c r="E73" s="27"/>
      <c r="F73" s="347"/>
      <c r="G73" s="347"/>
      <c r="H73" s="347"/>
      <c r="I73" s="347"/>
      <c r="J73" s="348"/>
    </row>
    <row r="74" spans="2:14" x14ac:dyDescent="0.25">
      <c r="B74" s="310" t="s">
        <v>244</v>
      </c>
      <c r="C74" s="338"/>
      <c r="F74" s="442">
        <f>Depreciation!E15</f>
        <v>7888</v>
      </c>
      <c r="G74" s="442">
        <f>Depreciation!F15</f>
        <v>7888</v>
      </c>
      <c r="H74" s="442">
        <f>Depreciation!G15</f>
        <v>7888</v>
      </c>
      <c r="I74" s="442">
        <f>Depreciation!H15</f>
        <v>7888</v>
      </c>
      <c r="J74" s="346">
        <f>Depreciation!I15</f>
        <v>7888</v>
      </c>
    </row>
    <row r="75" spans="2:14" x14ac:dyDescent="0.25">
      <c r="B75" s="310"/>
      <c r="F75" s="167"/>
      <c r="G75" s="167"/>
      <c r="H75" s="167"/>
      <c r="I75" s="167"/>
      <c r="J75" s="168"/>
    </row>
    <row r="76" spans="2:14" x14ac:dyDescent="0.25">
      <c r="B76" s="23" t="s">
        <v>245</v>
      </c>
      <c r="C76" s="27"/>
      <c r="D76" s="27"/>
      <c r="E76" s="27"/>
      <c r="F76" s="347"/>
      <c r="G76" s="347"/>
      <c r="H76" s="347"/>
      <c r="I76" s="347"/>
      <c r="J76" s="348"/>
    </row>
    <row r="77" spans="2:14" x14ac:dyDescent="0.25">
      <c r="B77" s="365">
        <f t="array" ref="B77:B81">TRANSPOSE(F66:J66)</f>
        <v>46022</v>
      </c>
      <c r="F77" s="442">
        <f>Depreciation!E17</f>
        <v>7624.6285714285714</v>
      </c>
      <c r="G77" s="442">
        <f>Depreciation!F17</f>
        <v>7624.6285714285714</v>
      </c>
      <c r="H77" s="442">
        <f>Depreciation!G17</f>
        <v>7624.6285714285714</v>
      </c>
      <c r="I77" s="442">
        <f>Depreciation!H17</f>
        <v>7624.6285714285714</v>
      </c>
      <c r="J77" s="346">
        <f>Depreciation!I17</f>
        <v>7624.6285714285714</v>
      </c>
    </row>
    <row r="78" spans="2:14" x14ac:dyDescent="0.25">
      <c r="B78" s="365">
        <v>46387</v>
      </c>
      <c r="F78" s="442">
        <f>Depreciation!E18</f>
        <v>0</v>
      </c>
      <c r="G78" s="442">
        <f>Depreciation!F18</f>
        <v>9149.5542857142846</v>
      </c>
      <c r="H78" s="442">
        <f>Depreciation!G18</f>
        <v>9149.5542857142846</v>
      </c>
      <c r="I78" s="442">
        <f>Depreciation!H18</f>
        <v>9149.5542857142846</v>
      </c>
      <c r="J78" s="346">
        <f>Depreciation!I18</f>
        <v>9149.5542857142846</v>
      </c>
    </row>
    <row r="79" spans="2:14" x14ac:dyDescent="0.25">
      <c r="B79" s="365">
        <v>46752</v>
      </c>
      <c r="F79" s="442">
        <f>Depreciation!E19</f>
        <v>0</v>
      </c>
      <c r="G79" s="442">
        <f>Depreciation!F19</f>
        <v>0</v>
      </c>
      <c r="H79" s="442">
        <f>Depreciation!G19</f>
        <v>10979.465142857141</v>
      </c>
      <c r="I79" s="442">
        <f>Depreciation!H19</f>
        <v>10979.465142857141</v>
      </c>
      <c r="J79" s="346">
        <f>Depreciation!I19</f>
        <v>10979.465142857141</v>
      </c>
    </row>
    <row r="80" spans="2:14" x14ac:dyDescent="0.25">
      <c r="B80" s="365">
        <v>47118</v>
      </c>
      <c r="F80" s="442">
        <f>Depreciation!E20</f>
        <v>0</v>
      </c>
      <c r="G80" s="442">
        <f>Depreciation!F20</f>
        <v>0</v>
      </c>
      <c r="H80" s="442">
        <f>Depreciation!G20</f>
        <v>0</v>
      </c>
      <c r="I80" s="442">
        <f>Depreciation!H20</f>
        <v>13175.35817142857</v>
      </c>
      <c r="J80" s="346">
        <f>Depreciation!I20</f>
        <v>13175.35817142857</v>
      </c>
    </row>
    <row r="81" spans="2:10" x14ac:dyDescent="0.25">
      <c r="B81" s="365">
        <v>47483</v>
      </c>
      <c r="F81" s="442">
        <f>Depreciation!E21</f>
        <v>0</v>
      </c>
      <c r="G81" s="442">
        <f>Depreciation!F21</f>
        <v>0</v>
      </c>
      <c r="H81" s="442">
        <f>Depreciation!G21</f>
        <v>0</v>
      </c>
      <c r="I81" s="442">
        <f>Depreciation!H21</f>
        <v>0</v>
      </c>
      <c r="J81" s="346">
        <f>Depreciation!I21</f>
        <v>15810.429805714284</v>
      </c>
    </row>
    <row r="82" spans="2:10" x14ac:dyDescent="0.25">
      <c r="B82" s="366" t="s">
        <v>246</v>
      </c>
      <c r="C82" s="367"/>
      <c r="D82" s="367"/>
      <c r="E82" s="367"/>
      <c r="F82" s="442">
        <f>Depreciation!E22</f>
        <v>7624.6285714285714</v>
      </c>
      <c r="G82" s="442">
        <f>Depreciation!F22</f>
        <v>16774.182857142856</v>
      </c>
      <c r="H82" s="442">
        <f>Depreciation!G22</f>
        <v>27753.647999999997</v>
      </c>
      <c r="I82" s="442">
        <f>Depreciation!H22</f>
        <v>40929.006171428569</v>
      </c>
      <c r="J82" s="346">
        <f>Depreciation!I22</f>
        <v>56739.435977142857</v>
      </c>
    </row>
    <row r="83" spans="2:10" x14ac:dyDescent="0.25">
      <c r="B83" s="327" t="s">
        <v>247</v>
      </c>
      <c r="C83" s="265"/>
      <c r="D83" s="265"/>
      <c r="E83" s="265"/>
      <c r="F83" s="442">
        <f>Depreciation!E23</f>
        <v>15512.628571428571</v>
      </c>
      <c r="G83" s="442">
        <f>Depreciation!F23</f>
        <v>24662.182857142856</v>
      </c>
      <c r="H83" s="442">
        <f>Depreciation!G23</f>
        <v>35641.648000000001</v>
      </c>
      <c r="I83" s="442">
        <f>Depreciation!H23</f>
        <v>48817.006171428569</v>
      </c>
      <c r="J83" s="346">
        <f>Depreciation!I23</f>
        <v>64627.435977142857</v>
      </c>
    </row>
    <row r="84" spans="2:10" x14ac:dyDescent="0.25">
      <c r="B84" s="310"/>
      <c r="F84" s="167"/>
      <c r="G84" s="167"/>
      <c r="H84" s="167"/>
      <c r="I84" s="167"/>
      <c r="J84" s="168"/>
    </row>
    <row r="85" spans="2:10" x14ac:dyDescent="0.25">
      <c r="B85" s="310"/>
      <c r="F85" s="167"/>
      <c r="G85" s="167"/>
      <c r="H85" s="167"/>
      <c r="I85" s="167"/>
      <c r="J85" s="168"/>
    </row>
    <row r="86" spans="2:10" ht="17.25" x14ac:dyDescent="0.4">
      <c r="B86" s="310"/>
      <c r="C86" s="354" t="s">
        <v>48</v>
      </c>
      <c r="D86" s="355"/>
      <c r="E86" s="355"/>
      <c r="F86" s="356" t="s">
        <v>206</v>
      </c>
      <c r="G86" s="357"/>
      <c r="H86" s="357"/>
      <c r="I86" s="357"/>
      <c r="J86" s="358"/>
    </row>
    <row r="87" spans="2:10" ht="15.75" thickBot="1" x14ac:dyDescent="0.3">
      <c r="B87" s="359" t="s">
        <v>248</v>
      </c>
      <c r="C87" s="360">
        <v>44926</v>
      </c>
      <c r="D87" s="361">
        <v>45291</v>
      </c>
      <c r="E87" s="361">
        <v>45657</v>
      </c>
      <c r="F87" s="290">
        <v>46022</v>
      </c>
      <c r="G87" s="290">
        <v>46387</v>
      </c>
      <c r="H87" s="290">
        <v>46752</v>
      </c>
      <c r="I87" s="290">
        <v>47118</v>
      </c>
      <c r="J87" s="291">
        <v>47483</v>
      </c>
    </row>
    <row r="88" spans="2:10" x14ac:dyDescent="0.25">
      <c r="B88" s="310" t="s">
        <v>249</v>
      </c>
      <c r="C88" s="195"/>
      <c r="D88" s="195"/>
      <c r="E88" s="195"/>
      <c r="F88" s="442">
        <f>'[2]Financial Statements'!G68</f>
        <v>109106</v>
      </c>
      <c r="G88" s="350">
        <f t="shared" ref="G88:J88" si="38">F93</f>
        <v>117237.66666666667</v>
      </c>
      <c r="H88" s="350">
        <f t="shared" si="38"/>
        <v>117237.66666666667</v>
      </c>
      <c r="I88" s="350">
        <f t="shared" si="38"/>
        <v>117237.66666666667</v>
      </c>
      <c r="J88" s="351">
        <f t="shared" si="38"/>
        <v>117237.66666666667</v>
      </c>
    </row>
    <row r="89" spans="2:10" x14ac:dyDescent="0.25">
      <c r="B89" s="310" t="s">
        <v>250</v>
      </c>
      <c r="C89" s="338"/>
      <c r="D89" s="338"/>
      <c r="E89" s="338"/>
      <c r="F89" s="445">
        <f>E92</f>
        <v>0</v>
      </c>
      <c r="G89" s="446"/>
      <c r="H89" s="446"/>
      <c r="I89" s="446"/>
      <c r="J89" s="368"/>
    </row>
    <row r="90" spans="2:10" x14ac:dyDescent="0.25">
      <c r="B90" s="310" t="s">
        <v>251</v>
      </c>
      <c r="C90" s="338">
        <f>'Financial Statements'!E127</f>
        <v>0</v>
      </c>
      <c r="D90" s="338">
        <f>'Financial Statements'!F127</f>
        <v>0</v>
      </c>
      <c r="E90" s="338">
        <f>'Financial Statements'!G127</f>
        <v>24395</v>
      </c>
      <c r="F90" s="445">
        <f>AVERAGE(C90:E90)</f>
        <v>8131.666666666667</v>
      </c>
      <c r="G90" s="350">
        <v>0</v>
      </c>
      <c r="H90" s="350">
        <f>+G90</f>
        <v>0</v>
      </c>
      <c r="I90" s="350">
        <f>+H90</f>
        <v>0</v>
      </c>
      <c r="J90" s="351">
        <f>+I90</f>
        <v>0</v>
      </c>
    </row>
    <row r="91" spans="2:10" x14ac:dyDescent="0.25">
      <c r="B91" s="310" t="s">
        <v>252</v>
      </c>
      <c r="F91" s="350">
        <f>F90</f>
        <v>8131.666666666667</v>
      </c>
      <c r="G91" s="350">
        <f>SUM(F91,G90)</f>
        <v>8131.666666666667</v>
      </c>
      <c r="H91" s="350">
        <f t="shared" ref="H91:J91" si="39">SUM(G91,H90)</f>
        <v>8131.666666666667</v>
      </c>
      <c r="I91" s="350">
        <f t="shared" si="39"/>
        <v>8131.666666666667</v>
      </c>
      <c r="J91" s="351">
        <f t="shared" si="39"/>
        <v>8131.666666666667</v>
      </c>
    </row>
    <row r="92" spans="2:10" x14ac:dyDescent="0.25">
      <c r="B92" s="310" t="s">
        <v>253</v>
      </c>
      <c r="E92" s="369"/>
      <c r="F92" s="350">
        <f>G89</f>
        <v>0</v>
      </c>
      <c r="G92" s="350">
        <f t="shared" ref="G92:I92" si="40">H89</f>
        <v>0</v>
      </c>
      <c r="H92" s="350">
        <f t="shared" si="40"/>
        <v>0</v>
      </c>
      <c r="I92" s="350">
        <f t="shared" si="40"/>
        <v>0</v>
      </c>
      <c r="J92" s="351">
        <f>J88*0.1</f>
        <v>11723.766666666668</v>
      </c>
    </row>
    <row r="93" spans="2:10" x14ac:dyDescent="0.25">
      <c r="B93" s="327" t="s">
        <v>254</v>
      </c>
      <c r="C93" s="266"/>
      <c r="D93" s="266"/>
      <c r="E93" s="370">
        <f>F88</f>
        <v>109106</v>
      </c>
      <c r="F93" s="371">
        <f>SUM(F88,F90)-F92</f>
        <v>117237.66666666667</v>
      </c>
      <c r="G93" s="371">
        <f t="shared" ref="G93:J93" si="41">SUM(G88,G90)-G92</f>
        <v>117237.66666666667</v>
      </c>
      <c r="H93" s="371">
        <f t="shared" si="41"/>
        <v>117237.66666666667</v>
      </c>
      <c r="I93" s="371">
        <f t="shared" si="41"/>
        <v>117237.66666666667</v>
      </c>
      <c r="J93" s="372">
        <f t="shared" si="41"/>
        <v>105513.90000000001</v>
      </c>
    </row>
    <row r="94" spans="2:10" x14ac:dyDescent="0.25">
      <c r="B94" s="310"/>
      <c r="F94" s="167"/>
      <c r="G94" s="167"/>
      <c r="H94" s="167"/>
      <c r="I94" s="167"/>
      <c r="J94" s="168"/>
    </row>
    <row r="95" spans="2:10" x14ac:dyDescent="0.25">
      <c r="B95" s="310" t="s">
        <v>255</v>
      </c>
      <c r="F95" s="350">
        <f>E100</f>
        <v>848</v>
      </c>
      <c r="G95" s="350">
        <f t="shared" ref="G95:J95" si="42">F100</f>
        <v>829</v>
      </c>
      <c r="H95" s="350">
        <f t="shared" si="42"/>
        <v>853</v>
      </c>
      <c r="I95" s="350">
        <f t="shared" si="42"/>
        <v>906</v>
      </c>
      <c r="J95" s="351">
        <f t="shared" si="42"/>
        <v>926</v>
      </c>
    </row>
    <row r="96" spans="2:10" x14ac:dyDescent="0.25">
      <c r="B96" s="310" t="s">
        <v>256</v>
      </c>
      <c r="F96" s="350">
        <f>E99</f>
        <v>104</v>
      </c>
      <c r="G96" s="446">
        <v>123</v>
      </c>
      <c r="H96" s="446">
        <v>99</v>
      </c>
      <c r="I96" s="446">
        <v>46</v>
      </c>
      <c r="J96" s="368">
        <v>26</v>
      </c>
    </row>
    <row r="97" spans="2:10" x14ac:dyDescent="0.25">
      <c r="B97" s="310" t="s">
        <v>257</v>
      </c>
      <c r="F97" s="350">
        <f>F96</f>
        <v>104</v>
      </c>
      <c r="G97" s="350">
        <f t="shared" ref="G97:J97" si="43">G96</f>
        <v>123</v>
      </c>
      <c r="H97" s="350">
        <f t="shared" si="43"/>
        <v>99</v>
      </c>
      <c r="I97" s="350">
        <f t="shared" si="43"/>
        <v>46</v>
      </c>
      <c r="J97" s="351">
        <f t="shared" si="43"/>
        <v>26</v>
      </c>
    </row>
    <row r="98" spans="2:10" x14ac:dyDescent="0.25">
      <c r="B98" s="310" t="s">
        <v>258</v>
      </c>
      <c r="F98" s="350">
        <f>F97</f>
        <v>104</v>
      </c>
      <c r="G98" s="350">
        <f>SUM(F98,G97)</f>
        <v>227</v>
      </c>
      <c r="H98" s="350">
        <f t="shared" ref="H98:J98" si="44">SUM(G98,H97)</f>
        <v>326</v>
      </c>
      <c r="I98" s="350">
        <f t="shared" si="44"/>
        <v>372</v>
      </c>
      <c r="J98" s="351">
        <f t="shared" si="44"/>
        <v>398</v>
      </c>
    </row>
    <row r="99" spans="2:10" x14ac:dyDescent="0.25">
      <c r="B99" s="310" t="s">
        <v>259</v>
      </c>
      <c r="E99" s="369">
        <v>104</v>
      </c>
      <c r="F99" s="350">
        <f>G96</f>
        <v>123</v>
      </c>
      <c r="G99" s="350">
        <f t="shared" ref="G99:I99" si="45">H96</f>
        <v>99</v>
      </c>
      <c r="H99" s="350">
        <f t="shared" si="45"/>
        <v>46</v>
      </c>
      <c r="I99" s="350">
        <f t="shared" si="45"/>
        <v>26</v>
      </c>
      <c r="J99" s="351">
        <f>J95*0.1</f>
        <v>92.600000000000009</v>
      </c>
    </row>
    <row r="100" spans="2:10" x14ac:dyDescent="0.25">
      <c r="B100" s="327" t="s">
        <v>260</v>
      </c>
      <c r="C100" s="265"/>
      <c r="D100" s="265"/>
      <c r="E100" s="370">
        <v>848</v>
      </c>
      <c r="F100" s="371">
        <f>SUM(F95,F97)-F99</f>
        <v>829</v>
      </c>
      <c r="G100" s="371">
        <f t="shared" ref="G100:J100" si="46">SUM(G95,G97)-G99</f>
        <v>853</v>
      </c>
      <c r="H100" s="371">
        <f t="shared" si="46"/>
        <v>906</v>
      </c>
      <c r="I100" s="371">
        <f t="shared" si="46"/>
        <v>926</v>
      </c>
      <c r="J100" s="372">
        <f t="shared" si="46"/>
        <v>859.4</v>
      </c>
    </row>
    <row r="101" spans="2:10" x14ac:dyDescent="0.25">
      <c r="B101" s="310"/>
      <c r="F101" s="167"/>
      <c r="G101" s="167"/>
      <c r="H101" s="167"/>
      <c r="I101" s="167"/>
      <c r="J101" s="168"/>
    </row>
    <row r="102" spans="2:10" x14ac:dyDescent="0.25">
      <c r="B102" s="23" t="s">
        <v>261</v>
      </c>
      <c r="C102" s="27"/>
      <c r="D102" s="27"/>
      <c r="E102" s="27"/>
      <c r="F102" s="347"/>
      <c r="G102" s="347"/>
      <c r="H102" s="347"/>
      <c r="I102" s="347"/>
      <c r="J102" s="348"/>
    </row>
    <row r="103" spans="2:10" x14ac:dyDescent="0.25">
      <c r="B103" s="310" t="s">
        <v>262</v>
      </c>
      <c r="E103" s="373">
        <f>(-'[2]Financial Statements'!G21-E106)/SUM(E92:E93)</f>
        <v>2.4242479790295677E-2</v>
      </c>
      <c r="F103" s="339">
        <f>E103</f>
        <v>2.4242479790295677E-2</v>
      </c>
      <c r="G103" s="339">
        <f t="shared" ref="G103:J103" si="47">F103</f>
        <v>2.4242479790295677E-2</v>
      </c>
      <c r="H103" s="339">
        <f t="shared" si="47"/>
        <v>2.4242479790295677E-2</v>
      </c>
      <c r="I103" s="339">
        <f t="shared" si="47"/>
        <v>2.4242479790295677E-2</v>
      </c>
      <c r="J103" s="340">
        <f t="shared" si="47"/>
        <v>2.4242479790295677E-2</v>
      </c>
    </row>
    <row r="104" spans="2:10" x14ac:dyDescent="0.25">
      <c r="B104" s="310" t="s">
        <v>263</v>
      </c>
      <c r="F104" s="350">
        <f>AVERAGE(SUM(E92:E93),SUM(F92:F93))*F103</f>
        <v>2743.5658824140442</v>
      </c>
      <c r="G104" s="350">
        <f t="shared" ref="G104:J104" si="48">AVERAGE(SUM(F92:F93),SUM(G92:G93))*G103</f>
        <v>2842.1317648280879</v>
      </c>
      <c r="H104" s="350">
        <f t="shared" si="48"/>
        <v>2842.1317648280879</v>
      </c>
      <c r="I104" s="350">
        <f t="shared" si="48"/>
        <v>2842.1317648280879</v>
      </c>
      <c r="J104" s="351">
        <f t="shared" si="48"/>
        <v>2842.1317648280879</v>
      </c>
    </row>
    <row r="105" spans="2:10" x14ac:dyDescent="0.25">
      <c r="B105" s="310" t="s">
        <v>264</v>
      </c>
      <c r="E105" s="248">
        <f>E106/SUM(E99:E100)</f>
        <v>0</v>
      </c>
      <c r="F105" s="339">
        <f>E105</f>
        <v>0</v>
      </c>
      <c r="G105" s="339">
        <f t="shared" ref="G105:J105" si="49">F105</f>
        <v>0</v>
      </c>
      <c r="H105" s="339">
        <f t="shared" si="49"/>
        <v>0</v>
      </c>
      <c r="I105" s="339">
        <f t="shared" si="49"/>
        <v>0</v>
      </c>
      <c r="J105" s="340">
        <f t="shared" si="49"/>
        <v>0</v>
      </c>
    </row>
    <row r="106" spans="2:10" x14ac:dyDescent="0.25">
      <c r="B106" s="310" t="s">
        <v>265</v>
      </c>
      <c r="E106" s="369">
        <v>0</v>
      </c>
      <c r="F106" s="350">
        <f>AVERAGE(SUM(E99:E100),SUM(F99:F100))*F105</f>
        <v>0</v>
      </c>
      <c r="G106" s="350">
        <f t="shared" ref="G106:J106" si="50">AVERAGE(SUM(F99:F100),SUM(G99:G100))*G105</f>
        <v>0</v>
      </c>
      <c r="H106" s="350">
        <f t="shared" si="50"/>
        <v>0</v>
      </c>
      <c r="I106" s="350">
        <f t="shared" si="50"/>
        <v>0</v>
      </c>
      <c r="J106" s="351">
        <f t="shared" si="50"/>
        <v>0</v>
      </c>
    </row>
    <row r="107" spans="2:10" x14ac:dyDescent="0.25">
      <c r="B107" s="327" t="s">
        <v>266</v>
      </c>
      <c r="C107" s="265"/>
      <c r="D107" s="265"/>
      <c r="E107" s="265"/>
      <c r="F107" s="371">
        <f>SUM(F104,F106)</f>
        <v>2743.5658824140442</v>
      </c>
      <c r="G107" s="371">
        <f t="shared" ref="G107:J107" si="51">SUM(G104,G106)</f>
        <v>2842.1317648280879</v>
      </c>
      <c r="H107" s="371">
        <f t="shared" si="51"/>
        <v>2842.1317648280879</v>
      </c>
      <c r="I107" s="371">
        <f t="shared" si="51"/>
        <v>2842.1317648280879</v>
      </c>
      <c r="J107" s="372">
        <f t="shared" si="51"/>
        <v>2842.1317648280879</v>
      </c>
    </row>
    <row r="108" spans="2:10" x14ac:dyDescent="0.25">
      <c r="B108" s="310"/>
      <c r="F108" s="167"/>
      <c r="G108" s="167"/>
      <c r="H108" s="167"/>
      <c r="I108" s="167"/>
      <c r="J108" s="168"/>
    </row>
    <row r="109" spans="2:10" x14ac:dyDescent="0.25">
      <c r="B109" s="23" t="s">
        <v>267</v>
      </c>
      <c r="C109" s="27"/>
      <c r="D109" s="27"/>
      <c r="E109" s="27"/>
      <c r="F109" s="347"/>
      <c r="G109" s="347"/>
      <c r="H109" s="347"/>
      <c r="I109" s="347"/>
      <c r="J109" s="348"/>
    </row>
    <row r="110" spans="2:10" x14ac:dyDescent="0.25">
      <c r="B110" s="310" t="s">
        <v>268</v>
      </c>
      <c r="C110" s="338">
        <f>'Financial Statements'!E44</f>
        <v>13931</v>
      </c>
      <c r="D110" s="338">
        <f>'Financial Statements'!F44</f>
        <v>34704</v>
      </c>
      <c r="E110" s="338">
        <f>'Financial Statements'!G44</f>
        <v>18315</v>
      </c>
      <c r="F110" s="442">
        <f>'Financial Statements'!H44</f>
        <v>131006.75</v>
      </c>
      <c r="G110" s="442">
        <f>'Financial Statements'!I44</f>
        <v>177634.31</v>
      </c>
      <c r="H110" s="442">
        <f>'Financial Statements'!J44</f>
        <v>242424.39</v>
      </c>
      <c r="I110" s="442">
        <f>'Financial Statements'!K44</f>
        <v>328469.68</v>
      </c>
      <c r="J110" s="346">
        <f>'Financial Statements'!L44</f>
        <v>438795.19</v>
      </c>
    </row>
    <row r="111" spans="2:10" x14ac:dyDescent="0.25">
      <c r="B111" s="310" t="s">
        <v>269</v>
      </c>
      <c r="E111" s="248">
        <f>E112/AVERAGE(D110:E110)</f>
        <v>0.11908938305135895</v>
      </c>
      <c r="F111" s="305">
        <f>E111</f>
        <v>0.11908938305135895</v>
      </c>
      <c r="G111" s="305">
        <f t="shared" ref="G111:J111" si="52">F111</f>
        <v>0.11908938305135895</v>
      </c>
      <c r="H111" s="305">
        <f t="shared" si="52"/>
        <v>0.11908938305135895</v>
      </c>
      <c r="I111" s="305">
        <f t="shared" si="52"/>
        <v>0.11908938305135895</v>
      </c>
      <c r="J111" s="374">
        <f t="shared" si="52"/>
        <v>0.11908938305135895</v>
      </c>
    </row>
    <row r="112" spans="2:10" x14ac:dyDescent="0.25">
      <c r="B112" s="327" t="s">
        <v>267</v>
      </c>
      <c r="C112" s="375">
        <f>'Financial Statements'!E20</f>
        <v>2094</v>
      </c>
      <c r="D112" s="375">
        <f>'Financial Statements'!F20</f>
        <v>2994</v>
      </c>
      <c r="E112" s="375">
        <f>'Financial Statements'!G20</f>
        <v>3157</v>
      </c>
      <c r="F112" s="371">
        <f>AVERAGE(E110:F110)*F111</f>
        <v>8891.3175418246301</v>
      </c>
      <c r="G112" s="371">
        <f>AVERAGE(F110:G110)*G111</f>
        <v>18377.936709858732</v>
      </c>
      <c r="H112" s="371">
        <f t="shared" ref="H112:J112" si="53">AVERAGE(G110:H110)*H111</f>
        <v>25012.265714177938</v>
      </c>
      <c r="I112" s="371">
        <f t="shared" si="53"/>
        <v>33993.711291989668</v>
      </c>
      <c r="J112" s="372">
        <f t="shared" si="53"/>
        <v>45686.550002640564</v>
      </c>
    </row>
    <row r="113" spans="2:10" x14ac:dyDescent="0.25">
      <c r="F113" s="167"/>
      <c r="G113" s="167"/>
      <c r="H113" s="167"/>
      <c r="I113" s="167"/>
      <c r="J113" s="168"/>
    </row>
    <row r="114" spans="2:10" x14ac:dyDescent="0.25">
      <c r="F114" s="167"/>
      <c r="G114" s="167"/>
      <c r="H114" s="167"/>
      <c r="I114" s="167"/>
      <c r="J114" s="168"/>
    </row>
    <row r="115" spans="2:10" x14ac:dyDescent="0.25">
      <c r="B115" s="7" t="s">
        <v>270</v>
      </c>
      <c r="C115" s="376"/>
      <c r="D115" s="376"/>
      <c r="E115" s="376"/>
      <c r="F115" s="377"/>
      <c r="G115" s="377"/>
      <c r="H115" s="377"/>
      <c r="I115" s="377"/>
      <c r="J115" s="378"/>
    </row>
    <row r="116" spans="2:10" x14ac:dyDescent="0.25">
      <c r="B116" s="310" t="s">
        <v>271</v>
      </c>
      <c r="E116" s="379">
        <v>118848</v>
      </c>
      <c r="F116" s="174">
        <f>E122</f>
        <v>166871</v>
      </c>
      <c r="G116" s="174">
        <f>F122</f>
        <v>258884.40139743255</v>
      </c>
      <c r="H116" s="174">
        <f t="shared" ref="H116:J116" si="54">G122</f>
        <v>374825.03239655873</v>
      </c>
      <c r="I116" s="174">
        <f t="shared" si="54"/>
        <v>514251.5576873137</v>
      </c>
      <c r="J116" s="175">
        <f t="shared" si="54"/>
        <v>680032.45774470759</v>
      </c>
    </row>
    <row r="117" spans="2:10" x14ac:dyDescent="0.25">
      <c r="B117" s="310" t="s">
        <v>0</v>
      </c>
      <c r="E117" s="379">
        <f>'Financial Statements'!G28</f>
        <v>88357</v>
      </c>
      <c r="F117" s="442">
        <f>'Financial Statements'!H28</f>
        <v>92013.40139743255</v>
      </c>
      <c r="G117" s="442">
        <f>'Financial Statements'!I28</f>
        <v>115940.6309991262</v>
      </c>
      <c r="H117" s="442">
        <f>'Financial Statements'!J28</f>
        <v>139426.52529075497</v>
      </c>
      <c r="I117" s="442">
        <f>'Financial Statements'!K28</f>
        <v>165780.90005739391</v>
      </c>
      <c r="J117" s="346">
        <f>'Financial Statements'!L28</f>
        <v>194702.5329077295</v>
      </c>
    </row>
    <row r="118" spans="2:10" x14ac:dyDescent="0.25">
      <c r="B118" s="310" t="s">
        <v>272</v>
      </c>
      <c r="E118" s="379">
        <v>-21771</v>
      </c>
      <c r="F118" s="442">
        <f>'Financial Statements'!H131</f>
        <v>0</v>
      </c>
      <c r="G118" s="442">
        <f>'Financial Statements'!I131</f>
        <v>0</v>
      </c>
      <c r="H118" s="442">
        <f>'Financial Statements'!J131</f>
        <v>0</v>
      </c>
      <c r="I118" s="442">
        <f>'Financial Statements'!K131</f>
        <v>0</v>
      </c>
      <c r="J118" s="346">
        <f>'Financial Statements'!L131</f>
        <v>0</v>
      </c>
    </row>
    <row r="119" spans="2:10" x14ac:dyDescent="0.25">
      <c r="B119" s="310" t="s">
        <v>273</v>
      </c>
      <c r="E119" s="379">
        <v>-1309</v>
      </c>
      <c r="F119" s="174">
        <v>0</v>
      </c>
      <c r="G119" s="174">
        <v>0</v>
      </c>
      <c r="H119" s="174">
        <v>0</v>
      </c>
      <c r="I119" s="174">
        <v>0</v>
      </c>
      <c r="J119" s="175">
        <v>0</v>
      </c>
    </row>
    <row r="120" spans="2:10" x14ac:dyDescent="0.25">
      <c r="B120" s="310" t="s">
        <v>148</v>
      </c>
      <c r="E120" s="379">
        <v>-17254</v>
      </c>
      <c r="F120" s="174">
        <v>0</v>
      </c>
      <c r="G120" s="174">
        <v>0</v>
      </c>
      <c r="H120" s="174">
        <v>0</v>
      </c>
      <c r="I120" s="174">
        <v>0</v>
      </c>
      <c r="J120" s="175">
        <v>0</v>
      </c>
    </row>
    <row r="121" spans="2:10" x14ac:dyDescent="0.25">
      <c r="B121" s="310" t="s">
        <v>274</v>
      </c>
      <c r="E121" s="379" t="s">
        <v>275</v>
      </c>
      <c r="F121" s="174"/>
      <c r="G121" s="174"/>
      <c r="H121" s="174"/>
      <c r="I121" s="174"/>
      <c r="J121" s="175"/>
    </row>
    <row r="122" spans="2:10" ht="15.75" thickBot="1" x14ac:dyDescent="0.3">
      <c r="B122" s="380" t="s">
        <v>276</v>
      </c>
      <c r="C122" s="381"/>
      <c r="D122" s="381"/>
      <c r="E122" s="382">
        <f>SUM(E116:E121)</f>
        <v>166871</v>
      </c>
      <c r="F122" s="198">
        <f>SUM(F116:F121)</f>
        <v>258884.40139743255</v>
      </c>
      <c r="G122" s="198">
        <f t="shared" ref="G122:J122" si="55">SUM(G116:G121)</f>
        <v>374825.03239655873</v>
      </c>
      <c r="H122" s="198">
        <f t="shared" si="55"/>
        <v>514251.5576873137</v>
      </c>
      <c r="I122" s="198">
        <f t="shared" si="55"/>
        <v>680032.45774470759</v>
      </c>
      <c r="J122" s="199">
        <f t="shared" si="55"/>
        <v>874734.99065243709</v>
      </c>
    </row>
    <row r="123" spans="2:10" ht="15.75" thickTop="1" x14ac:dyDescent="0.25"/>
  </sheetData>
  <mergeCells count="2">
    <mergeCell ref="C3:E3"/>
    <mergeCell ref="F3:J3"/>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E5775-FFD7-4AA4-A46B-13E8567F5A2C}">
  <sheetPr>
    <tabColor theme="9" tint="0.39997558519241921"/>
  </sheetPr>
  <dimension ref="A1:T42"/>
  <sheetViews>
    <sheetView showGridLines="0" topLeftCell="A29" zoomScaleNormal="100" workbookViewId="0">
      <selection activeCell="H31" sqref="H31"/>
    </sheetView>
  </sheetViews>
  <sheetFormatPr defaultColWidth="8.7109375" defaultRowHeight="14.25" x14ac:dyDescent="0.2"/>
  <cols>
    <col min="1" max="1" width="2.7109375" style="223" customWidth="1"/>
    <col min="2" max="2" width="34.7109375" style="223" customWidth="1"/>
    <col min="3" max="3" width="17" style="223" bestFit="1" customWidth="1"/>
    <col min="4" max="4" width="15.7109375" style="223" bestFit="1" customWidth="1"/>
    <col min="5" max="9" width="12.7109375" style="223" customWidth="1"/>
    <col min="10" max="10" width="7.42578125" style="223" customWidth="1"/>
    <col min="11" max="11" width="32.7109375" style="223" customWidth="1"/>
    <col min="12" max="12" width="15" style="223" customWidth="1"/>
    <col min="13" max="15" width="8.7109375" style="223"/>
    <col min="16" max="20" width="11" style="223" customWidth="1"/>
    <col min="21" max="16384" width="8.7109375" style="223"/>
  </cols>
  <sheetData>
    <row r="1" spans="1:20" ht="18" x14ac:dyDescent="0.25">
      <c r="B1" s="224" t="str">
        <f>" Valuation Analysis " &amp; 'Summary Stock Performance'!C6</f>
        <v xml:space="preserve"> Valuation Analysis MICROSOFT CORP</v>
      </c>
      <c r="C1" s="225"/>
      <c r="D1" s="225"/>
    </row>
    <row r="2" spans="1:20" ht="15" x14ac:dyDescent="0.25">
      <c r="B2" s="5" t="s">
        <v>4</v>
      </c>
      <c r="C2" s="226"/>
      <c r="D2" s="226"/>
    </row>
    <row r="4" spans="1:20" x14ac:dyDescent="0.2">
      <c r="B4" s="227" t="s">
        <v>164</v>
      </c>
      <c r="C4" s="228" t="s">
        <v>165</v>
      </c>
    </row>
    <row r="5" spans="1:20" ht="15" x14ac:dyDescent="0.25">
      <c r="B5" s="229" t="s">
        <v>166</v>
      </c>
      <c r="C5" s="230">
        <f>'Summary Stock Performance'!C12</f>
        <v>45525</v>
      </c>
      <c r="D5" s="231"/>
      <c r="F5" s="232"/>
    </row>
    <row r="6" spans="1:20" x14ac:dyDescent="0.2">
      <c r="B6" s="233"/>
      <c r="C6" s="233"/>
      <c r="D6" s="233"/>
      <c r="E6" s="234"/>
      <c r="F6" s="235"/>
      <c r="G6" s="235"/>
      <c r="H6" s="235"/>
      <c r="I6" s="235"/>
    </row>
    <row r="7" spans="1:20" ht="15.75" thickBot="1" x14ac:dyDescent="0.3">
      <c r="A7" s="223" t="s">
        <v>5</v>
      </c>
      <c r="B7" s="236" t="s">
        <v>167</v>
      </c>
      <c r="C7" s="236"/>
      <c r="D7" s="236"/>
      <c r="E7" s="237">
        <v>46022</v>
      </c>
      <c r="F7" s="237">
        <v>46387</v>
      </c>
      <c r="G7" s="237">
        <v>46752</v>
      </c>
      <c r="H7" s="237">
        <v>47118</v>
      </c>
      <c r="I7" s="237">
        <v>47483</v>
      </c>
      <c r="K7" s="15" t="s">
        <v>168</v>
      </c>
      <c r="L7" s="15"/>
      <c r="M7" s="35"/>
      <c r="N7" s="238" t="s">
        <v>169</v>
      </c>
      <c r="O7" s="16"/>
      <c r="P7" s="16"/>
      <c r="Q7" s="16"/>
      <c r="R7" s="16"/>
      <c r="S7" s="16"/>
      <c r="T7" s="16"/>
    </row>
    <row r="8" spans="1:20" ht="15" x14ac:dyDescent="0.25">
      <c r="B8" s="239" t="s">
        <v>170</v>
      </c>
      <c r="C8" s="239"/>
      <c r="D8" s="239"/>
      <c r="E8" s="240">
        <f>'Financial Statements'!H19</f>
        <v>121623.43285780781</v>
      </c>
      <c r="F8" s="240">
        <f>'Financial Statements'!I19</f>
        <v>146401.06438120775</v>
      </c>
      <c r="G8" s="240">
        <f>'Financial Statements'!J19</f>
        <v>173517.17893635819</v>
      </c>
      <c r="H8" s="240">
        <f>'Financial Statements'!K19</f>
        <v>202403.92276803069</v>
      </c>
      <c r="I8" s="240">
        <f>'Financial Statements'!L19</f>
        <v>232268.69327500204</v>
      </c>
      <c r="K8" s="2" t="s">
        <v>171</v>
      </c>
      <c r="L8" s="241">
        <f>SUM(E18:I18)</f>
        <v>481068.83493287675</v>
      </c>
      <c r="M8" s="2"/>
      <c r="N8" s="242"/>
      <c r="O8" s="242"/>
      <c r="P8" s="243" t="s">
        <v>172</v>
      </c>
      <c r="Q8" s="244"/>
      <c r="R8" s="244"/>
      <c r="S8" s="244"/>
      <c r="T8" s="244"/>
    </row>
    <row r="9" spans="1:20" ht="15" customHeight="1" x14ac:dyDescent="0.25">
      <c r="B9" s="239" t="s">
        <v>173</v>
      </c>
      <c r="C9" s="239"/>
      <c r="D9" s="239"/>
      <c r="E9" s="245">
        <f>-E8*Assumptions!F41</f>
        <v>-36487.029857342342</v>
      </c>
      <c r="F9" s="245">
        <f>-F8*Assumptions!G41</f>
        <v>-43920.319314362321</v>
      </c>
      <c r="G9" s="245">
        <f>-G8*Assumptions!H41</f>
        <v>-52055.153680907453</v>
      </c>
      <c r="H9" s="245">
        <f>-H8*Assumptions!I41</f>
        <v>-60721.176830409204</v>
      </c>
      <c r="I9" s="245">
        <f>-I8*Assumptions!J41</f>
        <v>-69680.607982500602</v>
      </c>
      <c r="K9" s="2" t="s">
        <v>174</v>
      </c>
      <c r="L9" s="195">
        <f>I14*(1+L13)</f>
        <v>173027.40673455616</v>
      </c>
      <c r="M9" s="2"/>
      <c r="N9" s="242"/>
      <c r="O9" s="246">
        <f>C27</f>
        <v>413.55478116444596</v>
      </c>
      <c r="P9" s="247">
        <v>0.02</v>
      </c>
      <c r="Q9" s="247">
        <v>0.03</v>
      </c>
      <c r="R9" s="247">
        <v>0.04</v>
      </c>
      <c r="S9" s="247">
        <v>0.05</v>
      </c>
      <c r="T9" s="247">
        <v>0.06</v>
      </c>
    </row>
    <row r="10" spans="1:20" ht="15" customHeight="1" x14ac:dyDescent="0.25">
      <c r="B10" s="402" t="s">
        <v>175</v>
      </c>
      <c r="C10" s="402"/>
      <c r="D10" s="402"/>
      <c r="E10" s="403">
        <f>SUM(E8:E9)</f>
        <v>85136.403000465478</v>
      </c>
      <c r="F10" s="403">
        <f>SUM(F8:F9)</f>
        <v>102480.74506684543</v>
      </c>
      <c r="G10" s="403">
        <f>SUM(G8:G9)</f>
        <v>121462.02525545075</v>
      </c>
      <c r="H10" s="403">
        <f>SUM(H8:H9)</f>
        <v>141682.74593762148</v>
      </c>
      <c r="I10" s="403">
        <f>SUM(I8:I9)</f>
        <v>162588.08529250143</v>
      </c>
      <c r="K10" s="2" t="s">
        <v>176</v>
      </c>
      <c r="L10" s="248">
        <f>I15</f>
        <v>8.4063450681120297E-2</v>
      </c>
      <c r="M10" s="2"/>
      <c r="N10" s="554"/>
      <c r="O10" s="249">
        <f>O11-1%</f>
        <v>6.4063450681120307E-2</v>
      </c>
      <c r="P10" s="250">
        <f t="dataTable" ref="P10:T14" dt2D="1" dtr="1" r1="L13" r2="E16" ca="1"/>
        <v>304.67560546719034</v>
      </c>
      <c r="Q10" s="251">
        <v>349.89376106118533</v>
      </c>
      <c r="R10" s="251">
        <v>415.63602672601024</v>
      </c>
      <c r="S10" s="251">
        <v>519.97817839784068</v>
      </c>
      <c r="T10" s="252">
        <v>711.04284801153472</v>
      </c>
    </row>
    <row r="11" spans="1:20" ht="15" x14ac:dyDescent="0.25">
      <c r="B11" s="239" t="s">
        <v>178</v>
      </c>
      <c r="C11" s="239"/>
      <c r="D11" s="239"/>
      <c r="E11" s="245">
        <f>'Financial Statements'!H100</f>
        <v>15512.628571428571</v>
      </c>
      <c r="F11" s="245">
        <f>'Financial Statements'!I100</f>
        <v>24662.182857142856</v>
      </c>
      <c r="G11" s="245">
        <f>'Financial Statements'!J100</f>
        <v>35641.648000000001</v>
      </c>
      <c r="H11" s="245">
        <f>'Financial Statements'!K100</f>
        <v>48817.006171428569</v>
      </c>
      <c r="I11" s="245">
        <f>'Financial Statements'!L100</f>
        <v>64627.435977142857</v>
      </c>
      <c r="K11" s="2" t="s">
        <v>179</v>
      </c>
      <c r="L11" s="253">
        <f>I16</f>
        <v>5.3643835616438356</v>
      </c>
      <c r="M11" s="2"/>
      <c r="N11" s="554"/>
      <c r="O11" s="249">
        <f>O12-1%</f>
        <v>7.4063450681120302E-2</v>
      </c>
      <c r="P11" s="254">
        <v>304.65871823580403</v>
      </c>
      <c r="Q11" s="250">
        <v>349.87687382979897</v>
      </c>
      <c r="R11" s="251">
        <v>415.61913949462388</v>
      </c>
      <c r="S11" s="252">
        <v>519.96129116645432</v>
      </c>
      <c r="T11" s="255">
        <v>711.02596078014847</v>
      </c>
    </row>
    <row r="12" spans="1:20" ht="15" x14ac:dyDescent="0.25">
      <c r="B12" s="239" t="s">
        <v>180</v>
      </c>
      <c r="C12" s="239"/>
      <c r="D12" s="239"/>
      <c r="E12" s="245">
        <f>SUM('Financial Statements'!H105:H113)</f>
        <v>-20763.728279033676</v>
      </c>
      <c r="F12" s="245">
        <f>SUM('Financial Statements'!I105:I113)</f>
        <v>-13150.950162612175</v>
      </c>
      <c r="G12" s="245">
        <f>SUM('Financial Statements'!J105:J113)</f>
        <v>-14078.306824417159</v>
      </c>
      <c r="H12" s="245">
        <f>SUM('Financial Statements'!K105:K113)</f>
        <v>-14660.886073643338</v>
      </c>
      <c r="I12" s="245">
        <f>SUM('Financial Statements'!L105:L113)</f>
        <v>-14797.44213125241</v>
      </c>
      <c r="K12" s="2" t="s">
        <v>181</v>
      </c>
      <c r="L12" s="253">
        <f>I17</f>
        <v>0.64856443646820061</v>
      </c>
      <c r="M12" s="2"/>
      <c r="N12" s="554"/>
      <c r="O12" s="256">
        <f>L10</f>
        <v>8.4063450681120297E-2</v>
      </c>
      <c r="P12" s="254">
        <v>304.64184462968922</v>
      </c>
      <c r="Q12" s="254">
        <v>349.86000022368415</v>
      </c>
      <c r="R12" s="257">
        <v>415.60226588850907</v>
      </c>
      <c r="S12" s="255">
        <v>519.9444175603395</v>
      </c>
      <c r="T12" s="255">
        <v>711.00908717403365</v>
      </c>
    </row>
    <row r="13" spans="1:20" ht="15" x14ac:dyDescent="0.25">
      <c r="B13" s="239" t="s">
        <v>182</v>
      </c>
      <c r="C13" s="239"/>
      <c r="D13" s="239"/>
      <c r="E13" s="245">
        <f>'Financial Statements'!H116</f>
        <v>77252.228571428583</v>
      </c>
      <c r="F13" s="245">
        <f>'Financial Statements'!I116</f>
        <v>-39384.697142857141</v>
      </c>
      <c r="G13" s="245">
        <f>'Financial Statements'!J116</f>
        <v>-41214.608000000007</v>
      </c>
      <c r="H13" s="245">
        <f>'Financial Statements'!K116</f>
        <v>-43410.501028571423</v>
      </c>
      <c r="I13" s="245">
        <f>'Financial Statements'!L116</f>
        <v>-46045.572662857128</v>
      </c>
      <c r="K13" s="2" t="s">
        <v>183</v>
      </c>
      <c r="L13" s="258">
        <v>0.04</v>
      </c>
      <c r="M13" s="2"/>
      <c r="N13" s="554"/>
      <c r="O13" s="249">
        <f>O12+1%</f>
        <v>9.4063450681120292E-2</v>
      </c>
      <c r="P13" s="254">
        <v>304.62498463785255</v>
      </c>
      <c r="Q13" s="259">
        <v>349.84314023184749</v>
      </c>
      <c r="R13" s="260">
        <v>415.5854058966724</v>
      </c>
      <c r="S13" s="261">
        <v>519.92755756850283</v>
      </c>
      <c r="T13" s="255">
        <v>710.99222718219698</v>
      </c>
    </row>
    <row r="14" spans="1:20" ht="15" x14ac:dyDescent="0.25">
      <c r="B14" s="402" t="s">
        <v>184</v>
      </c>
      <c r="C14" s="402"/>
      <c r="D14" s="402"/>
      <c r="E14" s="404">
        <f>SUM(E10:E13)</f>
        <v>157137.53186428896</v>
      </c>
      <c r="F14" s="404">
        <f t="shared" ref="F14:I14" si="0">SUM(F10:F13)</f>
        <v>74607.280618518969</v>
      </c>
      <c r="G14" s="404">
        <f t="shared" si="0"/>
        <v>101810.75843103358</v>
      </c>
      <c r="H14" s="404">
        <f t="shared" si="0"/>
        <v>132428.36500683529</v>
      </c>
      <c r="I14" s="404">
        <f t="shared" si="0"/>
        <v>166372.50647553476</v>
      </c>
      <c r="K14" s="2" t="s">
        <v>185</v>
      </c>
      <c r="L14" s="195">
        <f>L9/(L10-L13)</f>
        <v>3926778.4084075959</v>
      </c>
      <c r="M14" s="2"/>
      <c r="N14" s="554"/>
      <c r="O14" s="249">
        <f>O13+1%</f>
        <v>0.10406345068112029</v>
      </c>
      <c r="P14" s="259">
        <v>304.60813824930943</v>
      </c>
      <c r="Q14" s="260">
        <v>349.82629384330443</v>
      </c>
      <c r="R14" s="260">
        <v>415.56855950812928</v>
      </c>
      <c r="S14" s="260">
        <v>519.91071117995978</v>
      </c>
      <c r="T14" s="261">
        <v>710.97538079365393</v>
      </c>
    </row>
    <row r="15" spans="1:20" ht="15" x14ac:dyDescent="0.25">
      <c r="B15" s="239" t="s">
        <v>176</v>
      </c>
      <c r="C15" s="239"/>
      <c r="D15" s="239"/>
      <c r="E15" s="262">
        <f>WACC!C20</f>
        <v>8.4063450681120297E-2</v>
      </c>
      <c r="F15" s="262">
        <f>E15</f>
        <v>8.4063450681120297E-2</v>
      </c>
      <c r="G15" s="262">
        <f t="shared" ref="G15:I15" si="1">F15</f>
        <v>8.4063450681120297E-2</v>
      </c>
      <c r="H15" s="262">
        <f t="shared" si="1"/>
        <v>8.4063450681120297E-2</v>
      </c>
      <c r="I15" s="262">
        <f t="shared" si="1"/>
        <v>8.4063450681120297E-2</v>
      </c>
      <c r="K15" s="6" t="s">
        <v>186</v>
      </c>
      <c r="L15" s="263">
        <f>L14*L12</f>
        <v>2546768.8255843702</v>
      </c>
      <c r="M15" s="2"/>
      <c r="N15" s="2"/>
      <c r="O15" s="2"/>
      <c r="P15" s="2"/>
      <c r="Q15" s="2"/>
      <c r="R15" s="2"/>
      <c r="S15" s="2"/>
      <c r="T15" s="2"/>
    </row>
    <row r="16" spans="1:20" ht="15" x14ac:dyDescent="0.25">
      <c r="B16" s="239" t="s">
        <v>179</v>
      </c>
      <c r="C16" s="239"/>
      <c r="D16" s="239"/>
      <c r="E16" s="264">
        <f>IF($C$4="Yes", (AVERAGE(E7,$C$5)-$C$5)/365,  (E7-$C$5)/365)</f>
        <v>1.3616438356164384</v>
      </c>
      <c r="F16" s="264">
        <f t="shared" ref="F16:I16" si="2">IF($C$4="Yes", (AVERAGE(F7,$C$5)-$C$5)/365,  (F7-$C$5)/365)</f>
        <v>2.3616438356164382</v>
      </c>
      <c r="G16" s="264">
        <f t="shared" si="2"/>
        <v>3.3616438356164382</v>
      </c>
      <c r="H16" s="264">
        <f t="shared" si="2"/>
        <v>4.3643835616438356</v>
      </c>
      <c r="I16" s="264">
        <f t="shared" si="2"/>
        <v>5.3643835616438356</v>
      </c>
      <c r="K16" s="265" t="s">
        <v>187</v>
      </c>
      <c r="L16" s="266">
        <f>SUM(L8,L15)</f>
        <v>3027837.6605172469</v>
      </c>
      <c r="M16" s="2"/>
      <c r="N16" s="2"/>
      <c r="O16" s="2"/>
      <c r="P16" s="2"/>
      <c r="Q16" s="2"/>
      <c r="R16" s="2"/>
      <c r="S16" s="2"/>
      <c r="T16" s="2"/>
    </row>
    <row r="17" spans="1:20" ht="15" x14ac:dyDescent="0.25">
      <c r="B17" s="239" t="s">
        <v>181</v>
      </c>
      <c r="C17" s="239"/>
      <c r="D17" s="239"/>
      <c r="E17" s="267">
        <f>1/((1+E15)^E16)</f>
        <v>0.89591741918268086</v>
      </c>
      <c r="F17" s="267">
        <f t="shared" ref="F17:I17" si="3">1/((1+F15)^F16)</f>
        <v>0.82644370919411891</v>
      </c>
      <c r="G17" s="267">
        <f t="shared" si="3"/>
        <v>0.76235732205053308</v>
      </c>
      <c r="H17" s="267">
        <f t="shared" si="3"/>
        <v>0.70308500098677373</v>
      </c>
      <c r="I17" s="267">
        <f t="shared" si="3"/>
        <v>0.64856443646820061</v>
      </c>
      <c r="K17" s="2"/>
      <c r="L17" s="2"/>
      <c r="M17" s="2"/>
      <c r="N17" s="2"/>
      <c r="O17" s="2"/>
      <c r="P17" s="2"/>
      <c r="Q17" s="2"/>
      <c r="R17" s="2"/>
      <c r="S17" s="2"/>
      <c r="T17" s="2"/>
    </row>
    <row r="18" spans="1:20" x14ac:dyDescent="0.2">
      <c r="A18" s="223" t="s">
        <v>5</v>
      </c>
      <c r="B18" s="402" t="s">
        <v>171</v>
      </c>
      <c r="C18" s="402"/>
      <c r="D18" s="402"/>
      <c r="E18" s="404">
        <f>E14*E17</f>
        <v>140782.25200459003</v>
      </c>
      <c r="F18" s="404">
        <f t="shared" ref="F18:I18" si="4">F14*F17</f>
        <v>61658.717727255316</v>
      </c>
      <c r="G18" s="404">
        <f t="shared" si="4"/>
        <v>77616.177153416487</v>
      </c>
      <c r="H18" s="404">
        <f t="shared" si="4"/>
        <v>93108.397141507623</v>
      </c>
      <c r="I18" s="404">
        <f t="shared" si="4"/>
        <v>107903.29090610726</v>
      </c>
    </row>
    <row r="19" spans="1:20" ht="15.75" thickBot="1" x14ac:dyDescent="0.3">
      <c r="B19" s="239"/>
      <c r="C19" s="239"/>
      <c r="D19" s="239"/>
      <c r="E19" s="239"/>
      <c r="F19" s="239"/>
      <c r="G19" s="239"/>
      <c r="H19" s="239"/>
      <c r="I19" s="239"/>
      <c r="K19" s="15" t="s">
        <v>188</v>
      </c>
      <c r="L19" s="35"/>
      <c r="M19" s="35"/>
      <c r="N19" s="238" t="s">
        <v>169</v>
      </c>
      <c r="O19" s="268"/>
      <c r="P19" s="268"/>
      <c r="Q19" s="268"/>
      <c r="R19" s="268"/>
      <c r="S19" s="268"/>
      <c r="T19" s="268"/>
    </row>
    <row r="20" spans="1:20" ht="15.75" customHeight="1" thickBot="1" x14ac:dyDescent="0.3">
      <c r="B20" s="269" t="s">
        <v>189</v>
      </c>
      <c r="C20" s="268" t="s">
        <v>38</v>
      </c>
      <c r="D20" s="268" t="s">
        <v>190</v>
      </c>
      <c r="E20" s="239"/>
      <c r="F20" s="239"/>
      <c r="G20" s="239"/>
      <c r="H20" s="239"/>
      <c r="K20" s="2" t="s">
        <v>171</v>
      </c>
      <c r="L20" s="241">
        <f>SUM(E18:I18)</f>
        <v>481068.83493287675</v>
      </c>
      <c r="M20" s="2"/>
      <c r="N20" s="242"/>
      <c r="O20" s="242"/>
      <c r="P20" s="243" t="s">
        <v>191</v>
      </c>
      <c r="Q20" s="244"/>
      <c r="R20" s="244"/>
      <c r="S20" s="244"/>
      <c r="T20" s="244"/>
    </row>
    <row r="21" spans="1:20" ht="14.65" customHeight="1" x14ac:dyDescent="0.25">
      <c r="B21" s="239" t="s">
        <v>192</v>
      </c>
      <c r="C21" s="270">
        <f>L16</f>
        <v>3027837.6605172469</v>
      </c>
      <c r="D21" s="270">
        <f>L28</f>
        <v>2977946.9596863757</v>
      </c>
      <c r="E21" s="239"/>
      <c r="F21" s="239"/>
      <c r="G21" s="239"/>
      <c r="H21" s="239"/>
      <c r="K21" s="2" t="s">
        <v>193</v>
      </c>
      <c r="L21" s="195">
        <f>I8</f>
        <v>232268.69327500204</v>
      </c>
      <c r="M21" s="2"/>
      <c r="N21" s="242"/>
      <c r="O21" s="246">
        <f>D27</f>
        <v>406.87507828174796</v>
      </c>
      <c r="P21" s="271">
        <v>6</v>
      </c>
      <c r="Q21" s="271">
        <v>7</v>
      </c>
      <c r="R21" s="272">
        <v>7.5</v>
      </c>
      <c r="S21" s="271">
        <v>9</v>
      </c>
      <c r="T21" s="271">
        <v>11</v>
      </c>
    </row>
    <row r="22" spans="1:20" ht="15" x14ac:dyDescent="0.25">
      <c r="B22" s="239" t="s">
        <v>194</v>
      </c>
      <c r="C22" s="245">
        <f>'Financial Statements'!G44</f>
        <v>18315</v>
      </c>
      <c r="D22" s="273">
        <f>C22</f>
        <v>18315</v>
      </c>
      <c r="F22" s="239"/>
      <c r="G22" s="239"/>
      <c r="H22" s="239"/>
      <c r="K22" s="2" t="s">
        <v>176</v>
      </c>
      <c r="L22" s="248">
        <f>I15</f>
        <v>8.4063450681120297E-2</v>
      </c>
      <c r="M22" s="2"/>
      <c r="N22" s="554" t="s">
        <v>177</v>
      </c>
      <c r="O22" s="249">
        <v>7.4999999999999997E-2</v>
      </c>
      <c r="P22" s="250">
        <f t="dataTable" ref="P22:T26" dt2D="1" dtr="1" r1="L26" r2="E16"/>
        <v>74.639524854148348</v>
      </c>
      <c r="Q22" s="251">
        <v>74.639611688321111</v>
      </c>
      <c r="R22" s="251">
        <v>74.639655105407499</v>
      </c>
      <c r="S22" s="251">
        <v>74.639785356666664</v>
      </c>
      <c r="T22" s="252">
        <v>74.639959025012217</v>
      </c>
    </row>
    <row r="23" spans="1:20" ht="15" x14ac:dyDescent="0.25">
      <c r="B23" s="239" t="s">
        <v>195</v>
      </c>
      <c r="C23" s="245">
        <f>'Financial Statements'!G74</f>
        <v>42688</v>
      </c>
      <c r="D23" s="273">
        <f t="shared" ref="D23:D26" si="5">C23</f>
        <v>42688</v>
      </c>
      <c r="F23" s="239"/>
      <c r="G23" s="239"/>
      <c r="H23" s="239"/>
      <c r="K23" s="2" t="s">
        <v>179</v>
      </c>
      <c r="L23" s="253">
        <f>I16</f>
        <v>5.3643835616438356</v>
      </c>
      <c r="M23" s="2"/>
      <c r="N23" s="554"/>
      <c r="O23" s="249">
        <v>0.09</v>
      </c>
      <c r="P23" s="254">
        <v>74.614221463897294</v>
      </c>
      <c r="Q23" s="250">
        <v>74.614308298070071</v>
      </c>
      <c r="R23" s="251">
        <v>74.614351715156474</v>
      </c>
      <c r="S23" s="252">
        <v>74.614481966415639</v>
      </c>
      <c r="T23" s="255">
        <v>74.614655634761192</v>
      </c>
    </row>
    <row r="24" spans="1:20" ht="15" x14ac:dyDescent="0.25">
      <c r="B24" s="239" t="s">
        <v>196</v>
      </c>
      <c r="C24" s="245">
        <v>0</v>
      </c>
      <c r="D24" s="273">
        <f t="shared" si="5"/>
        <v>0</v>
      </c>
      <c r="F24" s="239"/>
      <c r="G24" s="239"/>
      <c r="H24" s="239"/>
      <c r="K24" s="2" t="s">
        <v>181</v>
      </c>
      <c r="L24" s="253">
        <f>I17</f>
        <v>0.64856443646820061</v>
      </c>
      <c r="M24" s="2"/>
      <c r="N24" s="554"/>
      <c r="O24" s="256">
        <f>L22</f>
        <v>8.4063450681120297E-2</v>
      </c>
      <c r="P24" s="254">
        <v>74.624232122576402</v>
      </c>
      <c r="Q24" s="254">
        <v>74.624318956749164</v>
      </c>
      <c r="R24" s="257">
        <v>74.624362373835552</v>
      </c>
      <c r="S24" s="255">
        <v>74.624492625094717</v>
      </c>
      <c r="T24" s="255">
        <v>74.624666293440271</v>
      </c>
    </row>
    <row r="25" spans="1:20" ht="15" x14ac:dyDescent="0.25">
      <c r="B25" s="274" t="s">
        <v>197</v>
      </c>
      <c r="C25" s="275">
        <f>SUM(C21:C24)</f>
        <v>3088840.6605172469</v>
      </c>
      <c r="D25" s="275">
        <f>SUM(D21:D24)</f>
        <v>3038949.9596863757</v>
      </c>
      <c r="E25" s="239"/>
      <c r="F25" s="239"/>
      <c r="G25" s="239"/>
      <c r="H25" s="239"/>
      <c r="K25" s="2" t="s">
        <v>198</v>
      </c>
      <c r="L25" s="276">
        <f>'Trading Comps'!I14</f>
        <v>16.574999999999999</v>
      </c>
      <c r="M25" s="2"/>
      <c r="N25" s="554"/>
      <c r="O25" s="249">
        <v>0.12</v>
      </c>
      <c r="P25" s="254">
        <v>74.563706498707091</v>
      </c>
      <c r="Q25" s="259">
        <v>74.563793332879868</v>
      </c>
      <c r="R25" s="260">
        <v>74.563836749966256</v>
      </c>
      <c r="S25" s="261">
        <v>74.563967001225421</v>
      </c>
      <c r="T25" s="255">
        <v>74.564140669570975</v>
      </c>
    </row>
    <row r="26" spans="1:20" ht="15" x14ac:dyDescent="0.25">
      <c r="B26" s="239" t="s">
        <v>199</v>
      </c>
      <c r="C26" s="245">
        <f>'Financial Statements'!H37</f>
        <v>7469</v>
      </c>
      <c r="D26" s="273">
        <f t="shared" si="5"/>
        <v>7469</v>
      </c>
      <c r="E26" s="239"/>
      <c r="F26" s="239"/>
      <c r="G26" s="239"/>
      <c r="H26" s="239"/>
      <c r="K26" s="2" t="s">
        <v>185</v>
      </c>
      <c r="L26" s="195">
        <f>L21*L25</f>
        <v>3849853.5910331584</v>
      </c>
      <c r="M26" s="2"/>
      <c r="N26" s="554"/>
      <c r="O26" s="249">
        <v>0.13500000000000001</v>
      </c>
      <c r="P26" s="259">
        <v>74.538494849717665</v>
      </c>
      <c r="Q26" s="260">
        <v>74.538581683890442</v>
      </c>
      <c r="R26" s="260">
        <v>74.53862510097683</v>
      </c>
      <c r="S26" s="260">
        <v>74.538755352235995</v>
      </c>
      <c r="T26" s="261">
        <v>74.538929020581548</v>
      </c>
    </row>
    <row r="27" spans="1:20" ht="15.75" thickBot="1" x14ac:dyDescent="0.3">
      <c r="A27" s="223" t="s">
        <v>5</v>
      </c>
      <c r="B27" s="405" t="s">
        <v>200</v>
      </c>
      <c r="C27" s="406">
        <f>C25/C26</f>
        <v>413.55478116444596</v>
      </c>
      <c r="D27" s="406">
        <f>D25/D26</f>
        <v>406.87507828174796</v>
      </c>
      <c r="E27" s="239"/>
      <c r="F27" s="239"/>
      <c r="G27" s="239"/>
      <c r="H27" s="239"/>
      <c r="K27" s="6" t="s">
        <v>186</v>
      </c>
      <c r="L27" s="263">
        <f>L26*L24</f>
        <v>2496878.1247534989</v>
      </c>
      <c r="M27" s="2"/>
      <c r="N27" s="2"/>
      <c r="O27" s="2"/>
      <c r="P27" s="2"/>
      <c r="Q27" s="2"/>
      <c r="R27" s="2"/>
      <c r="S27" s="2"/>
      <c r="T27" s="2"/>
    </row>
    <row r="28" spans="1:20" ht="15.75" thickTop="1" x14ac:dyDescent="0.25">
      <c r="K28" s="265" t="s">
        <v>201</v>
      </c>
      <c r="L28" s="266">
        <f>SUM(L20,L27)</f>
        <v>2977946.9596863757</v>
      </c>
      <c r="M28" s="2"/>
      <c r="N28" s="2"/>
      <c r="O28" s="2"/>
      <c r="P28" s="2"/>
      <c r="Q28" s="2"/>
      <c r="R28" s="2"/>
      <c r="S28" s="2"/>
      <c r="T28" s="2"/>
    </row>
    <row r="30" spans="1:20" ht="15.75" thickBot="1" x14ac:dyDescent="0.3">
      <c r="G30" s="277"/>
      <c r="N30" s="238"/>
      <c r="O30" s="16"/>
      <c r="P30" s="16"/>
      <c r="Q30" s="16"/>
      <c r="R30" s="16"/>
      <c r="S30" s="16"/>
      <c r="T30" s="16"/>
    </row>
    <row r="31" spans="1:20" ht="15.75" thickBot="1" x14ac:dyDescent="0.3">
      <c r="B31" s="15" t="s">
        <v>35</v>
      </c>
      <c r="C31" s="268" t="s">
        <v>38</v>
      </c>
      <c r="D31" s="268" t="s">
        <v>202</v>
      </c>
    </row>
    <row r="32" spans="1:20" ht="15" x14ac:dyDescent="0.25">
      <c r="B32" s="2" t="s">
        <v>40</v>
      </c>
      <c r="C32" s="278">
        <v>400</v>
      </c>
      <c r="D32" s="279">
        <v>0.5</v>
      </c>
    </row>
    <row r="33" spans="2:6" ht="15" x14ac:dyDescent="0.25">
      <c r="B33" s="2" t="s">
        <v>41</v>
      </c>
      <c r="C33" s="278">
        <v>415</v>
      </c>
      <c r="D33" s="279">
        <v>0.25</v>
      </c>
    </row>
    <row r="34" spans="2:6" ht="15" x14ac:dyDescent="0.25">
      <c r="B34" s="2" t="s">
        <v>43</v>
      </c>
      <c r="C34" s="278">
        <v>385</v>
      </c>
      <c r="D34" s="279">
        <v>0.25</v>
      </c>
    </row>
    <row r="35" spans="2:6" ht="15" x14ac:dyDescent="0.25">
      <c r="B35" s="265" t="s">
        <v>203</v>
      </c>
      <c r="C35" s="280">
        <f>($D$32*C32)+($D$33*C33)+($D$34*C34)</f>
        <v>400</v>
      </c>
      <c r="D35" s="2"/>
    </row>
    <row r="36" spans="2:6" ht="15" x14ac:dyDescent="0.25">
      <c r="B36" s="2" t="s">
        <v>204</v>
      </c>
      <c r="C36" s="281">
        <f>'Summary Stock Performance'!C8</f>
        <v>424.14</v>
      </c>
      <c r="D36" s="2"/>
      <c r="F36" s="524"/>
    </row>
    <row r="37" spans="2:6" ht="15" x14ac:dyDescent="0.25">
      <c r="B37" s="2"/>
      <c r="C37" s="2"/>
      <c r="D37" s="2"/>
      <c r="E37" s="2"/>
    </row>
    <row r="38" spans="2:6" ht="15" x14ac:dyDescent="0.25">
      <c r="B38" s="2"/>
      <c r="C38" s="2"/>
      <c r="D38" s="2"/>
      <c r="E38" s="2"/>
    </row>
    <row r="39" spans="2:6" ht="15.75" thickBot="1" x14ac:dyDescent="0.3">
      <c r="B39" s="282" t="s">
        <v>205</v>
      </c>
      <c r="C39" s="283">
        <v>1</v>
      </c>
      <c r="D39" s="2"/>
      <c r="E39" s="2"/>
    </row>
    <row r="40" spans="2:6" ht="15" x14ac:dyDescent="0.25">
      <c r="B40" s="2" t="s">
        <v>40</v>
      </c>
      <c r="C40" s="284">
        <v>1</v>
      </c>
      <c r="D40" s="2"/>
      <c r="E40" s="2"/>
    </row>
    <row r="41" spans="2:6" ht="15" x14ac:dyDescent="0.25">
      <c r="B41" s="2" t="s">
        <v>41</v>
      </c>
      <c r="C41" s="284">
        <v>2</v>
      </c>
      <c r="D41" s="2"/>
      <c r="E41" s="2"/>
    </row>
    <row r="42" spans="2:6" ht="15" x14ac:dyDescent="0.25">
      <c r="B42" s="2" t="s">
        <v>43</v>
      </c>
      <c r="C42" s="284">
        <v>3</v>
      </c>
      <c r="D42" s="2"/>
      <c r="E42" s="2"/>
    </row>
  </sheetData>
  <mergeCells count="2">
    <mergeCell ref="N22:N26"/>
    <mergeCell ref="N10:N14"/>
  </mergeCells>
  <dataValidations disablePrompts="1" count="2">
    <dataValidation type="list" allowBlank="1" showInputMessage="1" showErrorMessage="1" sqref="C39" xr:uid="{11820983-A4C3-47D0-86B4-C41B7526A8CC}">
      <formula1>$C$40:$C$42</formula1>
    </dataValidation>
    <dataValidation type="list" allowBlank="1" showInputMessage="1" showErrorMessage="1" sqref="C4" xr:uid="{9D619ADB-373C-425D-97E3-5F480A689168}">
      <formula1>"Yes, No"</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1404E-1748-4E43-A562-12833DAE624B}">
  <sheetPr>
    <tabColor theme="9" tint="0.39997558519241921"/>
  </sheetPr>
  <dimension ref="A1:M45"/>
  <sheetViews>
    <sheetView showGridLines="0" workbookViewId="0">
      <selection activeCell="Q17" sqref="Q17"/>
    </sheetView>
  </sheetViews>
  <sheetFormatPr defaultColWidth="8.7109375" defaultRowHeight="15" x14ac:dyDescent="0.25"/>
  <cols>
    <col min="1" max="1" width="2.7109375" style="2" customWidth="1"/>
    <col min="2" max="2" width="33.140625" style="2" customWidth="1"/>
    <col min="3" max="10" width="11.7109375" style="2" customWidth="1"/>
    <col min="11" max="11" width="8.7109375" style="2"/>
    <col min="12" max="12" width="13.42578125" style="2" bestFit="1" customWidth="1"/>
    <col min="13" max="16384" width="8.7109375" style="2"/>
  </cols>
  <sheetData>
    <row r="1" spans="1:13" ht="18.75" x14ac:dyDescent="0.3">
      <c r="B1" s="285" t="str">
        <f>" Valuation Analysis " &amp; 'Summary Stock Performance'!C6</f>
        <v xml:space="preserve"> Valuation Analysis MICROSOFT CORP</v>
      </c>
    </row>
    <row r="2" spans="1:13" x14ac:dyDescent="0.25">
      <c r="B2" s="5" t="s">
        <v>4</v>
      </c>
    </row>
    <row r="4" spans="1:13" ht="17.25" x14ac:dyDescent="0.4">
      <c r="B4" s="407"/>
      <c r="C4" s="409" t="s">
        <v>48</v>
      </c>
      <c r="D4" s="410"/>
      <c r="E4" s="410"/>
      <c r="F4" s="286" t="s">
        <v>206</v>
      </c>
      <c r="G4" s="287"/>
      <c r="H4" s="287"/>
      <c r="I4" s="287"/>
      <c r="J4" s="288"/>
    </row>
    <row r="5" spans="1:13" ht="15.75" thickBot="1" x14ac:dyDescent="0.3">
      <c r="A5" s="2" t="s">
        <v>5</v>
      </c>
      <c r="B5" s="411" t="s">
        <v>211</v>
      </c>
      <c r="C5" s="415">
        <v>44926</v>
      </c>
      <c r="D5" s="151">
        <v>45291</v>
      </c>
      <c r="E5" s="151">
        <v>45657</v>
      </c>
      <c r="F5" s="290">
        <v>46022</v>
      </c>
      <c r="G5" s="290">
        <v>46387</v>
      </c>
      <c r="H5" s="290">
        <v>46752</v>
      </c>
      <c r="I5" s="290">
        <v>47118</v>
      </c>
      <c r="J5" s="291">
        <v>47483</v>
      </c>
      <c r="L5" s="282" t="s">
        <v>205</v>
      </c>
      <c r="M5" s="332">
        <v>1</v>
      </c>
    </row>
    <row r="6" spans="1:13" x14ac:dyDescent="0.25">
      <c r="B6" s="319" t="s">
        <v>216</v>
      </c>
      <c r="C6" s="333"/>
      <c r="D6" s="333"/>
      <c r="E6" s="333"/>
      <c r="F6" s="334"/>
      <c r="G6" s="334"/>
      <c r="H6" s="334"/>
      <c r="I6" s="334"/>
      <c r="J6" s="335"/>
      <c r="L6" s="2" t="s">
        <v>40</v>
      </c>
      <c r="M6" s="284">
        <v>1</v>
      </c>
    </row>
    <row r="7" spans="1:13" x14ac:dyDescent="0.25">
      <c r="B7" s="310" t="s">
        <v>217</v>
      </c>
      <c r="C7" s="338">
        <f>'Financial Statements'!E7</f>
        <v>72732</v>
      </c>
      <c r="D7" s="338">
        <f>'Financial Statements'!F7</f>
        <v>64699</v>
      </c>
      <c r="E7" s="338">
        <f>'Financial Statements'!G7</f>
        <v>64773</v>
      </c>
      <c r="F7" s="336"/>
      <c r="G7" s="336"/>
      <c r="H7" s="336"/>
      <c r="I7" s="336"/>
      <c r="J7" s="337"/>
      <c r="L7" s="2" t="s">
        <v>41</v>
      </c>
      <c r="M7" s="284">
        <v>2</v>
      </c>
    </row>
    <row r="8" spans="1:13" x14ac:dyDescent="0.25">
      <c r="B8" s="310" t="s">
        <v>216</v>
      </c>
      <c r="C8" s="338">
        <f>'Financial Statements'!E11</f>
        <v>19064</v>
      </c>
      <c r="D8" s="338">
        <f>'Financial Statements'!F11</f>
        <v>17804</v>
      </c>
      <c r="E8" s="338">
        <f>'Financial Statements'!G11</f>
        <v>15272</v>
      </c>
      <c r="F8" s="336"/>
      <c r="G8" s="336"/>
      <c r="H8" s="336"/>
      <c r="I8" s="336"/>
      <c r="J8" s="175"/>
      <c r="L8" s="2" t="s">
        <v>43</v>
      </c>
      <c r="M8" s="284">
        <v>3</v>
      </c>
    </row>
    <row r="9" spans="1:13" x14ac:dyDescent="0.25">
      <c r="B9" s="310" t="s">
        <v>218</v>
      </c>
      <c r="C9" s="248">
        <f>C8/C7</f>
        <v>0.26211296265742728</v>
      </c>
      <c r="D9" s="248">
        <f t="shared" ref="D9:E9" si="0">D8/D7</f>
        <v>0.27518199663055071</v>
      </c>
      <c r="E9" s="248">
        <f t="shared" si="0"/>
        <v>0.23577725286770723</v>
      </c>
      <c r="F9" s="339">
        <f>CHOOSE($M$5, F11, F12, F13)</f>
        <v>0.25769073738522841</v>
      </c>
      <c r="G9" s="339">
        <f t="shared" ref="G9:J9" si="1">CHOOSE($M$5, G11, G12, G13)</f>
        <v>0.2476907373852284</v>
      </c>
      <c r="H9" s="339">
        <f t="shared" si="1"/>
        <v>0.23769073738522839</v>
      </c>
      <c r="I9" s="339">
        <f t="shared" si="1"/>
        <v>0.22769073738522838</v>
      </c>
      <c r="J9" s="340">
        <f t="shared" si="1"/>
        <v>0.21769073738522837</v>
      </c>
    </row>
    <row r="10" spans="1:13" x14ac:dyDescent="0.25">
      <c r="B10" s="310" t="s">
        <v>219</v>
      </c>
      <c r="C10" s="248"/>
      <c r="D10" s="248"/>
      <c r="E10" s="248">
        <f>AVERAGE(C9:E9)</f>
        <v>0.25769073738522841</v>
      </c>
      <c r="F10" s="339"/>
      <c r="G10" s="339"/>
      <c r="H10" s="339"/>
      <c r="I10" s="339"/>
      <c r="J10" s="340"/>
    </row>
    <row r="11" spans="1:13" x14ac:dyDescent="0.25">
      <c r="B11" s="310" t="s">
        <v>40</v>
      </c>
      <c r="F11" s="341">
        <f>E10</f>
        <v>0.25769073738522841</v>
      </c>
      <c r="G11" s="339">
        <f>F11-0.01</f>
        <v>0.2476907373852284</v>
      </c>
      <c r="H11" s="339">
        <f t="shared" ref="H11:J11" si="2">G11-0.01</f>
        <v>0.23769073738522839</v>
      </c>
      <c r="I11" s="339">
        <f t="shared" si="2"/>
        <v>0.22769073738522838</v>
      </c>
      <c r="J11" s="340">
        <f t="shared" si="2"/>
        <v>0.21769073738522837</v>
      </c>
    </row>
    <row r="12" spans="1:13" x14ac:dyDescent="0.25">
      <c r="B12" s="310" t="s">
        <v>41</v>
      </c>
      <c r="F12" s="339">
        <f>F11-0.025</f>
        <v>0.23269073738522841</v>
      </c>
      <c r="G12" s="339">
        <f t="shared" ref="G12:J12" si="3">G11-0.025</f>
        <v>0.2226907373852284</v>
      </c>
      <c r="H12" s="339">
        <f t="shared" si="3"/>
        <v>0.2126907373852284</v>
      </c>
      <c r="I12" s="339">
        <f t="shared" si="3"/>
        <v>0.20269073738522839</v>
      </c>
      <c r="J12" s="340">
        <f t="shared" si="3"/>
        <v>0.19269073738522838</v>
      </c>
    </row>
    <row r="13" spans="1:13" ht="15.75" thickBot="1" x14ac:dyDescent="0.3">
      <c r="B13" s="310" t="s">
        <v>43</v>
      </c>
      <c r="F13" s="339">
        <f>F11+0.025</f>
        <v>0.28269073738522843</v>
      </c>
      <c r="G13" s="339">
        <f t="shared" ref="G13:J13" si="4">G11+0.025</f>
        <v>0.27269073738522842</v>
      </c>
      <c r="H13" s="339">
        <f t="shared" si="4"/>
        <v>0.26269073738522841</v>
      </c>
      <c r="I13" s="339">
        <f t="shared" si="4"/>
        <v>0.2526907373852284</v>
      </c>
      <c r="J13" s="340">
        <f t="shared" si="4"/>
        <v>0.24269073738522837</v>
      </c>
    </row>
    <row r="14" spans="1:13" x14ac:dyDescent="0.25">
      <c r="A14" s="2" t="s">
        <v>5</v>
      </c>
      <c r="B14" s="319" t="s">
        <v>220</v>
      </c>
      <c r="C14" s="333"/>
      <c r="D14" s="333"/>
      <c r="E14" s="333"/>
      <c r="F14" s="334"/>
      <c r="G14" s="334"/>
      <c r="H14" s="334"/>
      <c r="I14" s="334"/>
      <c r="J14" s="335"/>
    </row>
    <row r="15" spans="1:13" x14ac:dyDescent="0.25">
      <c r="B15" s="310" t="s">
        <v>221</v>
      </c>
      <c r="C15" s="338">
        <f>'Financial Statements'!E8</f>
        <v>125538</v>
      </c>
      <c r="D15" s="338">
        <f>'Financial Statements'!F8</f>
        <v>147216</v>
      </c>
      <c r="E15" s="338">
        <f>'Financial Statements'!G8</f>
        <v>180348</v>
      </c>
      <c r="F15" s="167"/>
      <c r="G15" s="167"/>
      <c r="H15" s="167"/>
      <c r="I15" s="167"/>
      <c r="J15" s="168"/>
    </row>
    <row r="16" spans="1:13" x14ac:dyDescent="0.25">
      <c r="B16" s="310" t="s">
        <v>220</v>
      </c>
      <c r="C16" s="342">
        <f>'Financial Statements'!E12</f>
        <v>43586</v>
      </c>
      <c r="D16" s="342">
        <f>'Financial Statements'!F12</f>
        <v>48059</v>
      </c>
      <c r="E16" s="342">
        <f>'Financial Statements'!G12</f>
        <v>58842</v>
      </c>
      <c r="F16" s="167"/>
      <c r="G16" s="167"/>
      <c r="H16" s="167"/>
      <c r="I16" s="167"/>
      <c r="J16" s="168"/>
    </row>
    <row r="17" spans="2:13" x14ac:dyDescent="0.25">
      <c r="B17" s="310" t="s">
        <v>222</v>
      </c>
      <c r="C17" s="248">
        <f>C16/C15</f>
        <v>0.34719367840813142</v>
      </c>
      <c r="D17" s="248">
        <f t="shared" ref="D17:E17" si="5">D16/D15</f>
        <v>0.3264522877948049</v>
      </c>
      <c r="E17" s="248">
        <f t="shared" si="5"/>
        <v>0.32626921285514671</v>
      </c>
      <c r="F17" s="339">
        <f>CHOOSE($M$5, F19, F20, F21)</f>
        <v>0.33330505968602769</v>
      </c>
      <c r="G17" s="339">
        <f t="shared" ref="G17:J17" si="6">CHOOSE($M$5, G19, G20, G21)</f>
        <v>0.31330505968602768</v>
      </c>
      <c r="H17" s="339">
        <f t="shared" si="6"/>
        <v>0.29330505968602766</v>
      </c>
      <c r="I17" s="339">
        <f t="shared" si="6"/>
        <v>0.27330505968602764</v>
      </c>
      <c r="J17" s="340">
        <f t="shared" si="6"/>
        <v>0.25330505968602762</v>
      </c>
    </row>
    <row r="18" spans="2:13" x14ac:dyDescent="0.25">
      <c r="B18" s="310" t="s">
        <v>219</v>
      </c>
      <c r="C18" s="248"/>
      <c r="D18" s="248"/>
      <c r="E18" s="248">
        <f>AVERAGE(C17:E17)</f>
        <v>0.33330505968602769</v>
      </c>
      <c r="F18" s="339"/>
      <c r="G18" s="339"/>
      <c r="H18" s="339"/>
      <c r="I18" s="339"/>
      <c r="J18" s="340"/>
    </row>
    <row r="19" spans="2:13" x14ac:dyDescent="0.25">
      <c r="B19" s="310" t="s">
        <v>40</v>
      </c>
      <c r="F19" s="341">
        <f>E18</f>
        <v>0.33330505968602769</v>
      </c>
      <c r="G19" s="339">
        <f>F19+$M$19</f>
        <v>0.31330505968602768</v>
      </c>
      <c r="H19" s="339">
        <f>G19+$M$19</f>
        <v>0.29330505968602766</v>
      </c>
      <c r="I19" s="339">
        <f>H19+$M$19</f>
        <v>0.27330505968602764</v>
      </c>
      <c r="J19" s="340">
        <f>I19+$M$19</f>
        <v>0.25330505968602762</v>
      </c>
      <c r="L19" s="327" t="s">
        <v>213</v>
      </c>
      <c r="M19" s="328">
        <v>-0.02</v>
      </c>
    </row>
    <row r="20" spans="2:13" x14ac:dyDescent="0.25">
      <c r="B20" s="310" t="s">
        <v>41</v>
      </c>
      <c r="F20" s="339">
        <f>F19+M20</f>
        <v>0.29330505968602771</v>
      </c>
      <c r="G20" s="339">
        <f>G19+$M$20</f>
        <v>0.2733050596860277</v>
      </c>
      <c r="H20" s="339">
        <f t="shared" ref="H20:J20" si="7">H19+$M$20</f>
        <v>0.25330505968602768</v>
      </c>
      <c r="I20" s="339">
        <f t="shared" si="7"/>
        <v>0.23330505968602763</v>
      </c>
      <c r="J20" s="340">
        <f t="shared" si="7"/>
        <v>0.21330505968602761</v>
      </c>
      <c r="L20" s="2" t="s">
        <v>214</v>
      </c>
      <c r="M20" s="248">
        <v>-0.04</v>
      </c>
    </row>
    <row r="21" spans="2:13" ht="15.75" thickBot="1" x14ac:dyDescent="0.3">
      <c r="B21" s="310" t="s">
        <v>43</v>
      </c>
      <c r="F21" s="339">
        <f>F19+$M$21</f>
        <v>0.36330505968602766</v>
      </c>
      <c r="G21" s="339">
        <f>G20+$M$21</f>
        <v>0.30330505968602772</v>
      </c>
      <c r="H21" s="339">
        <f t="shared" ref="H21:J21" si="8">H20+$M$21</f>
        <v>0.2833050596860277</v>
      </c>
      <c r="I21" s="339">
        <f t="shared" si="8"/>
        <v>0.26330505968602763</v>
      </c>
      <c r="J21" s="340">
        <f t="shared" si="8"/>
        <v>0.24330505968602761</v>
      </c>
      <c r="L21" s="2" t="s">
        <v>215</v>
      </c>
      <c r="M21" s="248">
        <v>0.03</v>
      </c>
    </row>
    <row r="22" spans="2:13" x14ac:dyDescent="0.25">
      <c r="B22" s="319" t="s">
        <v>59</v>
      </c>
      <c r="C22" s="333"/>
      <c r="D22" s="333"/>
      <c r="E22" s="333"/>
      <c r="F22" s="334"/>
      <c r="G22" s="334"/>
      <c r="H22" s="334"/>
      <c r="I22" s="334"/>
      <c r="J22" s="335"/>
    </row>
    <row r="23" spans="2:13" x14ac:dyDescent="0.25">
      <c r="B23" s="310" t="s">
        <v>209</v>
      </c>
      <c r="C23" s="338">
        <f>'Financial Statements'!E9</f>
        <v>198270</v>
      </c>
      <c r="D23" s="338">
        <f>'Financial Statements'!F9</f>
        <v>211915</v>
      </c>
      <c r="E23" s="338">
        <f>'Financial Statements'!G9</f>
        <v>245121</v>
      </c>
      <c r="F23" s="167"/>
      <c r="G23" s="167"/>
      <c r="H23" s="167"/>
      <c r="I23" s="167"/>
      <c r="J23" s="168"/>
    </row>
    <row r="24" spans="2:13" x14ac:dyDescent="0.25">
      <c r="B24" s="310" t="s">
        <v>59</v>
      </c>
      <c r="C24" s="338">
        <f>'Financial Statements'!E16</f>
        <v>24512</v>
      </c>
      <c r="D24" s="338">
        <f>'Financial Statements'!F16</f>
        <v>27195</v>
      </c>
      <c r="E24" s="338">
        <f>'Financial Statements'!G16</f>
        <v>29510</v>
      </c>
      <c r="F24" s="167"/>
      <c r="G24" s="167"/>
      <c r="H24" s="167"/>
      <c r="I24" s="167"/>
      <c r="J24" s="168"/>
    </row>
    <row r="25" spans="2:13" x14ac:dyDescent="0.25">
      <c r="B25" s="310" t="s">
        <v>223</v>
      </c>
      <c r="C25" s="248">
        <f>C24/C23</f>
        <v>0.12362939426035205</v>
      </c>
      <c r="D25" s="248">
        <f t="shared" ref="D25:E25" si="9">D24/D23</f>
        <v>0.12832975485454073</v>
      </c>
      <c r="E25" s="248">
        <f t="shared" si="9"/>
        <v>0.12038952190958752</v>
      </c>
      <c r="F25" s="339">
        <f>CHOOSE($M$5, F27, F28, F29)</f>
        <v>0.12411622367482678</v>
      </c>
      <c r="G25" s="339">
        <f>CHOOSE($M$5, G27, G28, G29)</f>
        <v>0.12411622367482678</v>
      </c>
      <c r="H25" s="339">
        <f>CHOOSE($M$5, H27, H28, H29)</f>
        <v>0.12411622367482678</v>
      </c>
      <c r="I25" s="339">
        <f>CHOOSE($M$5, I27, I28, I29)</f>
        <v>0.12411622367482678</v>
      </c>
      <c r="J25" s="340">
        <f>CHOOSE($M$5, J27, J28, J29)</f>
        <v>0.12411622367482678</v>
      </c>
    </row>
    <row r="26" spans="2:13" x14ac:dyDescent="0.25">
      <c r="B26" s="310" t="s">
        <v>219</v>
      </c>
      <c r="C26" s="248"/>
      <c r="D26" s="248"/>
      <c r="E26" s="248">
        <f>AVERAGE(C25:E25)</f>
        <v>0.12411622367482678</v>
      </c>
      <c r="F26" s="339"/>
      <c r="G26" s="339"/>
      <c r="H26" s="339"/>
      <c r="I26" s="339"/>
      <c r="J26" s="340"/>
    </row>
    <row r="27" spans="2:13" x14ac:dyDescent="0.25">
      <c r="B27" s="310" t="s">
        <v>40</v>
      </c>
      <c r="F27" s="341">
        <f>E26</f>
        <v>0.12411622367482678</v>
      </c>
      <c r="G27" s="339">
        <f>F27+$M$27</f>
        <v>0.12411622367482678</v>
      </c>
      <c r="H27" s="339">
        <f t="shared" ref="H27:J27" si="10">G27+$M$27</f>
        <v>0.12411622367482678</v>
      </c>
      <c r="I27" s="339">
        <f t="shared" si="10"/>
        <v>0.12411622367482678</v>
      </c>
      <c r="J27" s="340">
        <f t="shared" si="10"/>
        <v>0.12411622367482678</v>
      </c>
      <c r="L27" s="327" t="s">
        <v>213</v>
      </c>
      <c r="M27" s="328">
        <v>0</v>
      </c>
    </row>
    <row r="28" spans="2:13" x14ac:dyDescent="0.25">
      <c r="B28" s="310" t="s">
        <v>41</v>
      </c>
      <c r="F28" s="339">
        <f>F27*(1+$M$28)</f>
        <v>0.11915157472783371</v>
      </c>
      <c r="G28" s="339">
        <f>G27*(1+$M$28)</f>
        <v>0.11915157472783371</v>
      </c>
      <c r="H28" s="339">
        <f t="shared" ref="H28:J28" si="11">H27*(1+$M$28)</f>
        <v>0.11915157472783371</v>
      </c>
      <c r="I28" s="339">
        <f t="shared" si="11"/>
        <v>0.11915157472783371</v>
      </c>
      <c r="J28" s="340">
        <f t="shared" si="11"/>
        <v>0.11915157472783371</v>
      </c>
      <c r="L28" s="2" t="s">
        <v>214</v>
      </c>
      <c r="M28" s="248">
        <v>-0.04</v>
      </c>
    </row>
    <row r="29" spans="2:13" ht="15.75" thickBot="1" x14ac:dyDescent="0.3">
      <c r="B29" s="310" t="s">
        <v>43</v>
      </c>
      <c r="F29" s="339">
        <f>F27*(1+$M$29)</f>
        <v>0.12783971038507158</v>
      </c>
      <c r="G29" s="339">
        <f t="shared" ref="G29:J29" si="12">G27*(1+$M$29)</f>
        <v>0.12783971038507158</v>
      </c>
      <c r="H29" s="339">
        <f t="shared" si="12"/>
        <v>0.12783971038507158</v>
      </c>
      <c r="I29" s="339">
        <f t="shared" si="12"/>
        <v>0.12783971038507158</v>
      </c>
      <c r="J29" s="340">
        <f t="shared" si="12"/>
        <v>0.12783971038507158</v>
      </c>
      <c r="L29" s="2" t="s">
        <v>215</v>
      </c>
      <c r="M29" s="248">
        <v>0.03</v>
      </c>
    </row>
    <row r="30" spans="2:13" x14ac:dyDescent="0.25">
      <c r="B30" s="319" t="s">
        <v>60</v>
      </c>
      <c r="C30" s="333"/>
      <c r="D30" s="333"/>
      <c r="E30" s="333"/>
      <c r="F30" s="334"/>
      <c r="G30" s="334"/>
      <c r="H30" s="334"/>
      <c r="I30" s="334"/>
      <c r="J30" s="335"/>
    </row>
    <row r="31" spans="2:13" x14ac:dyDescent="0.25">
      <c r="B31" s="310" t="s">
        <v>209</v>
      </c>
      <c r="C31" s="338">
        <f>'Financial Statements'!E9</f>
        <v>198270</v>
      </c>
      <c r="D31" s="338">
        <f>'Financial Statements'!F9</f>
        <v>211915</v>
      </c>
      <c r="E31" s="338">
        <f>'Financial Statements'!G9</f>
        <v>245121</v>
      </c>
      <c r="F31" s="167"/>
      <c r="G31" s="167"/>
      <c r="H31" s="167"/>
      <c r="I31" s="167"/>
      <c r="J31" s="168"/>
    </row>
    <row r="32" spans="2:13" x14ac:dyDescent="0.25">
      <c r="B32" s="310" t="s">
        <v>60</v>
      </c>
      <c r="C32" s="338">
        <f>'Financial Statements'!E17</f>
        <v>27725</v>
      </c>
      <c r="D32" s="338">
        <f>'Financial Statements'!F17</f>
        <v>30334</v>
      </c>
      <c r="E32" s="338">
        <f>'Financial Statements'!G17</f>
        <v>32065</v>
      </c>
      <c r="F32" s="167"/>
      <c r="G32" s="167"/>
      <c r="H32" s="167"/>
      <c r="I32" s="167"/>
      <c r="J32" s="168"/>
    </row>
    <row r="33" spans="2:13" x14ac:dyDescent="0.25">
      <c r="B33" s="310" t="s">
        <v>223</v>
      </c>
      <c r="C33" s="248">
        <f>C32/C31</f>
        <v>0.13983456902204064</v>
      </c>
      <c r="D33" s="248">
        <f t="shared" ref="D33:E33" si="13">D32/D31</f>
        <v>0.14314229761932851</v>
      </c>
      <c r="E33" s="248">
        <f t="shared" si="13"/>
        <v>0.13081294544327088</v>
      </c>
      <c r="F33" s="339">
        <f>CHOOSE($M$5, F35, F36, F37)</f>
        <v>0.13792993736154666</v>
      </c>
      <c r="G33" s="339">
        <f t="shared" ref="G33:J33" si="14">CHOOSE($M$5, G35, G36, G37)</f>
        <v>0.13792993736154666</v>
      </c>
      <c r="H33" s="339">
        <f t="shared" si="14"/>
        <v>0.13792993736154666</v>
      </c>
      <c r="I33" s="339">
        <f t="shared" si="14"/>
        <v>0.13792993736154666</v>
      </c>
      <c r="J33" s="340">
        <f t="shared" si="14"/>
        <v>0.13792993736154666</v>
      </c>
      <c r="L33" s="327" t="s">
        <v>213</v>
      </c>
      <c r="M33" s="328">
        <v>0</v>
      </c>
    </row>
    <row r="34" spans="2:13" x14ac:dyDescent="0.25">
      <c r="B34" s="310" t="s">
        <v>219</v>
      </c>
      <c r="C34" s="248"/>
      <c r="D34" s="248"/>
      <c r="E34" s="248">
        <f>AVERAGE(C33:E33)</f>
        <v>0.13792993736154666</v>
      </c>
      <c r="F34" s="339"/>
      <c r="G34" s="339"/>
      <c r="H34" s="339"/>
      <c r="I34" s="339"/>
      <c r="J34" s="340"/>
      <c r="L34" s="2" t="s">
        <v>214</v>
      </c>
      <c r="M34" s="248">
        <v>-0.04</v>
      </c>
    </row>
    <row r="35" spans="2:13" x14ac:dyDescent="0.25">
      <c r="B35" s="310" t="s">
        <v>40</v>
      </c>
      <c r="F35" s="341">
        <f>E34</f>
        <v>0.13792993736154666</v>
      </c>
      <c r="G35" s="339">
        <f>F35+$M$33</f>
        <v>0.13792993736154666</v>
      </c>
      <c r="H35" s="339">
        <f t="shared" ref="H35:J35" si="15">G35+$M$33</f>
        <v>0.13792993736154666</v>
      </c>
      <c r="I35" s="339">
        <f t="shared" si="15"/>
        <v>0.13792993736154666</v>
      </c>
      <c r="J35" s="340">
        <f t="shared" si="15"/>
        <v>0.13792993736154666</v>
      </c>
      <c r="L35" s="2" t="s">
        <v>215</v>
      </c>
      <c r="M35" s="248">
        <v>0.03</v>
      </c>
    </row>
    <row r="36" spans="2:13" x14ac:dyDescent="0.25">
      <c r="B36" s="310" t="s">
        <v>41</v>
      </c>
      <c r="F36" s="339">
        <f>F35*(1+$M$34)</f>
        <v>0.13241273986708479</v>
      </c>
      <c r="G36" s="339">
        <f>G35*(1+$M$34)</f>
        <v>0.13241273986708479</v>
      </c>
      <c r="H36" s="339">
        <f t="shared" ref="H36:J36" si="16">H35*(1+$M$34)</f>
        <v>0.13241273986708479</v>
      </c>
      <c r="I36" s="339">
        <f t="shared" si="16"/>
        <v>0.13241273986708479</v>
      </c>
      <c r="J36" s="340">
        <f t="shared" si="16"/>
        <v>0.13241273986708479</v>
      </c>
    </row>
    <row r="37" spans="2:13" ht="15.75" thickBot="1" x14ac:dyDescent="0.3">
      <c r="B37" s="310" t="s">
        <v>43</v>
      </c>
      <c r="F37" s="339">
        <f>F35*(1+$M$35)</f>
        <v>0.14206783548239307</v>
      </c>
      <c r="G37" s="339">
        <f>G35*(1+$M$35)</f>
        <v>0.14206783548239307</v>
      </c>
      <c r="H37" s="339">
        <f t="shared" ref="H37:J37" si="17">H35*(1+$M$35)</f>
        <v>0.14206783548239307</v>
      </c>
      <c r="I37" s="339">
        <f t="shared" si="17"/>
        <v>0.14206783548239307</v>
      </c>
      <c r="J37" s="340">
        <f t="shared" si="17"/>
        <v>0.14206783548239307</v>
      </c>
    </row>
    <row r="38" spans="2:13" x14ac:dyDescent="0.25">
      <c r="B38" s="319" t="s">
        <v>65</v>
      </c>
      <c r="C38" s="333"/>
      <c r="D38" s="333"/>
      <c r="E38" s="333"/>
      <c r="F38" s="334"/>
      <c r="G38" s="334"/>
      <c r="H38" s="334"/>
      <c r="I38" s="334"/>
      <c r="J38" s="335"/>
    </row>
    <row r="39" spans="2:13" x14ac:dyDescent="0.25">
      <c r="B39" s="310" t="s">
        <v>224</v>
      </c>
      <c r="C39" s="338">
        <f>'Financial Statements'!E24</f>
        <v>83747</v>
      </c>
      <c r="D39" s="338">
        <f>'Financial Statements'!F24</f>
        <v>90337</v>
      </c>
      <c r="E39" s="338">
        <f>'Financial Statements'!G24</f>
        <v>108008</v>
      </c>
      <c r="F39" s="167"/>
      <c r="G39" s="167"/>
      <c r="H39" s="167"/>
      <c r="I39" s="167"/>
      <c r="J39" s="168"/>
    </row>
    <row r="40" spans="2:13" x14ac:dyDescent="0.25">
      <c r="B40" s="310" t="s">
        <v>65</v>
      </c>
      <c r="C40" s="338">
        <f>'Financial Statements'!E25</f>
        <v>10978</v>
      </c>
      <c r="D40" s="338">
        <f>'Financial Statements'!F25</f>
        <v>16950</v>
      </c>
      <c r="E40" s="338">
        <f>'Financial Statements'!G25</f>
        <v>19651</v>
      </c>
      <c r="F40" s="167"/>
      <c r="G40" s="167"/>
      <c r="H40" s="167"/>
      <c r="I40" s="167"/>
      <c r="J40" s="168"/>
    </row>
    <row r="41" spans="2:13" x14ac:dyDescent="0.25">
      <c r="B41" s="310" t="s">
        <v>225</v>
      </c>
      <c r="C41" s="248">
        <f>C40/C39</f>
        <v>0.13108529260749638</v>
      </c>
      <c r="D41" s="248">
        <f t="shared" ref="D41:E41" si="18">D40/D39</f>
        <v>0.18763076037504012</v>
      </c>
      <c r="E41" s="248">
        <f t="shared" si="18"/>
        <v>0.18194022664987777</v>
      </c>
      <c r="F41" s="339">
        <f>CHOOSE($M$5, F43, F44, F45)</f>
        <v>0.3</v>
      </c>
      <c r="G41" s="339">
        <f>CHOOSE($M$5, G43, G44, G45)</f>
        <v>0.3</v>
      </c>
      <c r="H41" s="339">
        <f>CHOOSE($M$5, H43, H44, H45)</f>
        <v>0.3</v>
      </c>
      <c r="I41" s="339">
        <f>CHOOSE($M$5, I43, I44, I45)</f>
        <v>0.3</v>
      </c>
      <c r="J41" s="339">
        <f>CHOOSE($M$5, J43, J44, J45)</f>
        <v>0.3</v>
      </c>
    </row>
    <row r="42" spans="2:13" x14ac:dyDescent="0.25">
      <c r="B42" s="310" t="s">
        <v>219</v>
      </c>
      <c r="C42" s="248"/>
      <c r="D42" s="248"/>
      <c r="E42" s="248">
        <f>AVERAGE(C41:E41)</f>
        <v>0.16688542654413807</v>
      </c>
      <c r="F42" s="339"/>
      <c r="G42" s="339"/>
      <c r="H42" s="339"/>
      <c r="I42" s="339"/>
      <c r="J42" s="340"/>
    </row>
    <row r="43" spans="2:13" x14ac:dyDescent="0.25">
      <c r="B43" s="310" t="s">
        <v>40</v>
      </c>
      <c r="F43" s="343">
        <v>0.3</v>
      </c>
      <c r="G43" s="339">
        <f>F43+$M$43</f>
        <v>0.3</v>
      </c>
      <c r="H43" s="339">
        <f t="shared" ref="H43:J43" si="19">G43+$M$43</f>
        <v>0.3</v>
      </c>
      <c r="I43" s="339">
        <f t="shared" si="19"/>
        <v>0.3</v>
      </c>
      <c r="J43" s="340">
        <f t="shared" si="19"/>
        <v>0.3</v>
      </c>
      <c r="L43" s="327" t="s">
        <v>213</v>
      </c>
      <c r="M43" s="328">
        <v>0</v>
      </c>
    </row>
    <row r="44" spans="2:13" x14ac:dyDescent="0.25">
      <c r="B44" s="310" t="s">
        <v>41</v>
      </c>
      <c r="F44" s="339">
        <f>F43+$M$44</f>
        <v>0.26</v>
      </c>
      <c r="G44" s="339">
        <f>G43+$M$44</f>
        <v>0.26</v>
      </c>
      <c r="H44" s="339">
        <f t="shared" ref="H44:J44" si="20">H43+$M$44</f>
        <v>0.26</v>
      </c>
      <c r="I44" s="339">
        <f t="shared" si="20"/>
        <v>0.26</v>
      </c>
      <c r="J44" s="340">
        <f t="shared" si="20"/>
        <v>0.26</v>
      </c>
      <c r="L44" s="2" t="s">
        <v>214</v>
      </c>
      <c r="M44" s="248">
        <v>-0.04</v>
      </c>
    </row>
    <row r="45" spans="2:13" x14ac:dyDescent="0.25">
      <c r="B45" s="330" t="s">
        <v>43</v>
      </c>
      <c r="C45" s="27"/>
      <c r="D45" s="27"/>
      <c r="E45" s="27"/>
      <c r="F45" s="344">
        <f>F43+$M$45</f>
        <v>0.32999999999999996</v>
      </c>
      <c r="G45" s="344">
        <f>G43+$M$45</f>
        <v>0.32999999999999996</v>
      </c>
      <c r="H45" s="344">
        <f t="shared" ref="H45:J45" si="21">H43+$M$45</f>
        <v>0.32999999999999996</v>
      </c>
      <c r="I45" s="344">
        <f t="shared" si="21"/>
        <v>0.32999999999999996</v>
      </c>
      <c r="J45" s="345">
        <f t="shared" si="21"/>
        <v>0.32999999999999996</v>
      </c>
      <c r="L45" s="2" t="s">
        <v>215</v>
      </c>
      <c r="M45" s="248">
        <v>0.03</v>
      </c>
    </row>
  </sheetData>
  <dataValidations count="1">
    <dataValidation type="list" allowBlank="1" showInputMessage="1" showErrorMessage="1" sqref="M5" xr:uid="{D5C7FBCF-73FB-4619-8870-F2A7D09C6140}">
      <formula1>$M$6:$M$8</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21DC8-AA07-4965-A4C3-B1BB55FA0EA3}">
  <sheetPr>
    <tabColor theme="9" tint="0.39997558519241921"/>
  </sheetPr>
  <dimension ref="A1:N24"/>
  <sheetViews>
    <sheetView showGridLines="0" workbookViewId="0">
      <selection activeCell="B8" sqref="B8"/>
    </sheetView>
  </sheetViews>
  <sheetFormatPr defaultColWidth="8.7109375" defaultRowHeight="15" x14ac:dyDescent="0.25"/>
  <cols>
    <col min="1" max="1" width="36" style="2" bestFit="1" customWidth="1"/>
    <col min="2" max="9" width="11.7109375" style="2" customWidth="1"/>
    <col min="10" max="10" width="8.7109375" style="2"/>
    <col min="11" max="12" width="12.7109375" style="2" bestFit="1" customWidth="1"/>
    <col min="13" max="16384" width="8.7109375" style="2"/>
  </cols>
  <sheetData>
    <row r="1" spans="1:14" x14ac:dyDescent="0.25">
      <c r="A1" s="5" t="s">
        <v>4</v>
      </c>
    </row>
    <row r="2" spans="1:14" ht="17.25" x14ac:dyDescent="0.4">
      <c r="A2" s="383"/>
      <c r="B2" s="384" t="s">
        <v>48</v>
      </c>
      <c r="C2" s="385"/>
      <c r="D2" s="385"/>
      <c r="E2" s="552" t="s">
        <v>206</v>
      </c>
      <c r="F2" s="552"/>
      <c r="G2" s="552"/>
      <c r="H2" s="552"/>
      <c r="I2" s="553"/>
      <c r="L2" s="6"/>
    </row>
    <row r="3" spans="1:14" ht="15.75" thickBot="1" x14ac:dyDescent="0.3">
      <c r="A3" s="315" t="s">
        <v>277</v>
      </c>
      <c r="B3" s="360">
        <v>44926</v>
      </c>
      <c r="C3" s="360">
        <v>45291</v>
      </c>
      <c r="D3" s="361">
        <v>45657</v>
      </c>
      <c r="E3" s="290">
        <v>46022</v>
      </c>
      <c r="F3" s="290">
        <v>46387</v>
      </c>
      <c r="G3" s="290">
        <v>46752</v>
      </c>
      <c r="H3" s="290">
        <v>47118</v>
      </c>
      <c r="I3" s="291">
        <v>47483</v>
      </c>
    </row>
    <row r="4" spans="1:14" x14ac:dyDescent="0.25">
      <c r="A4" s="310"/>
      <c r="E4" s="167"/>
      <c r="F4" s="167"/>
      <c r="G4" s="167"/>
      <c r="H4" s="167"/>
      <c r="I4" s="168"/>
    </row>
    <row r="5" spans="1:14" ht="17.25" x14ac:dyDescent="0.4">
      <c r="A5" s="310"/>
      <c r="B5" s="354" t="s">
        <v>48</v>
      </c>
      <c r="C5" s="355"/>
      <c r="D5" s="355"/>
      <c r="E5" s="356" t="s">
        <v>206</v>
      </c>
      <c r="F5" s="357"/>
      <c r="G5" s="357"/>
      <c r="H5" s="357"/>
      <c r="I5" s="358"/>
    </row>
    <row r="6" spans="1:14" ht="15.75" thickBot="1" x14ac:dyDescent="0.3">
      <c r="A6" s="359" t="s">
        <v>237</v>
      </c>
      <c r="B6" s="360">
        <v>44926</v>
      </c>
      <c r="C6" s="360">
        <v>45291</v>
      </c>
      <c r="D6" s="361">
        <v>45657</v>
      </c>
      <c r="E6" s="290">
        <v>46022</v>
      </c>
      <c r="F6" s="290">
        <v>46387</v>
      </c>
      <c r="G6" s="290">
        <v>46752</v>
      </c>
      <c r="H6" s="290">
        <v>47118</v>
      </c>
      <c r="I6" s="291">
        <v>47483</v>
      </c>
    </row>
    <row r="7" spans="1:14" x14ac:dyDescent="0.25">
      <c r="A7" s="310" t="s">
        <v>238</v>
      </c>
      <c r="B7" s="195">
        <f>'Financial Statements'!E54</f>
        <v>87546</v>
      </c>
      <c r="C7" s="195">
        <f>'Financial Statements'!F54</f>
        <v>109987</v>
      </c>
      <c r="D7" s="195">
        <f>'Financial Statements'!G54</f>
        <v>154552</v>
      </c>
      <c r="E7" s="350">
        <f>D12</f>
        <v>39440</v>
      </c>
      <c r="F7" s="350">
        <f>E12</f>
        <v>77299.771428571417</v>
      </c>
      <c r="G7" s="350">
        <f t="shared" ref="G7:I7" si="0">F12</f>
        <v>116684.46857142856</v>
      </c>
      <c r="H7" s="350">
        <f t="shared" si="0"/>
        <v>157899.07657142857</v>
      </c>
      <c r="I7" s="386">
        <f t="shared" si="0"/>
        <v>201309.57759999999</v>
      </c>
      <c r="M7" s="2" t="s">
        <v>278</v>
      </c>
    </row>
    <row r="8" spans="1:14" x14ac:dyDescent="0.25">
      <c r="A8" s="310" t="s">
        <v>239</v>
      </c>
      <c r="B8" s="338">
        <f>'Financial Statements'!E116*-1</f>
        <v>23886</v>
      </c>
      <c r="C8" s="338">
        <f>'Financial Statements'!F116*-1</f>
        <v>28107</v>
      </c>
      <c r="D8" s="338">
        <f>'Financial Statements'!G116*-1</f>
        <v>44477</v>
      </c>
      <c r="E8" s="350">
        <f>D8*(1+$L$8)</f>
        <v>53372.4</v>
      </c>
      <c r="F8" s="350">
        <f t="shared" ref="F8:I8" si="1">E8*(1+$L$8)</f>
        <v>64046.879999999997</v>
      </c>
      <c r="G8" s="350">
        <f t="shared" si="1"/>
        <v>76856.255999999994</v>
      </c>
      <c r="H8" s="350">
        <f t="shared" si="1"/>
        <v>92227.507199999993</v>
      </c>
      <c r="I8" s="351">
        <f t="shared" si="1"/>
        <v>110673.00863999999</v>
      </c>
      <c r="K8" s="327" t="s">
        <v>279</v>
      </c>
      <c r="L8" s="328">
        <v>0.2</v>
      </c>
      <c r="M8" s="2" t="s">
        <v>280</v>
      </c>
      <c r="N8" s="6"/>
    </row>
    <row r="9" spans="1:14" x14ac:dyDescent="0.25">
      <c r="A9" s="310" t="s">
        <v>240</v>
      </c>
      <c r="B9" s="338">
        <f>'Comm Size &amp; Hor Analysis'!E94</f>
        <v>14460</v>
      </c>
      <c r="C9" s="338">
        <f>'Comm Size &amp; Hor Analysis'!F94</f>
        <v>13861</v>
      </c>
      <c r="D9" s="338">
        <f>'Comm Size &amp; Hor Analysis'!G94</f>
        <v>22287</v>
      </c>
      <c r="E9" s="350">
        <f>E23</f>
        <v>15512.628571428571</v>
      </c>
      <c r="F9" s="350">
        <f t="shared" ref="F9:I9" si="2">F23</f>
        <v>24662.182857142856</v>
      </c>
      <c r="G9" s="350">
        <f t="shared" si="2"/>
        <v>35641.648000000001</v>
      </c>
      <c r="H9" s="350">
        <f t="shared" si="2"/>
        <v>48817.006171428569</v>
      </c>
      <c r="I9" s="351">
        <f t="shared" si="2"/>
        <v>64627.435977142857</v>
      </c>
      <c r="M9" s="2" t="s">
        <v>281</v>
      </c>
    </row>
    <row r="10" spans="1:14" x14ac:dyDescent="0.25">
      <c r="A10" s="310" t="s">
        <v>282</v>
      </c>
      <c r="B10" s="195">
        <f>B7+B9-B8-B12</f>
        <v>40742</v>
      </c>
      <c r="C10" s="195">
        <f t="shared" ref="C10:D10" si="3">C7+C9-C8-C12</f>
        <v>58975</v>
      </c>
      <c r="D10" s="195">
        <f t="shared" si="3"/>
        <v>92922</v>
      </c>
      <c r="E10" s="387">
        <v>0</v>
      </c>
      <c r="F10" s="387">
        <v>0</v>
      </c>
      <c r="G10" s="387">
        <v>0</v>
      </c>
      <c r="H10" s="387">
        <v>0</v>
      </c>
      <c r="I10" s="387">
        <v>0</v>
      </c>
      <c r="M10" s="2" t="s">
        <v>283</v>
      </c>
    </row>
    <row r="11" spans="1:14" x14ac:dyDescent="0.25">
      <c r="A11" s="310" t="s">
        <v>241</v>
      </c>
      <c r="B11" s="248">
        <f t="shared" ref="B11:I11" si="4">B9/SUM(B7:B8)</f>
        <v>0.12976523799267714</v>
      </c>
      <c r="C11" s="248">
        <f t="shared" si="4"/>
        <v>0.10037365852245572</v>
      </c>
      <c r="D11" s="248">
        <f t="shared" si="4"/>
        <v>0.11197865637670892</v>
      </c>
      <c r="E11" s="339">
        <f t="shared" si="4"/>
        <v>0.1671396125025166</v>
      </c>
      <c r="F11" s="339">
        <f t="shared" si="4"/>
        <v>0.17448013524116435</v>
      </c>
      <c r="G11" s="339">
        <f t="shared" si="4"/>
        <v>0.18415580534238424</v>
      </c>
      <c r="H11" s="339">
        <f t="shared" si="4"/>
        <v>0.19516920367024512</v>
      </c>
      <c r="I11" s="340">
        <f t="shared" si="4"/>
        <v>0.20715077965097281</v>
      </c>
    </row>
    <row r="12" spans="1:14" x14ac:dyDescent="0.25">
      <c r="A12" s="7" t="s">
        <v>242</v>
      </c>
      <c r="B12" s="362">
        <f>'[2]Financial Statements'!E54</f>
        <v>37378</v>
      </c>
      <c r="C12" s="362">
        <f>'[2]Financial Statements'!F54</f>
        <v>36766</v>
      </c>
      <c r="D12" s="362">
        <f>'[2]Financial Statements'!G54</f>
        <v>39440</v>
      </c>
      <c r="E12" s="363">
        <f>E7+E8-E9</f>
        <v>77299.771428571417</v>
      </c>
      <c r="F12" s="363">
        <f>F7+F8-F9</f>
        <v>116684.46857142856</v>
      </c>
      <c r="G12" s="363">
        <f>G7+G8-G9</f>
        <v>157899.07657142857</v>
      </c>
      <c r="H12" s="363">
        <f>H7+H8-H9</f>
        <v>201309.57759999999</v>
      </c>
      <c r="I12" s="364">
        <f>I7+I8-I9</f>
        <v>247355.15026285712</v>
      </c>
    </row>
    <row r="13" spans="1:14" x14ac:dyDescent="0.25">
      <c r="A13" s="9"/>
      <c r="E13" s="167"/>
      <c r="F13" s="167"/>
      <c r="G13" s="167"/>
      <c r="H13" s="167"/>
      <c r="I13" s="168"/>
    </row>
    <row r="14" spans="1:14" x14ac:dyDescent="0.25">
      <c r="A14" s="23" t="s">
        <v>243</v>
      </c>
      <c r="B14" s="27"/>
      <c r="C14" s="27"/>
      <c r="D14" s="27"/>
      <c r="E14" s="347"/>
      <c r="F14" s="347"/>
      <c r="G14" s="347"/>
      <c r="H14" s="347"/>
      <c r="I14" s="348"/>
    </row>
    <row r="15" spans="1:14" x14ac:dyDescent="0.25">
      <c r="A15" s="310" t="s">
        <v>244</v>
      </c>
      <c r="E15" s="350">
        <f>D12/L15</f>
        <v>7888</v>
      </c>
      <c r="F15" s="350">
        <f>E15</f>
        <v>7888</v>
      </c>
      <c r="G15" s="350">
        <f t="shared" ref="G15:I15" si="5">F15</f>
        <v>7888</v>
      </c>
      <c r="H15" s="350">
        <f t="shared" si="5"/>
        <v>7888</v>
      </c>
      <c r="I15" s="351">
        <f t="shared" si="5"/>
        <v>7888</v>
      </c>
      <c r="K15" s="327" t="s">
        <v>284</v>
      </c>
      <c r="L15" s="388">
        <v>5</v>
      </c>
      <c r="M15" s="2" t="s">
        <v>285</v>
      </c>
    </row>
    <row r="16" spans="1:14" x14ac:dyDescent="0.25">
      <c r="A16" s="23" t="s">
        <v>245</v>
      </c>
      <c r="B16" s="27"/>
      <c r="C16" s="27"/>
      <c r="D16" s="27"/>
      <c r="E16" s="347"/>
      <c r="F16" s="347"/>
      <c r="G16" s="347"/>
      <c r="H16" s="347"/>
      <c r="I16" s="347"/>
    </row>
    <row r="17" spans="1:13" x14ac:dyDescent="0.25">
      <c r="A17" s="365">
        <f t="array" ref="A17:A21">TRANSPOSE(E6:I6)</f>
        <v>46022</v>
      </c>
      <c r="E17" s="336">
        <f>E8/L17</f>
        <v>7624.6285714285714</v>
      </c>
      <c r="F17" s="336">
        <f>E17</f>
        <v>7624.6285714285714</v>
      </c>
      <c r="G17" s="336">
        <f t="shared" ref="G17:I18" si="6">F17</f>
        <v>7624.6285714285714</v>
      </c>
      <c r="H17" s="336">
        <f t="shared" si="6"/>
        <v>7624.6285714285714</v>
      </c>
      <c r="I17" s="337">
        <f t="shared" si="6"/>
        <v>7624.6285714285714</v>
      </c>
      <c r="K17" s="327" t="s">
        <v>284</v>
      </c>
      <c r="L17" s="388">
        <v>7</v>
      </c>
      <c r="M17" s="2" t="s">
        <v>286</v>
      </c>
    </row>
    <row r="18" spans="1:13" x14ac:dyDescent="0.25">
      <c r="A18" s="365">
        <v>46387</v>
      </c>
      <c r="E18" s="336">
        <v>0</v>
      </c>
      <c r="F18" s="336">
        <f>F8/L17</f>
        <v>9149.5542857142846</v>
      </c>
      <c r="G18" s="336">
        <f>F18</f>
        <v>9149.5542857142846</v>
      </c>
      <c r="H18" s="336">
        <f t="shared" si="6"/>
        <v>9149.5542857142846</v>
      </c>
      <c r="I18" s="175">
        <f t="shared" si="6"/>
        <v>9149.5542857142846</v>
      </c>
      <c r="M18" s="2" t="s">
        <v>287</v>
      </c>
    </row>
    <row r="19" spans="1:13" x14ac:dyDescent="0.25">
      <c r="A19" s="365">
        <v>46752</v>
      </c>
      <c r="E19" s="336">
        <v>0</v>
      </c>
      <c r="F19" s="336">
        <v>0</v>
      </c>
      <c r="G19" s="336">
        <f>G8/L17</f>
        <v>10979.465142857141</v>
      </c>
      <c r="H19" s="336">
        <f>G19</f>
        <v>10979.465142857141</v>
      </c>
      <c r="I19" s="175">
        <f>H19</f>
        <v>10979.465142857141</v>
      </c>
      <c r="M19" s="2" t="s">
        <v>287</v>
      </c>
    </row>
    <row r="20" spans="1:13" x14ac:dyDescent="0.25">
      <c r="A20" s="365">
        <v>47118</v>
      </c>
      <c r="E20" s="336">
        <v>0</v>
      </c>
      <c r="F20" s="336">
        <v>0</v>
      </c>
      <c r="G20" s="336">
        <v>0</v>
      </c>
      <c r="H20" s="336">
        <f>H8/L17</f>
        <v>13175.35817142857</v>
      </c>
      <c r="I20" s="175">
        <f>H20</f>
        <v>13175.35817142857</v>
      </c>
      <c r="M20" s="2" t="s">
        <v>287</v>
      </c>
    </row>
    <row r="21" spans="1:13" x14ac:dyDescent="0.25">
      <c r="A21" s="365">
        <v>47483</v>
      </c>
      <c r="E21" s="336">
        <v>0</v>
      </c>
      <c r="F21" s="336">
        <v>0</v>
      </c>
      <c r="G21" s="336">
        <v>0</v>
      </c>
      <c r="H21" s="336">
        <v>0</v>
      </c>
      <c r="I21" s="175">
        <f>I8/L17</f>
        <v>15810.429805714284</v>
      </c>
      <c r="M21" s="2" t="s">
        <v>287</v>
      </c>
    </row>
    <row r="22" spans="1:13" x14ac:dyDescent="0.25">
      <c r="A22" s="366" t="s">
        <v>246</v>
      </c>
      <c r="B22" s="367"/>
      <c r="C22" s="367"/>
      <c r="D22" s="367"/>
      <c r="E22" s="389">
        <f>SUM(E17:E21)</f>
        <v>7624.6285714285714</v>
      </c>
      <c r="F22" s="389">
        <f t="shared" ref="F22:I22" si="7">SUM(F17:F21)</f>
        <v>16774.182857142856</v>
      </c>
      <c r="G22" s="389">
        <f t="shared" si="7"/>
        <v>27753.647999999997</v>
      </c>
      <c r="H22" s="389">
        <f t="shared" si="7"/>
        <v>40929.006171428569</v>
      </c>
      <c r="I22" s="390">
        <f t="shared" si="7"/>
        <v>56739.435977142857</v>
      </c>
      <c r="M22" s="2" t="s">
        <v>286</v>
      </c>
    </row>
    <row r="23" spans="1:13" x14ac:dyDescent="0.25">
      <c r="A23" s="327" t="s">
        <v>247</v>
      </c>
      <c r="B23" s="265"/>
      <c r="C23" s="265"/>
      <c r="D23" s="265"/>
      <c r="E23" s="193">
        <f>E15+E22</f>
        <v>15512.628571428571</v>
      </c>
      <c r="F23" s="193">
        <f>F15+F22</f>
        <v>24662.182857142856</v>
      </c>
      <c r="G23" s="193">
        <f>G15+G22</f>
        <v>35641.648000000001</v>
      </c>
      <c r="H23" s="193">
        <f>H15+H22</f>
        <v>48817.006171428569</v>
      </c>
      <c r="I23" s="194">
        <f>I15+I22</f>
        <v>64627.435977142857</v>
      </c>
    </row>
    <row r="24" spans="1:13" x14ac:dyDescent="0.25">
      <c r="E24" s="167"/>
      <c r="F24" s="167"/>
      <c r="G24" s="167"/>
      <c r="H24" s="167"/>
      <c r="I24" s="168"/>
    </row>
  </sheetData>
  <mergeCells count="1">
    <mergeCell ref="E2:I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48E6C-0D13-4BC9-BB58-B810A87AFCC3}">
  <sheetPr>
    <tabColor theme="4" tint="0.39997558519241921"/>
  </sheetPr>
  <dimension ref="A4:L43"/>
  <sheetViews>
    <sheetView showGridLines="0" zoomScaleNormal="100" workbookViewId="0">
      <selection activeCell="L27" sqref="L27"/>
    </sheetView>
  </sheetViews>
  <sheetFormatPr defaultColWidth="8.7109375" defaultRowHeight="15" x14ac:dyDescent="0.25"/>
  <cols>
    <col min="1" max="1" width="8.7109375" style="2"/>
    <col min="2" max="2" width="24.7109375" style="2" bestFit="1" customWidth="1"/>
    <col min="3" max="3" width="13.140625" style="2" customWidth="1"/>
    <col min="4" max="4" width="11" style="2" bestFit="1" customWidth="1"/>
    <col min="5" max="6" width="12.7109375" style="2" bestFit="1" customWidth="1"/>
    <col min="7" max="7" width="11.7109375" style="2" bestFit="1" customWidth="1"/>
    <col min="8" max="8" width="8.42578125" style="2" bestFit="1" customWidth="1"/>
    <col min="9" max="9" width="11.7109375" style="2" bestFit="1" customWidth="1"/>
    <col min="10" max="10" width="7.42578125" style="2" bestFit="1" customWidth="1"/>
    <col min="11" max="16384" width="8.7109375" style="2"/>
  </cols>
  <sheetData>
    <row r="4" spans="2:10" x14ac:dyDescent="0.25">
      <c r="B4" s="391" t="s">
        <v>288</v>
      </c>
      <c r="C4" s="392"/>
      <c r="D4" s="392"/>
      <c r="E4" s="392"/>
      <c r="F4" s="392"/>
      <c r="G4" s="556" t="s">
        <v>289</v>
      </c>
      <c r="H4" s="556"/>
      <c r="I4" s="556"/>
      <c r="J4" s="556"/>
    </row>
    <row r="5" spans="2:10" x14ac:dyDescent="0.25">
      <c r="B5" s="392"/>
      <c r="C5" s="392"/>
      <c r="D5" s="392"/>
      <c r="E5" s="393" t="s">
        <v>290</v>
      </c>
      <c r="F5" s="393" t="s">
        <v>291</v>
      </c>
      <c r="G5" s="556" t="s">
        <v>292</v>
      </c>
      <c r="H5" s="556"/>
      <c r="I5" s="556" t="s">
        <v>293</v>
      </c>
      <c r="J5" s="556"/>
    </row>
    <row r="6" spans="2:10" x14ac:dyDescent="0.25">
      <c r="B6" s="32" t="s">
        <v>294</v>
      </c>
      <c r="C6" s="393" t="s">
        <v>9</v>
      </c>
      <c r="D6" s="393" t="s">
        <v>295</v>
      </c>
      <c r="E6" s="393" t="s">
        <v>296</v>
      </c>
      <c r="F6" s="393" t="s">
        <v>297</v>
      </c>
      <c r="G6" s="393" t="s">
        <v>298</v>
      </c>
      <c r="H6" s="393" t="s">
        <v>299</v>
      </c>
      <c r="I6" s="393" t="s">
        <v>298</v>
      </c>
      <c r="J6" s="393" t="s">
        <v>299</v>
      </c>
    </row>
    <row r="7" spans="2:10" x14ac:dyDescent="0.25">
      <c r="B7" s="392"/>
      <c r="C7" s="392"/>
      <c r="D7" s="392"/>
      <c r="E7" s="392"/>
      <c r="F7" s="392"/>
      <c r="G7" s="392"/>
      <c r="H7" s="392"/>
      <c r="I7" s="392"/>
      <c r="J7" s="392"/>
    </row>
    <row r="8" spans="2:10" x14ac:dyDescent="0.25">
      <c r="B8" s="392" t="s">
        <v>300</v>
      </c>
      <c r="C8" s="394" t="s">
        <v>318</v>
      </c>
      <c r="D8" s="394">
        <v>163.4</v>
      </c>
      <c r="E8" s="395" t="s">
        <v>325</v>
      </c>
      <c r="F8" s="395" t="s">
        <v>327</v>
      </c>
      <c r="G8" s="420">
        <v>16.100000000000001</v>
      </c>
      <c r="H8" s="420">
        <v>23.3</v>
      </c>
      <c r="I8" s="421">
        <v>12.2</v>
      </c>
      <c r="J8" s="421">
        <v>20.2</v>
      </c>
    </row>
    <row r="9" spans="2:10" x14ac:dyDescent="0.25">
      <c r="B9" s="392" t="s">
        <v>1</v>
      </c>
      <c r="C9" s="394" t="s">
        <v>319</v>
      </c>
      <c r="D9" s="394">
        <v>229.79</v>
      </c>
      <c r="E9" s="395" t="s">
        <v>322</v>
      </c>
      <c r="F9" s="395" t="s">
        <v>328</v>
      </c>
      <c r="G9" s="420">
        <v>23.3</v>
      </c>
      <c r="H9" s="420">
        <v>35</v>
      </c>
      <c r="I9" s="421">
        <v>24.3</v>
      </c>
      <c r="J9" s="421">
        <v>31.8</v>
      </c>
    </row>
    <row r="10" spans="2:10" x14ac:dyDescent="0.25">
      <c r="B10" s="392" t="s">
        <v>2</v>
      </c>
      <c r="C10" s="394" t="s">
        <v>2</v>
      </c>
      <c r="D10" s="394">
        <v>198.9</v>
      </c>
      <c r="E10" s="395" t="s">
        <v>323</v>
      </c>
      <c r="F10" s="395" t="s">
        <v>329</v>
      </c>
      <c r="G10" s="420">
        <v>14.4</v>
      </c>
      <c r="H10" s="420">
        <v>22</v>
      </c>
      <c r="I10" s="421">
        <v>14.3</v>
      </c>
      <c r="J10" s="421">
        <v>19.7</v>
      </c>
    </row>
    <row r="11" spans="2:10" x14ac:dyDescent="0.25">
      <c r="B11" s="392" t="s">
        <v>3</v>
      </c>
      <c r="C11" s="394" t="s">
        <v>320</v>
      </c>
      <c r="D11" s="394">
        <v>139.41999999999999</v>
      </c>
      <c r="E11" s="395" t="s">
        <v>324</v>
      </c>
      <c r="F11" s="395" t="s">
        <v>330</v>
      </c>
      <c r="G11" s="420">
        <v>20.9</v>
      </c>
      <c r="H11" s="420">
        <v>37.6</v>
      </c>
      <c r="I11" s="421">
        <v>15.5</v>
      </c>
      <c r="J11" s="421">
        <v>22.2</v>
      </c>
    </row>
    <row r="12" spans="2:10" x14ac:dyDescent="0.25">
      <c r="B12" s="392"/>
      <c r="C12" s="392"/>
      <c r="D12" s="392"/>
      <c r="E12" s="392"/>
      <c r="F12" s="392"/>
      <c r="G12" s="422"/>
      <c r="H12" s="422"/>
      <c r="I12" s="422"/>
      <c r="J12" s="422"/>
    </row>
    <row r="13" spans="2:10" x14ac:dyDescent="0.25">
      <c r="B13" s="32" t="s">
        <v>321</v>
      </c>
      <c r="C13" s="393" t="s">
        <v>10</v>
      </c>
      <c r="D13" s="393">
        <v>413.12</v>
      </c>
      <c r="E13" s="396" t="s">
        <v>326</v>
      </c>
      <c r="F13" s="518">
        <v>3770000</v>
      </c>
      <c r="G13" s="423">
        <v>24</v>
      </c>
      <c r="H13" s="423">
        <v>34.83</v>
      </c>
      <c r="I13" s="424">
        <v>21.4</v>
      </c>
      <c r="J13" s="424">
        <v>30.96</v>
      </c>
    </row>
    <row r="14" spans="2:10" x14ac:dyDescent="0.25">
      <c r="B14" s="392" t="s">
        <v>301</v>
      </c>
      <c r="C14" s="392"/>
      <c r="D14" s="392"/>
      <c r="E14" s="392"/>
      <c r="F14" s="392"/>
      <c r="G14" s="420">
        <f>AVERAGE(G8:G11)</f>
        <v>18.675000000000001</v>
      </c>
      <c r="H14" s="420">
        <f t="shared" ref="H14:J14" si="0">AVERAGE(H8:H11)</f>
        <v>29.475000000000001</v>
      </c>
      <c r="I14" s="420">
        <f t="shared" si="0"/>
        <v>16.574999999999999</v>
      </c>
      <c r="J14" s="420">
        <f t="shared" si="0"/>
        <v>23.475000000000001</v>
      </c>
    </row>
    <row r="15" spans="2:10" x14ac:dyDescent="0.25">
      <c r="B15" s="392" t="s">
        <v>302</v>
      </c>
      <c r="C15" s="392"/>
      <c r="D15" s="392"/>
      <c r="E15" s="392"/>
      <c r="F15" s="392"/>
      <c r="G15" s="420">
        <f>MEDIAN(G8:G11)</f>
        <v>18.5</v>
      </c>
      <c r="H15" s="420">
        <f t="shared" ref="H15:J15" si="1">MEDIAN(H8:H11)</f>
        <v>29.15</v>
      </c>
      <c r="I15" s="420">
        <f t="shared" si="1"/>
        <v>14.9</v>
      </c>
      <c r="J15" s="420">
        <f t="shared" si="1"/>
        <v>21.2</v>
      </c>
    </row>
    <row r="17" spans="1:12" x14ac:dyDescent="0.25">
      <c r="B17" s="6" t="s">
        <v>303</v>
      </c>
    </row>
    <row r="18" spans="1:12" ht="27.4" customHeight="1" x14ac:dyDescent="0.25">
      <c r="B18" s="555" t="s">
        <v>331</v>
      </c>
      <c r="C18" s="555"/>
      <c r="G18" s="419"/>
      <c r="H18" s="419"/>
      <c r="I18" s="419"/>
      <c r="J18" s="419"/>
      <c r="K18" s="419"/>
    </row>
    <row r="22" spans="1:12" x14ac:dyDescent="0.25">
      <c r="A22" s="2" t="s">
        <v>304</v>
      </c>
      <c r="B22" s="392"/>
      <c r="C22" s="393" t="s">
        <v>10</v>
      </c>
      <c r="D22" s="393" t="s">
        <v>318</v>
      </c>
      <c r="E22" s="393" t="s">
        <v>319</v>
      </c>
      <c r="F22" s="393" t="s">
        <v>2</v>
      </c>
      <c r="G22" s="393" t="s">
        <v>320</v>
      </c>
      <c r="H22" s="393" t="s">
        <v>301</v>
      </c>
      <c r="I22" s="393" t="s">
        <v>302</v>
      </c>
      <c r="J22" s="555"/>
      <c r="K22" s="555"/>
      <c r="L22" s="555"/>
    </row>
    <row r="23" spans="1:12" x14ac:dyDescent="0.25">
      <c r="B23" s="392" t="s">
        <v>305</v>
      </c>
      <c r="C23" s="420">
        <f>G13</f>
        <v>24</v>
      </c>
      <c r="D23" s="420">
        <f>G8</f>
        <v>16.100000000000001</v>
      </c>
      <c r="E23" s="420">
        <f>G9</f>
        <v>23.3</v>
      </c>
      <c r="F23" s="420">
        <f>G10</f>
        <v>14.4</v>
      </c>
      <c r="G23" s="420">
        <f>H11</f>
        <v>37.6</v>
      </c>
      <c r="H23" s="420">
        <f>AVERAGE(C23:G23)</f>
        <v>23.080000000000002</v>
      </c>
      <c r="I23" s="420">
        <f>MEDIAN(C23:G23)</f>
        <v>23.3</v>
      </c>
    </row>
    <row r="24" spans="1:12" x14ac:dyDescent="0.25">
      <c r="B24" s="392" t="s">
        <v>306</v>
      </c>
      <c r="C24" s="420">
        <f>H13</f>
        <v>34.83</v>
      </c>
      <c r="D24" s="420">
        <f>H8</f>
        <v>23.3</v>
      </c>
      <c r="E24" s="420">
        <f>H9</f>
        <v>35</v>
      </c>
      <c r="F24" s="420">
        <f>H10</f>
        <v>22</v>
      </c>
      <c r="G24" s="420">
        <f>H11</f>
        <v>37.6</v>
      </c>
      <c r="H24" s="420">
        <f t="shared" ref="H24:H26" si="2">AVERAGE(C24:G24)</f>
        <v>30.545999999999999</v>
      </c>
      <c r="I24" s="420">
        <f t="shared" ref="I24:I26" si="3">MEDIAN(C24:G24)</f>
        <v>34.83</v>
      </c>
    </row>
    <row r="25" spans="1:12" x14ac:dyDescent="0.25">
      <c r="B25" s="392" t="s">
        <v>307</v>
      </c>
      <c r="C25" s="420">
        <f>I13</f>
        <v>21.4</v>
      </c>
      <c r="D25" s="420">
        <f>I8</f>
        <v>12.2</v>
      </c>
      <c r="E25" s="420">
        <f>I9</f>
        <v>24.3</v>
      </c>
      <c r="F25" s="420">
        <f>I10</f>
        <v>14.3</v>
      </c>
      <c r="G25" s="420">
        <f>I11</f>
        <v>15.5</v>
      </c>
      <c r="H25" s="420">
        <f t="shared" si="2"/>
        <v>17.54</v>
      </c>
      <c r="I25" s="420">
        <f t="shared" si="3"/>
        <v>15.5</v>
      </c>
    </row>
    <row r="26" spans="1:12" x14ac:dyDescent="0.25">
      <c r="B26" s="392" t="s">
        <v>308</v>
      </c>
      <c r="C26" s="420">
        <f>J13</f>
        <v>30.96</v>
      </c>
      <c r="D26" s="420">
        <f>J8</f>
        <v>20.2</v>
      </c>
      <c r="E26" s="420">
        <f>J9</f>
        <v>31.8</v>
      </c>
      <c r="F26" s="420">
        <f>J10</f>
        <v>19.7</v>
      </c>
      <c r="G26" s="420">
        <f>J11</f>
        <v>22.2</v>
      </c>
      <c r="H26" s="420">
        <f t="shared" si="2"/>
        <v>24.972000000000001</v>
      </c>
      <c r="I26" s="420">
        <f t="shared" si="3"/>
        <v>22.2</v>
      </c>
    </row>
    <row r="27" spans="1:12" x14ac:dyDescent="0.25">
      <c r="B27" s="397"/>
    </row>
    <row r="28" spans="1:12" x14ac:dyDescent="0.25">
      <c r="B28" s="398"/>
    </row>
    <row r="29" spans="1:12" x14ac:dyDescent="0.25">
      <c r="B29" s="398"/>
    </row>
    <row r="31" spans="1:12" x14ac:dyDescent="0.25">
      <c r="B31" s="392"/>
      <c r="C31" s="393" t="s">
        <v>10</v>
      </c>
      <c r="D31" s="393" t="s">
        <v>318</v>
      </c>
      <c r="E31" s="393" t="s">
        <v>319</v>
      </c>
      <c r="F31" s="393" t="s">
        <v>2</v>
      </c>
      <c r="G31" s="393" t="s">
        <v>320</v>
      </c>
      <c r="H31" s="393" t="s">
        <v>301</v>
      </c>
      <c r="I31" s="393" t="s">
        <v>302</v>
      </c>
    </row>
    <row r="32" spans="1:12" x14ac:dyDescent="0.25">
      <c r="B32" s="392" t="s">
        <v>309</v>
      </c>
      <c r="C32" s="420">
        <v>1.3</v>
      </c>
      <c r="D32" s="420">
        <v>2.1</v>
      </c>
      <c r="E32" s="420">
        <v>1</v>
      </c>
      <c r="F32" s="420">
        <v>1.1000000000000001</v>
      </c>
      <c r="G32" s="420">
        <v>0.7</v>
      </c>
      <c r="H32" s="420">
        <f>AVERAGE(C32:G32)</f>
        <v>1.24</v>
      </c>
      <c r="I32" s="420">
        <f>MEDIAN(C32:G32)</f>
        <v>1.1000000000000001</v>
      </c>
    </row>
    <row r="33" spans="2:12" x14ac:dyDescent="0.25">
      <c r="B33" s="392" t="s">
        <v>310</v>
      </c>
      <c r="C33" s="420"/>
      <c r="D33" s="420"/>
      <c r="E33" s="420"/>
      <c r="F33" s="420">
        <v>5.0999999999999996</v>
      </c>
      <c r="G33" s="420">
        <v>0</v>
      </c>
      <c r="H33" s="420">
        <f t="shared" ref="H33:H37" si="4">AVERAGE(C33:G33)</f>
        <v>2.5499999999999998</v>
      </c>
      <c r="I33" s="420">
        <f t="shared" ref="I33:I37" si="5">MEDIAN(C33:G33)</f>
        <v>2.5499999999999998</v>
      </c>
    </row>
    <row r="34" spans="2:12" x14ac:dyDescent="0.25">
      <c r="B34" s="392" t="s">
        <v>311</v>
      </c>
      <c r="C34" s="420">
        <v>26.7</v>
      </c>
      <c r="D34" s="420">
        <v>8.6999999999999993</v>
      </c>
      <c r="E34" s="420">
        <v>60.3</v>
      </c>
      <c r="F34" s="420">
        <v>71.3</v>
      </c>
      <c r="G34" s="420">
        <v>91.1</v>
      </c>
      <c r="H34" s="420">
        <f t="shared" si="4"/>
        <v>51.620000000000005</v>
      </c>
      <c r="I34" s="420">
        <f t="shared" si="5"/>
        <v>60.3</v>
      </c>
    </row>
    <row r="35" spans="2:12" x14ac:dyDescent="0.25">
      <c r="B35" s="392" t="s">
        <v>312</v>
      </c>
      <c r="C35" s="420">
        <v>36.4</v>
      </c>
      <c r="D35" s="420">
        <v>9.5</v>
      </c>
      <c r="E35" s="420">
        <v>151.9</v>
      </c>
      <c r="F35" s="420">
        <v>248.3</v>
      </c>
      <c r="G35" s="420">
        <v>1021.9</v>
      </c>
      <c r="H35" s="420">
        <f t="shared" si="4"/>
        <v>293.60000000000002</v>
      </c>
      <c r="I35" s="420">
        <f t="shared" si="5"/>
        <v>151.9</v>
      </c>
    </row>
    <row r="36" spans="2:12" x14ac:dyDescent="0.25">
      <c r="B36" s="399" t="s">
        <v>313</v>
      </c>
      <c r="C36" s="420">
        <v>37.130000000000003</v>
      </c>
      <c r="D36" s="420">
        <v>30.87</v>
      </c>
      <c r="E36" s="420">
        <v>160.58000000000001</v>
      </c>
      <c r="F36" s="420">
        <v>36.24</v>
      </c>
      <c r="G36" s="420">
        <v>193.92</v>
      </c>
      <c r="H36" s="420">
        <f t="shared" si="4"/>
        <v>91.748000000000005</v>
      </c>
      <c r="I36" s="420">
        <f t="shared" si="5"/>
        <v>37.130000000000003</v>
      </c>
    </row>
    <row r="37" spans="2:12" x14ac:dyDescent="0.25">
      <c r="B37" s="399" t="s">
        <v>314</v>
      </c>
      <c r="C37" s="420">
        <v>14.8</v>
      </c>
      <c r="D37" s="420">
        <v>15.96</v>
      </c>
      <c r="E37" s="420">
        <v>22.61</v>
      </c>
      <c r="F37" s="420">
        <v>4.7</v>
      </c>
      <c r="G37" s="420">
        <v>7.16</v>
      </c>
      <c r="H37" s="420">
        <f t="shared" si="4"/>
        <v>13.046000000000001</v>
      </c>
      <c r="I37" s="420">
        <f t="shared" si="5"/>
        <v>14.8</v>
      </c>
    </row>
    <row r="38" spans="2:12" x14ac:dyDescent="0.25">
      <c r="B38" s="397"/>
    </row>
    <row r="40" spans="2:12" x14ac:dyDescent="0.25">
      <c r="B40" s="6" t="s">
        <v>303</v>
      </c>
    </row>
    <row r="41" spans="2:12" ht="27.4" customHeight="1" x14ac:dyDescent="0.25">
      <c r="B41" s="555" t="s">
        <v>331</v>
      </c>
      <c r="C41" s="555"/>
      <c r="D41" s="401"/>
      <c r="E41" s="401"/>
      <c r="F41" s="401"/>
      <c r="G41" s="401"/>
      <c r="H41" s="401"/>
      <c r="I41" s="401"/>
      <c r="J41" s="401"/>
      <c r="K41" s="401"/>
      <c r="L41" s="401"/>
    </row>
    <row r="42" spans="2:12" x14ac:dyDescent="0.25">
      <c r="B42" s="400"/>
      <c r="C42" s="400"/>
      <c r="D42" s="401"/>
      <c r="E42" s="401"/>
      <c r="F42" s="401"/>
      <c r="G42" s="401"/>
      <c r="H42" s="401"/>
      <c r="I42" s="401"/>
      <c r="J42" s="401"/>
      <c r="K42" s="401"/>
      <c r="L42" s="401"/>
    </row>
    <row r="43" spans="2:12" x14ac:dyDescent="0.25">
      <c r="B43" s="400"/>
      <c r="C43" s="400"/>
      <c r="D43" s="401"/>
      <c r="E43" s="401"/>
      <c r="F43" s="401"/>
      <c r="G43" s="401"/>
      <c r="H43" s="401"/>
      <c r="I43" s="401"/>
      <c r="J43" s="401"/>
      <c r="K43" s="401"/>
      <c r="L43" s="401"/>
    </row>
  </sheetData>
  <mergeCells count="6">
    <mergeCell ref="B41:C41"/>
    <mergeCell ref="G4:J4"/>
    <mergeCell ref="G5:H5"/>
    <mergeCell ref="I5:J5"/>
    <mergeCell ref="B18:C18"/>
    <mergeCell ref="J22:L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DDDCD-F8BC-4DFC-8F5A-359AB673CB9D}">
  <sheetPr>
    <tabColor rgb="FFFF0000"/>
  </sheetPr>
  <dimension ref="B1:M72"/>
  <sheetViews>
    <sheetView showGridLines="0" zoomScaleNormal="100" workbookViewId="0">
      <selection activeCell="I1" activeCellId="4" sqref="B26 F1:F1048576 G1:G1048576 I1 I1:I1048576"/>
    </sheetView>
  </sheetViews>
  <sheetFormatPr defaultColWidth="8.7109375" defaultRowHeight="15" x14ac:dyDescent="0.25"/>
  <cols>
    <col min="1" max="1" width="2.7109375" style="2" customWidth="1"/>
    <col min="2" max="2" width="29.42578125" style="2" bestFit="1" customWidth="1"/>
    <col min="3" max="3" width="10" style="2" bestFit="1" customWidth="1"/>
    <col min="4" max="5" width="8.7109375" style="2"/>
    <col min="6" max="6" width="10.42578125" style="2" bestFit="1" customWidth="1"/>
    <col min="7" max="7" width="10.7109375" style="2" bestFit="1" customWidth="1"/>
    <col min="8" max="8" width="9.85546875" style="2" bestFit="1" customWidth="1"/>
    <col min="9" max="9" width="13.140625" style="2" bestFit="1" customWidth="1"/>
    <col min="10" max="10" width="9.85546875" style="2" bestFit="1" customWidth="1"/>
    <col min="11" max="11" width="8.7109375" style="2"/>
    <col min="12" max="12" width="13.7109375" style="2" bestFit="1" customWidth="1"/>
    <col min="13" max="16384" width="8.7109375" style="2"/>
  </cols>
  <sheetData>
    <row r="1" spans="2:13" ht="18.75" x14ac:dyDescent="0.3">
      <c r="B1" s="3" t="str">
        <f>" Valuation Analysis " &amp; 'Summary Stock Performance'!C6</f>
        <v xml:space="preserve"> Valuation Analysis MICROSOFT CORP</v>
      </c>
    </row>
    <row r="2" spans="2:13" ht="15.75" thickBot="1" x14ac:dyDescent="0.3">
      <c r="B2" s="5" t="s">
        <v>4</v>
      </c>
      <c r="F2" s="393" t="s">
        <v>339</v>
      </c>
      <c r="G2" s="393" t="s">
        <v>385</v>
      </c>
      <c r="H2" s="393" t="s">
        <v>368</v>
      </c>
      <c r="I2" s="393" t="s">
        <v>369</v>
      </c>
      <c r="J2" s="393" t="s">
        <v>368</v>
      </c>
      <c r="L2" s="238" t="s">
        <v>370</v>
      </c>
      <c r="M2" s="501"/>
    </row>
    <row r="3" spans="2:13" x14ac:dyDescent="0.25">
      <c r="F3" s="392"/>
      <c r="G3" s="392"/>
      <c r="H3" s="392"/>
      <c r="I3" s="392"/>
      <c r="J3" s="392"/>
      <c r="L3" s="2" t="s">
        <v>371</v>
      </c>
      <c r="M3" s="502">
        <f>SLOPE(H4:H63,J4:J63)</f>
        <v>0.89565561042136888</v>
      </c>
    </row>
    <row r="4" spans="2:13" ht="15.75" thickBot="1" x14ac:dyDescent="0.3">
      <c r="B4" s="15" t="s">
        <v>372</v>
      </c>
      <c r="C4" s="35"/>
      <c r="F4" s="514">
        <v>45505</v>
      </c>
      <c r="G4" s="515">
        <v>417.14</v>
      </c>
      <c r="H4" s="516">
        <f>G4/G5-1</f>
        <v>-2.8923150472093262E-3</v>
      </c>
      <c r="I4" s="517">
        <v>5648.4</v>
      </c>
      <c r="J4" s="516">
        <f>I4/I5-1</f>
        <v>2.2834688445031892E-2</v>
      </c>
      <c r="L4" s="2" t="s">
        <v>373</v>
      </c>
      <c r="M4" s="502">
        <f>SLOPE(H4:H39,J4:J39)</f>
        <v>1.0422115229265601</v>
      </c>
    </row>
    <row r="5" spans="2:13" x14ac:dyDescent="0.25">
      <c r="B5" s="2" t="s">
        <v>374</v>
      </c>
      <c r="C5" s="503">
        <v>3.8699999999999998E-2</v>
      </c>
      <c r="F5" s="514">
        <v>45474</v>
      </c>
      <c r="G5" s="515">
        <v>418.35</v>
      </c>
      <c r="H5" s="516">
        <f t="shared" ref="H5:H62" si="0">G5/G6-1</f>
        <v>-6.3989260543684923E-2</v>
      </c>
      <c r="I5" s="517">
        <v>5522.3</v>
      </c>
      <c r="J5" s="516">
        <f t="shared" ref="J5:J62" si="1">I5/I6-1</f>
        <v>1.1321349038912354E-2</v>
      </c>
      <c r="L5" s="2" t="s">
        <v>375</v>
      </c>
      <c r="M5" s="504">
        <v>0.9</v>
      </c>
    </row>
    <row r="6" spans="2:13" x14ac:dyDescent="0.25">
      <c r="B6" s="2" t="s">
        <v>376</v>
      </c>
      <c r="C6" s="505">
        <f>M6</f>
        <v>0.89565561042136888</v>
      </c>
      <c r="F6" s="514">
        <v>45444</v>
      </c>
      <c r="G6" s="515">
        <v>446.95</v>
      </c>
      <c r="H6" s="516">
        <f t="shared" si="0"/>
        <v>7.6650687736371736E-2</v>
      </c>
      <c r="I6" s="517">
        <v>5460.48</v>
      </c>
      <c r="J6" s="516">
        <f t="shared" si="1"/>
        <v>3.4669759034089864E-2</v>
      </c>
      <c r="L6" s="265" t="s">
        <v>377</v>
      </c>
      <c r="M6" s="506">
        <f>M3</f>
        <v>0.89565561042136888</v>
      </c>
    </row>
    <row r="7" spans="2:13" x14ac:dyDescent="0.25">
      <c r="B7" s="2" t="s">
        <v>378</v>
      </c>
      <c r="C7" s="507">
        <v>5.0999999999999997E-2</v>
      </c>
      <c r="F7" s="514">
        <v>45413</v>
      </c>
      <c r="G7" s="515">
        <v>415.13</v>
      </c>
      <c r="H7" s="516">
        <f t="shared" si="0"/>
        <v>6.6267690648036393E-2</v>
      </c>
      <c r="I7" s="517">
        <v>5277.51</v>
      </c>
      <c r="J7" s="516">
        <f t="shared" si="1"/>
        <v>4.8021224499522619E-2</v>
      </c>
    </row>
    <row r="8" spans="2:13" x14ac:dyDescent="0.25">
      <c r="B8" s="510" t="s">
        <v>372</v>
      </c>
      <c r="C8" s="511">
        <f>C5+(C6*C7)</f>
        <v>8.4378436131489806E-2</v>
      </c>
      <c r="F8" s="514">
        <v>45383</v>
      </c>
      <c r="G8" s="515">
        <v>389.33</v>
      </c>
      <c r="H8" s="516">
        <f t="shared" si="0"/>
        <v>-7.4610192051720925E-2</v>
      </c>
      <c r="I8" s="517">
        <v>5035.6899999999996</v>
      </c>
      <c r="J8" s="516">
        <f t="shared" si="1"/>
        <v>-4.1615042774082567E-2</v>
      </c>
    </row>
    <row r="9" spans="2:13" x14ac:dyDescent="0.25">
      <c r="B9" s="2" t="s">
        <v>388</v>
      </c>
      <c r="F9" s="514">
        <v>45352</v>
      </c>
      <c r="G9" s="515">
        <v>420.72</v>
      </c>
      <c r="H9" s="516">
        <f t="shared" si="0"/>
        <v>1.7116333043226017E-2</v>
      </c>
      <c r="I9" s="517">
        <v>5254.35</v>
      </c>
      <c r="J9" s="516">
        <f t="shared" si="1"/>
        <v>3.1018764704381807E-2</v>
      </c>
    </row>
    <row r="10" spans="2:13" ht="15.75" thickBot="1" x14ac:dyDescent="0.3">
      <c r="B10" s="15" t="s">
        <v>379</v>
      </c>
      <c r="C10" s="35"/>
      <c r="F10" s="514">
        <v>45323</v>
      </c>
      <c r="G10" s="515">
        <v>413.64</v>
      </c>
      <c r="H10" s="516">
        <f t="shared" si="0"/>
        <v>4.0394386035514929E-2</v>
      </c>
      <c r="I10" s="517">
        <v>5096.2700000000004</v>
      </c>
      <c r="J10" s="516">
        <f t="shared" si="1"/>
        <v>5.1720615397315317E-2</v>
      </c>
    </row>
    <row r="11" spans="2:13" x14ac:dyDescent="0.25">
      <c r="B11" s="2" t="s">
        <v>380</v>
      </c>
      <c r="C11" s="508">
        <f>-'Financial Statements'!G21/'Financial Statements'!G74</f>
        <v>6.8754685157421294E-2</v>
      </c>
      <c r="F11" s="514">
        <v>45292</v>
      </c>
      <c r="G11" s="515">
        <v>397.58</v>
      </c>
      <c r="H11" s="516">
        <f t="shared" si="0"/>
        <v>5.7281140304222822E-2</v>
      </c>
      <c r="I11" s="517">
        <v>4845.6499999999996</v>
      </c>
      <c r="J11" s="516">
        <f t="shared" si="1"/>
        <v>1.5895744712075555E-2</v>
      </c>
    </row>
    <row r="12" spans="2:13" x14ac:dyDescent="0.25">
      <c r="B12" s="2" t="s">
        <v>225</v>
      </c>
      <c r="C12" s="508">
        <f>Assumptions!E41</f>
        <v>0.18194022664987777</v>
      </c>
      <c r="F12" s="514">
        <v>45261</v>
      </c>
      <c r="G12" s="515">
        <v>376.04</v>
      </c>
      <c r="H12" s="516">
        <f t="shared" si="0"/>
        <v>-7.57435802697215E-3</v>
      </c>
      <c r="I12" s="517">
        <v>4769.83</v>
      </c>
      <c r="J12" s="516">
        <f t="shared" si="1"/>
        <v>4.4229169403213753E-2</v>
      </c>
    </row>
    <row r="13" spans="2:13" x14ac:dyDescent="0.25">
      <c r="B13" s="510" t="s">
        <v>381</v>
      </c>
      <c r="C13" s="511">
        <f>C11*(1-C12)</f>
        <v>5.6245442156639076E-2</v>
      </c>
      <c r="F13" s="514">
        <v>45231</v>
      </c>
      <c r="G13" s="515">
        <v>378.91</v>
      </c>
      <c r="H13" s="516">
        <f t="shared" si="0"/>
        <v>0.1206707876134987</v>
      </c>
      <c r="I13" s="517">
        <v>4567.8</v>
      </c>
      <c r="J13" s="516">
        <f t="shared" si="1"/>
        <v>8.9179264628737709E-2</v>
      </c>
    </row>
    <row r="14" spans="2:13" x14ac:dyDescent="0.25">
      <c r="F14" s="514">
        <v>45200</v>
      </c>
      <c r="G14" s="515">
        <v>338.11</v>
      </c>
      <c r="H14" s="516">
        <f t="shared" si="0"/>
        <v>7.0815518606492489E-2</v>
      </c>
      <c r="I14" s="517">
        <v>4193.8</v>
      </c>
      <c r="J14" s="516">
        <f t="shared" si="1"/>
        <v>-2.1979687736850106E-2</v>
      </c>
    </row>
    <row r="15" spans="2:13" ht="15.75" thickBot="1" x14ac:dyDescent="0.3">
      <c r="B15" s="15" t="s">
        <v>382</v>
      </c>
      <c r="C15" s="35"/>
      <c r="F15" s="514">
        <v>45170</v>
      </c>
      <c r="G15" s="515">
        <v>315.75</v>
      </c>
      <c r="H15" s="516">
        <f t="shared" si="0"/>
        <v>-3.6642665364901128E-2</v>
      </c>
      <c r="I15" s="517">
        <v>4288.05</v>
      </c>
      <c r="J15" s="516">
        <f t="shared" si="1"/>
        <v>-4.871929116215501E-2</v>
      </c>
    </row>
    <row r="16" spans="2:13" x14ac:dyDescent="0.25">
      <c r="B16" s="2" t="s">
        <v>383</v>
      </c>
      <c r="C16" s="508">
        <f>'Trading Comps'!F13/SUM('Trading Comps'!F13,'Financial Statements'!G74)</f>
        <v>0.98880369964707315</v>
      </c>
      <c r="F16" s="514">
        <v>45139</v>
      </c>
      <c r="G16" s="515">
        <v>327.76</v>
      </c>
      <c r="H16" s="516">
        <f t="shared" si="0"/>
        <v>-2.429149797570862E-2</v>
      </c>
      <c r="I16" s="517">
        <v>4507.66</v>
      </c>
      <c r="J16" s="516">
        <f t="shared" si="1"/>
        <v>-1.771643248143373E-2</v>
      </c>
    </row>
    <row r="17" spans="2:10" x14ac:dyDescent="0.25">
      <c r="B17" s="2" t="s">
        <v>384</v>
      </c>
      <c r="C17" s="248">
        <f>1-C16</f>
        <v>1.1196300352926847E-2</v>
      </c>
      <c r="F17" s="514">
        <v>45108</v>
      </c>
      <c r="G17" s="515">
        <v>335.92</v>
      </c>
      <c r="H17" s="516">
        <f t="shared" si="0"/>
        <v>-1.3566688201092414E-2</v>
      </c>
      <c r="I17" s="517">
        <v>4588.96</v>
      </c>
      <c r="J17" s="516">
        <f t="shared" si="1"/>
        <v>3.1138913980379268E-2</v>
      </c>
    </row>
    <row r="18" spans="2:10" x14ac:dyDescent="0.25">
      <c r="B18" s="2" t="s">
        <v>372</v>
      </c>
      <c r="C18" s="248">
        <f>C8</f>
        <v>8.4378436131489806E-2</v>
      </c>
      <c r="F18" s="514">
        <v>45078</v>
      </c>
      <c r="G18" s="515">
        <v>340.54</v>
      </c>
      <c r="H18" s="516">
        <f t="shared" si="0"/>
        <v>3.6998690581321103E-2</v>
      </c>
      <c r="I18" s="517">
        <v>4450.38</v>
      </c>
      <c r="J18" s="516">
        <f t="shared" si="1"/>
        <v>6.4727512841431301E-2</v>
      </c>
    </row>
    <row r="19" spans="2:10" x14ac:dyDescent="0.25">
      <c r="B19" s="2" t="s">
        <v>381</v>
      </c>
      <c r="C19" s="248">
        <f>C13</f>
        <v>5.6245442156639076E-2</v>
      </c>
      <c r="F19" s="514">
        <v>45047</v>
      </c>
      <c r="G19" s="515">
        <v>328.39</v>
      </c>
      <c r="H19" s="516">
        <f t="shared" si="0"/>
        <v>6.8769120614463386E-2</v>
      </c>
      <c r="I19" s="517">
        <v>4179.83</v>
      </c>
      <c r="J19" s="516">
        <f t="shared" si="1"/>
        <v>2.4823239348792381E-3</v>
      </c>
    </row>
    <row r="20" spans="2:10" ht="15.75" thickBot="1" x14ac:dyDescent="0.3">
      <c r="B20" s="512" t="s">
        <v>382</v>
      </c>
      <c r="C20" s="513">
        <f>(C16*C18)+(C17*C19)</f>
        <v>8.4063450681120297E-2</v>
      </c>
      <c r="F20" s="514">
        <v>45017</v>
      </c>
      <c r="G20" s="515">
        <v>307.26</v>
      </c>
      <c r="H20" s="516">
        <f t="shared" si="0"/>
        <v>6.5764828303850109E-2</v>
      </c>
      <c r="I20" s="517">
        <v>4169.4799999999996</v>
      </c>
      <c r="J20" s="516">
        <f t="shared" si="1"/>
        <v>1.464236088297044E-2</v>
      </c>
    </row>
    <row r="21" spans="2:10" ht="15.75" thickTop="1" x14ac:dyDescent="0.25">
      <c r="F21" s="514">
        <v>44986</v>
      </c>
      <c r="G21" s="515">
        <v>288.3</v>
      </c>
      <c r="H21" s="516">
        <f t="shared" si="0"/>
        <v>0.15588164541736838</v>
      </c>
      <c r="I21" s="517">
        <v>4109.3100000000004</v>
      </c>
      <c r="J21" s="516">
        <f t="shared" si="1"/>
        <v>3.5051572358727023E-2</v>
      </c>
    </row>
    <row r="22" spans="2:10" x14ac:dyDescent="0.25">
      <c r="B22" s="2" t="s">
        <v>389</v>
      </c>
      <c r="F22" s="514">
        <v>44958</v>
      </c>
      <c r="G22" s="515">
        <v>249.42</v>
      </c>
      <c r="H22" s="516">
        <f t="shared" si="0"/>
        <v>6.4969129575076501E-3</v>
      </c>
      <c r="I22" s="517">
        <v>3970.15</v>
      </c>
      <c r="J22" s="516">
        <f t="shared" si="1"/>
        <v>-2.6112446646715304E-2</v>
      </c>
    </row>
    <row r="23" spans="2:10" x14ac:dyDescent="0.25">
      <c r="F23" s="514">
        <v>44927</v>
      </c>
      <c r="G23" s="515">
        <v>247.81</v>
      </c>
      <c r="H23" s="516">
        <f t="shared" si="0"/>
        <v>3.3316654157284686E-2</v>
      </c>
      <c r="I23" s="517">
        <v>4076.6</v>
      </c>
      <c r="J23" s="516">
        <f t="shared" si="1"/>
        <v>6.1752832400052027E-2</v>
      </c>
    </row>
    <row r="24" spans="2:10" ht="18.75" x14ac:dyDescent="0.25">
      <c r="B24" s="531" t="s">
        <v>390</v>
      </c>
      <c r="F24" s="514">
        <v>44896</v>
      </c>
      <c r="G24" s="515">
        <v>239.82</v>
      </c>
      <c r="H24" s="516">
        <f t="shared" si="0"/>
        <v>-6.0045465234773054E-2</v>
      </c>
      <c r="I24" s="517">
        <v>3839.5</v>
      </c>
      <c r="J24" s="516">
        <f t="shared" si="1"/>
        <v>-5.8971449299161094E-2</v>
      </c>
    </row>
    <row r="25" spans="2:10" x14ac:dyDescent="0.25">
      <c r="F25" s="514">
        <v>44866</v>
      </c>
      <c r="G25" s="515">
        <v>255.14</v>
      </c>
      <c r="H25" s="516">
        <f t="shared" si="0"/>
        <v>9.9125490027139884E-2</v>
      </c>
      <c r="I25" s="517">
        <v>4080.11</v>
      </c>
      <c r="J25" s="516">
        <f t="shared" si="1"/>
        <v>5.3752860293699856E-2</v>
      </c>
    </row>
    <row r="26" spans="2:10" x14ac:dyDescent="0.25">
      <c r="F26" s="514">
        <v>44835</v>
      </c>
      <c r="G26" s="515">
        <v>232.13</v>
      </c>
      <c r="H26" s="516">
        <f t="shared" si="0"/>
        <v>-3.3061399742378983E-3</v>
      </c>
      <c r="I26" s="517">
        <v>3871.98</v>
      </c>
      <c r="J26" s="516">
        <f t="shared" si="1"/>
        <v>7.9863454576893256E-2</v>
      </c>
    </row>
    <row r="27" spans="2:10" x14ac:dyDescent="0.25">
      <c r="F27" s="514">
        <v>44805</v>
      </c>
      <c r="G27" s="515">
        <v>232.9</v>
      </c>
      <c r="H27" s="516">
        <f t="shared" si="0"/>
        <v>-0.10926683749569743</v>
      </c>
      <c r="I27" s="517">
        <v>3585.62</v>
      </c>
      <c r="J27" s="516">
        <f t="shared" si="1"/>
        <v>-9.3395701643489315E-2</v>
      </c>
    </row>
    <row r="28" spans="2:10" x14ac:dyDescent="0.25">
      <c r="F28" s="514">
        <v>44774</v>
      </c>
      <c r="G28" s="515">
        <v>261.47000000000003</v>
      </c>
      <c r="H28" s="516">
        <f t="shared" si="0"/>
        <v>-6.8640022796893851E-2</v>
      </c>
      <c r="I28" s="517">
        <v>3955</v>
      </c>
      <c r="J28" s="516">
        <f t="shared" si="1"/>
        <v>-4.2440119216810457E-2</v>
      </c>
    </row>
    <row r="29" spans="2:10" x14ac:dyDescent="0.25">
      <c r="F29" s="514">
        <v>44743</v>
      </c>
      <c r="G29" s="515">
        <v>280.74</v>
      </c>
      <c r="H29" s="516">
        <f t="shared" si="0"/>
        <v>9.3096600864385204E-2</v>
      </c>
      <c r="I29" s="517">
        <v>4130.29</v>
      </c>
      <c r="J29" s="516">
        <f t="shared" si="1"/>
        <v>9.1116347632205885E-2</v>
      </c>
    </row>
    <row r="30" spans="2:10" x14ac:dyDescent="0.25">
      <c r="F30" s="514">
        <v>44713</v>
      </c>
      <c r="G30" s="515">
        <v>256.83</v>
      </c>
      <c r="H30" s="516">
        <f t="shared" si="0"/>
        <v>-5.5320557619450539E-2</v>
      </c>
      <c r="I30" s="517">
        <v>3785.38</v>
      </c>
      <c r="J30" s="516">
        <f t="shared" si="1"/>
        <v>-8.3919993223866451E-2</v>
      </c>
    </row>
    <row r="31" spans="2:10" x14ac:dyDescent="0.25">
      <c r="F31" s="514">
        <v>44682</v>
      </c>
      <c r="G31" s="515">
        <v>271.87</v>
      </c>
      <c r="H31" s="516">
        <f t="shared" si="0"/>
        <v>-2.0358893052752847E-2</v>
      </c>
      <c r="I31" s="517">
        <v>4132.1499999999996</v>
      </c>
      <c r="J31" s="516">
        <f t="shared" si="1"/>
        <v>5.3243883608722342E-5</v>
      </c>
    </row>
    <row r="32" spans="2:10" x14ac:dyDescent="0.25">
      <c r="F32" s="514">
        <v>44652</v>
      </c>
      <c r="G32" s="515">
        <v>277.52</v>
      </c>
      <c r="H32" s="516">
        <f t="shared" si="0"/>
        <v>-9.9867016963445909E-2</v>
      </c>
      <c r="I32" s="517">
        <v>4131.93</v>
      </c>
      <c r="J32" s="516">
        <f t="shared" si="1"/>
        <v>-8.7956719149039353E-2</v>
      </c>
    </row>
    <row r="33" spans="6:10" x14ac:dyDescent="0.25">
      <c r="F33" s="514">
        <v>44621</v>
      </c>
      <c r="G33" s="515">
        <v>308.31</v>
      </c>
      <c r="H33" s="516">
        <f t="shared" si="0"/>
        <v>3.1861842765822157E-2</v>
      </c>
      <c r="I33" s="517">
        <v>4530.41</v>
      </c>
      <c r="J33" s="516">
        <f t="shared" si="1"/>
        <v>3.5773238773280092E-2</v>
      </c>
    </row>
    <row r="34" spans="6:10" x14ac:dyDescent="0.25">
      <c r="F34" s="514">
        <v>44593</v>
      </c>
      <c r="G34" s="515">
        <v>298.79000000000002</v>
      </c>
      <c r="H34" s="516">
        <f t="shared" si="0"/>
        <v>-3.9198662293395081E-2</v>
      </c>
      <c r="I34" s="517">
        <v>4373.9399999999996</v>
      </c>
      <c r="J34" s="516">
        <f t="shared" si="1"/>
        <v>-3.1360520866782648E-2</v>
      </c>
    </row>
    <row r="35" spans="6:10" x14ac:dyDescent="0.25">
      <c r="F35" s="514">
        <v>44562</v>
      </c>
      <c r="G35" s="515">
        <v>310.98</v>
      </c>
      <c r="H35" s="516">
        <f t="shared" si="0"/>
        <v>-7.5344909609895261E-2</v>
      </c>
      <c r="I35" s="517">
        <v>4515.55</v>
      </c>
      <c r="J35" s="516">
        <f t="shared" si="1"/>
        <v>-5.2585089106999772E-2</v>
      </c>
    </row>
    <row r="36" spans="6:10" x14ac:dyDescent="0.25">
      <c r="F36" s="514">
        <v>44531</v>
      </c>
      <c r="G36" s="515">
        <v>336.32</v>
      </c>
      <c r="H36" s="516">
        <f t="shared" si="0"/>
        <v>1.7332647690492919E-2</v>
      </c>
      <c r="I36" s="517">
        <v>4766.18</v>
      </c>
      <c r="J36" s="516">
        <f t="shared" si="1"/>
        <v>4.3612874972629889E-2</v>
      </c>
    </row>
    <row r="37" spans="6:10" x14ac:dyDescent="0.25">
      <c r="F37" s="514">
        <v>44501</v>
      </c>
      <c r="G37" s="515">
        <v>330.59</v>
      </c>
      <c r="H37" s="516">
        <f t="shared" si="0"/>
        <v>-3.105964658344007E-3</v>
      </c>
      <c r="I37" s="517">
        <v>4567</v>
      </c>
      <c r="J37" s="516">
        <f t="shared" si="1"/>
        <v>-8.3337314184714906E-3</v>
      </c>
    </row>
    <row r="38" spans="6:10" x14ac:dyDescent="0.25">
      <c r="F38" s="514">
        <v>44470</v>
      </c>
      <c r="G38" s="515">
        <v>331.62</v>
      </c>
      <c r="H38" s="516">
        <f t="shared" si="0"/>
        <v>0.1762911464245176</v>
      </c>
      <c r="I38" s="517">
        <v>4605.38</v>
      </c>
      <c r="J38" s="516">
        <f t="shared" si="1"/>
        <v>6.9143873301234615E-2</v>
      </c>
    </row>
    <row r="39" spans="6:10" x14ac:dyDescent="0.25">
      <c r="F39" s="514">
        <v>44440</v>
      </c>
      <c r="G39" s="515">
        <v>281.92</v>
      </c>
      <c r="H39" s="516">
        <f t="shared" si="0"/>
        <v>-6.6118987677222685E-2</v>
      </c>
      <c r="I39" s="517">
        <v>4307.54</v>
      </c>
      <c r="J39" s="516">
        <f t="shared" si="1"/>
        <v>-4.7569140421166334E-2</v>
      </c>
    </row>
    <row r="40" spans="6:10" x14ac:dyDescent="0.25">
      <c r="F40" s="514">
        <v>44409</v>
      </c>
      <c r="G40" s="515">
        <v>301.88</v>
      </c>
      <c r="H40" s="516">
        <f t="shared" si="0"/>
        <v>5.9562668912990002E-2</v>
      </c>
      <c r="I40" s="517">
        <v>4522.68</v>
      </c>
      <c r="J40" s="516">
        <f t="shared" si="1"/>
        <v>2.8990321391681118E-2</v>
      </c>
    </row>
    <row r="41" spans="6:10" x14ac:dyDescent="0.25">
      <c r="F41" s="514">
        <v>44378</v>
      </c>
      <c r="G41" s="515">
        <v>284.91000000000003</v>
      </c>
      <c r="H41" s="516">
        <f t="shared" si="0"/>
        <v>5.1716500553710132E-2</v>
      </c>
      <c r="I41" s="517">
        <v>4395.26</v>
      </c>
      <c r="J41" s="516">
        <f t="shared" si="1"/>
        <v>2.274810936591054E-2</v>
      </c>
    </row>
    <row r="42" spans="6:10" x14ac:dyDescent="0.25">
      <c r="F42" s="514">
        <v>44348</v>
      </c>
      <c r="G42" s="515">
        <v>270.89999999999998</v>
      </c>
      <c r="H42" s="516">
        <f t="shared" si="0"/>
        <v>8.4988785645626175E-2</v>
      </c>
      <c r="I42" s="517">
        <v>4297.5</v>
      </c>
      <c r="J42" s="516">
        <f t="shared" si="1"/>
        <v>2.221397632316946E-2</v>
      </c>
    </row>
    <row r="43" spans="6:10" x14ac:dyDescent="0.25">
      <c r="F43" s="514">
        <v>44317</v>
      </c>
      <c r="G43" s="515">
        <v>249.68</v>
      </c>
      <c r="H43" s="516">
        <f t="shared" si="0"/>
        <v>-9.9135538107700816E-3</v>
      </c>
      <c r="I43" s="517">
        <v>4204.1099999999997</v>
      </c>
      <c r="J43" s="516">
        <f t="shared" si="1"/>
        <v>5.4865025818131574E-3</v>
      </c>
    </row>
    <row r="44" spans="6:10" x14ac:dyDescent="0.25">
      <c r="F44" s="514">
        <v>44287</v>
      </c>
      <c r="G44" s="515">
        <v>252.18</v>
      </c>
      <c r="H44" s="516">
        <f t="shared" si="0"/>
        <v>6.9601730500063574E-2</v>
      </c>
      <c r="I44" s="517">
        <v>4181.17</v>
      </c>
      <c r="J44" s="516">
        <f t="shared" si="1"/>
        <v>5.242531255584737E-2</v>
      </c>
    </row>
    <row r="45" spans="6:10" x14ac:dyDescent="0.25">
      <c r="F45" s="514">
        <v>44256</v>
      </c>
      <c r="G45" s="515">
        <v>235.77</v>
      </c>
      <c r="H45" s="516">
        <f t="shared" si="0"/>
        <v>1.4588174541698917E-2</v>
      </c>
      <c r="I45" s="517">
        <v>3972.89</v>
      </c>
      <c r="J45" s="516">
        <f t="shared" si="1"/>
        <v>4.2438634008107767E-2</v>
      </c>
    </row>
    <row r="46" spans="6:10" x14ac:dyDescent="0.25">
      <c r="F46" s="514">
        <v>44228</v>
      </c>
      <c r="G46" s="515">
        <v>232.38</v>
      </c>
      <c r="H46" s="516">
        <f t="shared" si="0"/>
        <v>1.8106570098292973E-3</v>
      </c>
      <c r="I46" s="517">
        <v>3811.15</v>
      </c>
      <c r="J46" s="516">
        <f t="shared" si="1"/>
        <v>2.6091474971999817E-2</v>
      </c>
    </row>
    <row r="47" spans="6:10" x14ac:dyDescent="0.25">
      <c r="F47" s="514">
        <v>44197</v>
      </c>
      <c r="G47" s="515">
        <v>231.96</v>
      </c>
      <c r="H47" s="516">
        <f t="shared" si="0"/>
        <v>4.289182627461563E-2</v>
      </c>
      <c r="I47" s="517">
        <v>3714.24</v>
      </c>
      <c r="J47" s="516">
        <f t="shared" si="1"/>
        <v>-1.1136640158463607E-2</v>
      </c>
    </row>
    <row r="48" spans="6:10" x14ac:dyDescent="0.25">
      <c r="F48" s="514">
        <v>44166</v>
      </c>
      <c r="G48" s="515">
        <v>222.42</v>
      </c>
      <c r="H48" s="516">
        <f t="shared" si="0"/>
        <v>3.9005932638856322E-2</v>
      </c>
      <c r="I48" s="517">
        <v>3756.07</v>
      </c>
      <c r="J48" s="516">
        <f t="shared" si="1"/>
        <v>3.712140665943231E-2</v>
      </c>
    </row>
    <row r="49" spans="6:10" x14ac:dyDescent="0.25">
      <c r="F49" s="514">
        <v>44136</v>
      </c>
      <c r="G49" s="515">
        <v>214.07</v>
      </c>
      <c r="H49" s="516">
        <f t="shared" si="0"/>
        <v>5.7292438385933675E-2</v>
      </c>
      <c r="I49" s="517">
        <v>3621.63</v>
      </c>
      <c r="J49" s="516">
        <f t="shared" si="1"/>
        <v>0.10754565805086314</v>
      </c>
    </row>
    <row r="50" spans="6:10" x14ac:dyDescent="0.25">
      <c r="F50" s="514">
        <v>44105</v>
      </c>
      <c r="G50" s="515">
        <v>202.47</v>
      </c>
      <c r="H50" s="516">
        <f t="shared" si="0"/>
        <v>-3.7369847382684451E-2</v>
      </c>
      <c r="I50" s="517">
        <v>3269.96</v>
      </c>
      <c r="J50" s="516">
        <f t="shared" si="1"/>
        <v>-2.7665774606006499E-2</v>
      </c>
    </row>
    <row r="51" spans="6:10" x14ac:dyDescent="0.25">
      <c r="F51" s="514">
        <v>44075</v>
      </c>
      <c r="G51" s="515">
        <v>210.33</v>
      </c>
      <c r="H51" s="516">
        <f t="shared" si="0"/>
        <v>-6.7396798652063938E-2</v>
      </c>
      <c r="I51" s="517">
        <v>3363</v>
      </c>
      <c r="J51" s="516">
        <f t="shared" si="1"/>
        <v>-3.9227954095494399E-2</v>
      </c>
    </row>
    <row r="52" spans="6:10" x14ac:dyDescent="0.25">
      <c r="F52" s="514">
        <v>44044</v>
      </c>
      <c r="G52" s="515">
        <v>225.53</v>
      </c>
      <c r="H52" s="516">
        <f t="shared" si="0"/>
        <v>0.1000926784059315</v>
      </c>
      <c r="I52" s="517">
        <v>3500.31</v>
      </c>
      <c r="J52" s="516">
        <f t="shared" si="1"/>
        <v>7.0064687324219221E-2</v>
      </c>
    </row>
    <row r="53" spans="6:10" x14ac:dyDescent="0.25">
      <c r="F53" s="514">
        <v>44013</v>
      </c>
      <c r="G53" s="515">
        <v>205.01</v>
      </c>
      <c r="H53" s="516">
        <f t="shared" si="0"/>
        <v>7.3706451771411441E-3</v>
      </c>
      <c r="I53" s="517">
        <v>3271.12</v>
      </c>
      <c r="J53" s="516">
        <f t="shared" si="1"/>
        <v>5.5101296975444303E-2</v>
      </c>
    </row>
    <row r="54" spans="6:10" x14ac:dyDescent="0.25">
      <c r="F54" s="514">
        <v>43983</v>
      </c>
      <c r="G54" s="515">
        <v>203.51</v>
      </c>
      <c r="H54" s="516">
        <f t="shared" si="0"/>
        <v>0.11055934515688937</v>
      </c>
      <c r="I54" s="517">
        <v>3100.29</v>
      </c>
      <c r="J54" s="516">
        <f t="shared" si="1"/>
        <v>1.8388403283502663E-2</v>
      </c>
    </row>
    <row r="55" spans="6:10" x14ac:dyDescent="0.25">
      <c r="F55" s="514">
        <v>43952</v>
      </c>
      <c r="G55" s="515">
        <v>183.25</v>
      </c>
      <c r="H55" s="516">
        <f t="shared" si="0"/>
        <v>2.2543384855755688E-2</v>
      </c>
      <c r="I55" s="517">
        <v>3044.31</v>
      </c>
      <c r="J55" s="516">
        <f t="shared" si="1"/>
        <v>4.528177501261843E-2</v>
      </c>
    </row>
    <row r="56" spans="6:10" x14ac:dyDescent="0.25">
      <c r="F56" s="514">
        <v>43922</v>
      </c>
      <c r="G56" s="515">
        <v>179.21</v>
      </c>
      <c r="H56" s="516">
        <f t="shared" si="0"/>
        <v>0.13632616828355837</v>
      </c>
      <c r="I56" s="517">
        <v>2912.43</v>
      </c>
      <c r="J56" s="516">
        <f t="shared" si="1"/>
        <v>0.12684410293315374</v>
      </c>
    </row>
    <row r="57" spans="6:10" x14ac:dyDescent="0.25">
      <c r="F57" s="514">
        <v>43891</v>
      </c>
      <c r="G57" s="515">
        <v>157.71</v>
      </c>
      <c r="H57" s="516">
        <f t="shared" si="0"/>
        <v>-2.6541571507931461E-2</v>
      </c>
      <c r="I57" s="517">
        <v>2584.59</v>
      </c>
      <c r="J57" s="516">
        <f t="shared" si="1"/>
        <v>-0.12511932083595656</v>
      </c>
    </row>
    <row r="58" spans="6:10" x14ac:dyDescent="0.25">
      <c r="F58" s="514">
        <v>43862</v>
      </c>
      <c r="G58" s="515">
        <v>162.01</v>
      </c>
      <c r="H58" s="516">
        <f t="shared" si="0"/>
        <v>-4.8287610879398479E-2</v>
      </c>
      <c r="I58" s="517">
        <v>2954.22</v>
      </c>
      <c r="J58" s="516">
        <f t="shared" si="1"/>
        <v>-8.4110469009648137E-2</v>
      </c>
    </row>
    <row r="59" spans="6:10" x14ac:dyDescent="0.25">
      <c r="F59" s="514">
        <v>43831</v>
      </c>
      <c r="G59" s="515">
        <v>170.23</v>
      </c>
      <c r="H59" s="516">
        <f t="shared" si="0"/>
        <v>7.9454660748256245E-2</v>
      </c>
      <c r="I59" s="517">
        <v>3225.52</v>
      </c>
      <c r="J59" s="516">
        <f t="shared" si="1"/>
        <v>-1.6280898111292741E-3</v>
      </c>
    </row>
    <row r="60" spans="6:10" x14ac:dyDescent="0.25">
      <c r="F60" s="514">
        <v>43800</v>
      </c>
      <c r="G60" s="515">
        <v>157.69999999999999</v>
      </c>
      <c r="H60" s="516">
        <f t="shared" si="0"/>
        <v>4.1749240322367598E-2</v>
      </c>
      <c r="I60" s="517">
        <v>3230.78</v>
      </c>
      <c r="J60" s="516">
        <f t="shared" si="1"/>
        <v>2.8589803182446305E-2</v>
      </c>
    </row>
    <row r="61" spans="6:10" x14ac:dyDescent="0.25">
      <c r="F61" s="514">
        <v>43770</v>
      </c>
      <c r="G61" s="515">
        <v>151.38</v>
      </c>
      <c r="H61" s="516">
        <f t="shared" si="0"/>
        <v>5.58694287507846E-2</v>
      </c>
      <c r="I61" s="517">
        <v>3140.98</v>
      </c>
      <c r="J61" s="516">
        <f t="shared" si="1"/>
        <v>3.404706409091518E-2</v>
      </c>
    </row>
    <row r="62" spans="6:10" x14ac:dyDescent="0.25">
      <c r="F62" s="514">
        <v>43739</v>
      </c>
      <c r="G62" s="515">
        <v>143.37</v>
      </c>
      <c r="H62" s="516">
        <f t="shared" si="0"/>
        <v>3.1216284255196847E-2</v>
      </c>
      <c r="I62" s="517">
        <v>3037.56</v>
      </c>
      <c r="J62" s="516">
        <f t="shared" si="1"/>
        <v>2.0431747482144935E-2</v>
      </c>
    </row>
    <row r="63" spans="6:10" x14ac:dyDescent="0.25">
      <c r="F63" s="514">
        <v>43709</v>
      </c>
      <c r="G63" s="515">
        <v>139.03</v>
      </c>
      <c r="H63" s="516"/>
      <c r="I63" s="517">
        <v>2976.74</v>
      </c>
      <c r="J63" s="516"/>
    </row>
    <row r="64" spans="6:10" x14ac:dyDescent="0.25">
      <c r="F64" s="509"/>
    </row>
    <row r="65" spans="6:6" x14ac:dyDescent="0.25">
      <c r="F65" s="509"/>
    </row>
    <row r="66" spans="6:6" ht="20.65" customHeight="1" x14ac:dyDescent="0.25">
      <c r="F66" s="509"/>
    </row>
    <row r="67" spans="6:6" x14ac:dyDescent="0.25">
      <c r="F67" s="509"/>
    </row>
    <row r="68" spans="6:6" x14ac:dyDescent="0.25">
      <c r="F68" s="509"/>
    </row>
    <row r="69" spans="6:6" x14ac:dyDescent="0.25">
      <c r="F69" s="509"/>
    </row>
    <row r="70" spans="6:6" x14ac:dyDescent="0.25">
      <c r="F70" s="509"/>
    </row>
    <row r="71" spans="6:6" x14ac:dyDescent="0.25">
      <c r="F71" s="509"/>
    </row>
    <row r="72" spans="6:6" x14ac:dyDescent="0.25">
      <c r="F72" s="50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Introduction</vt:lpstr>
      <vt:lpstr>Summary Stock Performance</vt:lpstr>
      <vt:lpstr>Comm Size &amp; Hor Analysis</vt:lpstr>
      <vt:lpstr>Financial Statements</vt:lpstr>
      <vt:lpstr>Predictive Model</vt:lpstr>
      <vt:lpstr>Revenue Analysis</vt:lpstr>
      <vt:lpstr>Supporting Schedules</vt:lpstr>
      <vt:lpstr>Mid-term DCF</vt:lpstr>
      <vt:lpstr>Assumptions</vt:lpstr>
      <vt:lpstr>Depreciation</vt:lpstr>
      <vt:lpstr>Trading Comps</vt:lpstr>
      <vt:lpstr>WACC</vt:lpstr>
      <vt:lpstr>Case</vt:lpstr>
      <vt:lpstr>'Summary Stock Performance'!Print_Area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Gauri Lad</dc:creator>
  <cp:lastModifiedBy>Gauri Lad</cp:lastModifiedBy>
  <dcterms:created xsi:type="dcterms:W3CDTF">2024-08-24T22:13:18Z</dcterms:created>
  <dcterms:modified xsi:type="dcterms:W3CDTF">2024-10-10T17:24:20Z</dcterms:modified>
</cp:coreProperties>
</file>