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10" yWindow="30" windowWidth="20640" windowHeight="10850" activeTab="1"/>
  </bookViews>
  <sheets>
    <sheet name="Updates" sheetId="1" r:id="rId1"/>
    <sheet name="Summary" sheetId="3" r:id="rId2"/>
  </sheets>
  <definedNames>
    <definedName name="_xlnm.Print_Area" localSheetId="1">Summary!$B$2:$P$30</definedName>
  </definedNames>
  <calcPr calcId="144525"/>
</workbook>
</file>

<file path=xl/calcChain.xml><?xml version="1.0" encoding="utf-8"?>
<calcChain xmlns="http://schemas.openxmlformats.org/spreadsheetml/2006/main">
  <c r="H381" i="1" l="1"/>
  <c r="G381" i="1" s="1"/>
  <c r="B9" i="3"/>
  <c r="N9" i="3" s="1"/>
  <c r="A1083" i="1"/>
  <c r="E1083" i="1" s="1"/>
  <c r="A1008" i="1"/>
  <c r="E1008" i="1" s="1"/>
  <c r="A920" i="1"/>
  <c r="E920" i="1" s="1"/>
  <c r="A850" i="1"/>
  <c r="E850" i="1" s="1"/>
  <c r="A766" i="1"/>
  <c r="E766" i="1" s="1"/>
  <c r="A692" i="1"/>
  <c r="E692" i="1" s="1"/>
  <c r="A620" i="1"/>
  <c r="E620" i="1" s="1"/>
  <c r="A549" i="1"/>
  <c r="A472" i="1"/>
  <c r="A473" i="1" s="1"/>
  <c r="A474" i="1" s="1"/>
  <c r="A383" i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315" i="1"/>
  <c r="E315" i="1" s="1"/>
  <c r="A238" i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E274" i="1" s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E198" i="1" s="1"/>
  <c r="A79" i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E115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E43" i="1" s="1"/>
  <c r="B8" i="3"/>
  <c r="N8" i="3" s="1"/>
  <c r="B10" i="3"/>
  <c r="N10" i="3" s="1"/>
  <c r="B11" i="3"/>
  <c r="N11" i="3" s="1"/>
  <c r="B12" i="3"/>
  <c r="N12" i="3" s="1"/>
  <c r="B13" i="3"/>
  <c r="N13" i="3" s="1"/>
  <c r="B14" i="3"/>
  <c r="N14" i="3" s="1"/>
  <c r="B15" i="3"/>
  <c r="N15" i="3" s="1"/>
  <c r="B16" i="3"/>
  <c r="N16" i="3" s="1"/>
  <c r="B17" i="3"/>
  <c r="N17" i="3" s="1"/>
  <c r="B18" i="3"/>
  <c r="N18" i="3" s="1"/>
  <c r="B19" i="3"/>
  <c r="N19" i="3" s="1"/>
  <c r="B20" i="3"/>
  <c r="N20" i="3" s="1"/>
  <c r="B21" i="3"/>
  <c r="N21" i="3" s="1"/>
  <c r="B24" i="3"/>
  <c r="N24" i="3" s="1"/>
  <c r="B25" i="3"/>
  <c r="N25" i="3" s="1"/>
  <c r="B26" i="3"/>
  <c r="N26" i="3" s="1"/>
  <c r="B7" i="3"/>
  <c r="J415" i="1"/>
  <c r="J414" i="1"/>
  <c r="J408" i="1"/>
  <c r="J406" i="1"/>
  <c r="J402" i="1"/>
  <c r="J395" i="1"/>
  <c r="J391" i="1"/>
  <c r="J386" i="1"/>
  <c r="J398" i="1" s="1"/>
  <c r="J385" i="1"/>
  <c r="J383" i="1"/>
  <c r="H408" i="1"/>
  <c r="L408" i="1" s="1"/>
  <c r="H406" i="1"/>
  <c r="L406" i="1" s="1"/>
  <c r="H402" i="1"/>
  <c r="L402" i="1" s="1"/>
  <c r="H395" i="1"/>
  <c r="L395" i="1" s="1"/>
  <c r="H391" i="1"/>
  <c r="L391" i="1" s="1"/>
  <c r="H386" i="1"/>
  <c r="L386" i="1" s="1"/>
  <c r="G408" i="1"/>
  <c r="G406" i="1"/>
  <c r="G402" i="1"/>
  <c r="G395" i="1"/>
  <c r="G391" i="1"/>
  <c r="G386" i="1"/>
  <c r="L104" i="1"/>
  <c r="J91" i="1"/>
  <c r="H102" i="1"/>
  <c r="H98" i="1"/>
  <c r="H91" i="1"/>
  <c r="H87" i="1"/>
  <c r="H82" i="1"/>
  <c r="G98" i="1"/>
  <c r="G91" i="1"/>
  <c r="G102" i="1"/>
  <c r="G87" i="1"/>
  <c r="G82" i="1"/>
  <c r="L1102" i="1"/>
  <c r="J1115" i="1"/>
  <c r="J1114" i="1"/>
  <c r="J1108" i="1"/>
  <c r="J1106" i="1"/>
  <c r="J1095" i="1"/>
  <c r="J1091" i="1"/>
  <c r="J1086" i="1"/>
  <c r="J1085" i="1"/>
  <c r="J1083" i="1"/>
  <c r="G1114" i="1"/>
  <c r="H1114" i="1"/>
  <c r="G1115" i="1"/>
  <c r="H1115" i="1"/>
  <c r="L1115" i="1" s="1"/>
  <c r="G1108" i="1"/>
  <c r="H1108" i="1"/>
  <c r="L1108" i="1" s="1"/>
  <c r="G1106" i="1"/>
  <c r="H1106" i="1"/>
  <c r="G1095" i="1"/>
  <c r="H1095" i="1"/>
  <c r="G1091" i="1"/>
  <c r="H1091" i="1"/>
  <c r="G1085" i="1"/>
  <c r="H1085" i="1"/>
  <c r="G1086" i="1"/>
  <c r="H1086" i="1"/>
  <c r="F1115" i="1"/>
  <c r="F1114" i="1"/>
  <c r="F1108" i="1"/>
  <c r="F1106" i="1"/>
  <c r="F1095" i="1"/>
  <c r="F1091" i="1"/>
  <c r="F1086" i="1"/>
  <c r="F1085" i="1"/>
  <c r="L1033" i="1"/>
  <c r="L1020" i="1"/>
  <c r="J1040" i="1"/>
  <c r="J1039" i="1"/>
  <c r="J1031" i="1"/>
  <c r="J1027" i="1"/>
  <c r="J1016" i="1"/>
  <c r="J1011" i="1"/>
  <c r="J1010" i="1"/>
  <c r="J1008" i="1"/>
  <c r="G1039" i="1"/>
  <c r="H1039" i="1"/>
  <c r="L1039" i="1" s="1"/>
  <c r="G1040" i="1"/>
  <c r="H1040" i="1"/>
  <c r="G1031" i="1"/>
  <c r="H1031" i="1"/>
  <c r="G1027" i="1"/>
  <c r="H1027" i="1"/>
  <c r="L1027" i="1" s="1"/>
  <c r="G1011" i="1"/>
  <c r="H1011" i="1"/>
  <c r="L1011" i="1" s="1"/>
  <c r="F1040" i="1"/>
  <c r="F1039" i="1"/>
  <c r="F1031" i="1"/>
  <c r="F1027" i="1"/>
  <c r="F1011" i="1"/>
  <c r="L945" i="1"/>
  <c r="J952" i="1"/>
  <c r="J951" i="1"/>
  <c r="J943" i="1"/>
  <c r="J939" i="1"/>
  <c r="J932" i="1"/>
  <c r="J928" i="1"/>
  <c r="J923" i="1"/>
  <c r="J922" i="1"/>
  <c r="J920" i="1"/>
  <c r="G943" i="1"/>
  <c r="H943" i="1"/>
  <c r="L943" i="1" s="1"/>
  <c r="G939" i="1"/>
  <c r="H939" i="1"/>
  <c r="G932" i="1"/>
  <c r="H932" i="1"/>
  <c r="G928" i="1"/>
  <c r="H928" i="1"/>
  <c r="G922" i="1"/>
  <c r="H922" i="1"/>
  <c r="G923" i="1"/>
  <c r="H923" i="1"/>
  <c r="F943" i="1"/>
  <c r="F939" i="1"/>
  <c r="F932" i="1"/>
  <c r="F928" i="1"/>
  <c r="F923" i="1"/>
  <c r="F922" i="1"/>
  <c r="L875" i="1"/>
  <c r="L869" i="1"/>
  <c r="J882" i="1"/>
  <c r="J881" i="1"/>
  <c r="J873" i="1"/>
  <c r="J862" i="1"/>
  <c r="J858" i="1"/>
  <c r="J853" i="1"/>
  <c r="J852" i="1"/>
  <c r="J850" i="1"/>
  <c r="G881" i="1"/>
  <c r="H881" i="1"/>
  <c r="L881" i="1" s="1"/>
  <c r="G882" i="1"/>
  <c r="H882" i="1"/>
  <c r="G873" i="1"/>
  <c r="H873" i="1"/>
  <c r="G862" i="1"/>
  <c r="H862" i="1"/>
  <c r="L862" i="1" s="1"/>
  <c r="G858" i="1"/>
  <c r="H858" i="1"/>
  <c r="G852" i="1"/>
  <c r="H852" i="1"/>
  <c r="G853" i="1"/>
  <c r="H853" i="1"/>
  <c r="L853" i="1" s="1"/>
  <c r="G850" i="1"/>
  <c r="H850" i="1"/>
  <c r="L850" i="1" s="1"/>
  <c r="F882" i="1"/>
  <c r="F881" i="1"/>
  <c r="F873" i="1"/>
  <c r="F862" i="1"/>
  <c r="F858" i="1"/>
  <c r="F853" i="1"/>
  <c r="F852" i="1"/>
  <c r="F850" i="1"/>
  <c r="L791" i="1"/>
  <c r="J798" i="1"/>
  <c r="J797" i="1"/>
  <c r="J789" i="1"/>
  <c r="J785" i="1"/>
  <c r="J778" i="1"/>
  <c r="J774" i="1"/>
  <c r="J769" i="1"/>
  <c r="J768" i="1"/>
  <c r="J766" i="1"/>
  <c r="G778" i="1"/>
  <c r="H778" i="1"/>
  <c r="F778" i="1"/>
  <c r="F826" i="1"/>
  <c r="G789" i="1"/>
  <c r="H789" i="1"/>
  <c r="L789" i="1" s="1"/>
  <c r="G785" i="1"/>
  <c r="H785" i="1"/>
  <c r="G774" i="1"/>
  <c r="H774" i="1"/>
  <c r="G768" i="1"/>
  <c r="H768" i="1"/>
  <c r="G769" i="1"/>
  <c r="H769" i="1"/>
  <c r="L769" i="1" s="1"/>
  <c r="G766" i="1"/>
  <c r="H766" i="1"/>
  <c r="L766" i="1" s="1"/>
  <c r="F774" i="1"/>
  <c r="F789" i="1"/>
  <c r="F785" i="1"/>
  <c r="F769" i="1"/>
  <c r="F768" i="1"/>
  <c r="F766" i="1"/>
  <c r="J724" i="1"/>
  <c r="J723" i="1"/>
  <c r="J717" i="1"/>
  <c r="J715" i="1"/>
  <c r="J711" i="1"/>
  <c r="J704" i="1"/>
  <c r="J700" i="1"/>
  <c r="J695" i="1"/>
  <c r="J694" i="1"/>
  <c r="J692" i="1"/>
  <c r="G723" i="1"/>
  <c r="H723" i="1"/>
  <c r="G724" i="1"/>
  <c r="H724" i="1"/>
  <c r="G717" i="1"/>
  <c r="H717" i="1"/>
  <c r="G715" i="1"/>
  <c r="H715" i="1"/>
  <c r="G711" i="1"/>
  <c r="H711" i="1"/>
  <c r="G704" i="1"/>
  <c r="H704" i="1"/>
  <c r="L704" i="1" s="1"/>
  <c r="G700" i="1"/>
  <c r="H700" i="1"/>
  <c r="G694" i="1"/>
  <c r="H694" i="1"/>
  <c r="G695" i="1"/>
  <c r="H695" i="1"/>
  <c r="L695" i="1" s="1"/>
  <c r="G692" i="1"/>
  <c r="H692" i="1"/>
  <c r="L692" i="1" s="1"/>
  <c r="F724" i="1"/>
  <c r="F723" i="1"/>
  <c r="F717" i="1"/>
  <c r="F715" i="1"/>
  <c r="F711" i="1"/>
  <c r="F704" i="1"/>
  <c r="F700" i="1"/>
  <c r="F695" i="1"/>
  <c r="F694" i="1"/>
  <c r="F692" i="1"/>
  <c r="L645" i="1"/>
  <c r="J652" i="1"/>
  <c r="J651" i="1"/>
  <c r="J643" i="1"/>
  <c r="J639" i="1"/>
  <c r="J632" i="1"/>
  <c r="J628" i="1"/>
  <c r="J623" i="1"/>
  <c r="J622" i="1"/>
  <c r="J620" i="1"/>
  <c r="G651" i="1"/>
  <c r="H651" i="1"/>
  <c r="G652" i="1"/>
  <c r="H652" i="1"/>
  <c r="L652" i="1" s="1"/>
  <c r="G643" i="1"/>
  <c r="H643" i="1"/>
  <c r="L643" i="1" s="1"/>
  <c r="G639" i="1"/>
  <c r="H639" i="1"/>
  <c r="G632" i="1"/>
  <c r="H632" i="1"/>
  <c r="G628" i="1"/>
  <c r="H628" i="1"/>
  <c r="G622" i="1"/>
  <c r="H622" i="1"/>
  <c r="G623" i="1"/>
  <c r="H623" i="1"/>
  <c r="G620" i="1"/>
  <c r="H620" i="1"/>
  <c r="F652" i="1"/>
  <c r="F651" i="1"/>
  <c r="F643" i="1"/>
  <c r="F639" i="1"/>
  <c r="F632" i="1"/>
  <c r="F628" i="1"/>
  <c r="F623" i="1"/>
  <c r="F622" i="1"/>
  <c r="F620" i="1"/>
  <c r="L568" i="1"/>
  <c r="J581" i="1"/>
  <c r="J580" i="1"/>
  <c r="J574" i="1"/>
  <c r="J572" i="1"/>
  <c r="J561" i="1"/>
  <c r="J557" i="1"/>
  <c r="J552" i="1"/>
  <c r="J551" i="1"/>
  <c r="J549" i="1"/>
  <c r="G580" i="1"/>
  <c r="H580" i="1"/>
  <c r="G581" i="1"/>
  <c r="H581" i="1"/>
  <c r="L581" i="1" s="1"/>
  <c r="G574" i="1"/>
  <c r="H574" i="1"/>
  <c r="L574" i="1" s="1"/>
  <c r="G572" i="1"/>
  <c r="H572" i="1"/>
  <c r="G561" i="1"/>
  <c r="H561" i="1"/>
  <c r="G557" i="1"/>
  <c r="H557" i="1"/>
  <c r="G551" i="1"/>
  <c r="H551" i="1"/>
  <c r="G552" i="1"/>
  <c r="H552" i="1"/>
  <c r="F581" i="1"/>
  <c r="F580" i="1"/>
  <c r="F574" i="1"/>
  <c r="F572" i="1"/>
  <c r="F561" i="1"/>
  <c r="F557" i="1"/>
  <c r="F552" i="1"/>
  <c r="F551" i="1"/>
  <c r="J504" i="1"/>
  <c r="J503" i="1"/>
  <c r="J497" i="1"/>
  <c r="J495" i="1"/>
  <c r="J491" i="1"/>
  <c r="J484" i="1"/>
  <c r="J480" i="1"/>
  <c r="J475" i="1"/>
  <c r="J474" i="1"/>
  <c r="J472" i="1"/>
  <c r="G503" i="1"/>
  <c r="H503" i="1"/>
  <c r="G504" i="1"/>
  <c r="H504" i="1"/>
  <c r="G497" i="1"/>
  <c r="H497" i="1"/>
  <c r="G495" i="1"/>
  <c r="H495" i="1"/>
  <c r="G491" i="1"/>
  <c r="H491" i="1"/>
  <c r="G484" i="1"/>
  <c r="H484" i="1"/>
  <c r="L484" i="1" s="1"/>
  <c r="G480" i="1"/>
  <c r="H480" i="1"/>
  <c r="G474" i="1"/>
  <c r="H474" i="1"/>
  <c r="G475" i="1"/>
  <c r="H475" i="1"/>
  <c r="L475" i="1" s="1"/>
  <c r="G472" i="1"/>
  <c r="H472" i="1"/>
  <c r="L472" i="1" s="1"/>
  <c r="F504" i="1"/>
  <c r="F503" i="1"/>
  <c r="F497" i="1"/>
  <c r="F495" i="1"/>
  <c r="F491" i="1"/>
  <c r="F484" i="1"/>
  <c r="F480" i="1"/>
  <c r="F475" i="1"/>
  <c r="A475" i="1" l="1"/>
  <c r="E474" i="1"/>
  <c r="E42" i="1"/>
  <c r="E38" i="1"/>
  <c r="E34" i="1"/>
  <c r="E30" i="1"/>
  <c r="E26" i="1"/>
  <c r="E22" i="1"/>
  <c r="E18" i="1"/>
  <c r="E14" i="1"/>
  <c r="E10" i="1"/>
  <c r="E80" i="1"/>
  <c r="E84" i="1"/>
  <c r="E88" i="1"/>
  <c r="E92" i="1"/>
  <c r="E96" i="1"/>
  <c r="E100" i="1"/>
  <c r="E104" i="1"/>
  <c r="E108" i="1"/>
  <c r="E112" i="1"/>
  <c r="E162" i="1"/>
  <c r="E166" i="1"/>
  <c r="E170" i="1"/>
  <c r="E174" i="1"/>
  <c r="E178" i="1"/>
  <c r="E182" i="1"/>
  <c r="E186" i="1"/>
  <c r="E190" i="1"/>
  <c r="E194" i="1"/>
  <c r="E241" i="1"/>
  <c r="E245" i="1"/>
  <c r="E249" i="1"/>
  <c r="E253" i="1"/>
  <c r="E257" i="1"/>
  <c r="E261" i="1"/>
  <c r="E265" i="1"/>
  <c r="E269" i="1"/>
  <c r="E273" i="1"/>
  <c r="E384" i="1"/>
  <c r="E388" i="1"/>
  <c r="E392" i="1"/>
  <c r="E396" i="1"/>
  <c r="E400" i="1"/>
  <c r="E404" i="1"/>
  <c r="E408" i="1"/>
  <c r="E412" i="1"/>
  <c r="E472" i="1"/>
  <c r="A550" i="1"/>
  <c r="E550" i="1" s="1"/>
  <c r="E549" i="1"/>
  <c r="E41" i="1"/>
  <c r="E37" i="1"/>
  <c r="E33" i="1"/>
  <c r="E29" i="1"/>
  <c r="E25" i="1"/>
  <c r="E21" i="1"/>
  <c r="E17" i="1"/>
  <c r="E13" i="1"/>
  <c r="E9" i="1"/>
  <c r="E81" i="1"/>
  <c r="E85" i="1"/>
  <c r="E89" i="1"/>
  <c r="E93" i="1"/>
  <c r="E97" i="1"/>
  <c r="E101" i="1"/>
  <c r="E105" i="1"/>
  <c r="E109" i="1"/>
  <c r="E113" i="1"/>
  <c r="E163" i="1"/>
  <c r="E167" i="1"/>
  <c r="E171" i="1"/>
  <c r="E175" i="1"/>
  <c r="E179" i="1"/>
  <c r="E183" i="1"/>
  <c r="E187" i="1"/>
  <c r="E191" i="1"/>
  <c r="E195" i="1"/>
  <c r="E238" i="1"/>
  <c r="E242" i="1"/>
  <c r="E246" i="1"/>
  <c r="E250" i="1"/>
  <c r="E254" i="1"/>
  <c r="E258" i="1"/>
  <c r="E262" i="1"/>
  <c r="E266" i="1"/>
  <c r="E270" i="1"/>
  <c r="E385" i="1"/>
  <c r="E389" i="1"/>
  <c r="E393" i="1"/>
  <c r="E397" i="1"/>
  <c r="E401" i="1"/>
  <c r="E405" i="1"/>
  <c r="E409" i="1"/>
  <c r="E413" i="1"/>
  <c r="E473" i="1"/>
  <c r="E7" i="1"/>
  <c r="E40" i="1"/>
  <c r="E36" i="1"/>
  <c r="E32" i="1"/>
  <c r="E28" i="1"/>
  <c r="E24" i="1"/>
  <c r="E20" i="1"/>
  <c r="E16" i="1"/>
  <c r="E12" i="1"/>
  <c r="E8" i="1"/>
  <c r="E82" i="1"/>
  <c r="E86" i="1"/>
  <c r="E90" i="1"/>
  <c r="E94" i="1"/>
  <c r="E98" i="1"/>
  <c r="E102" i="1"/>
  <c r="E106" i="1"/>
  <c r="E110" i="1"/>
  <c r="E114" i="1"/>
  <c r="E164" i="1"/>
  <c r="E168" i="1"/>
  <c r="E172" i="1"/>
  <c r="E176" i="1"/>
  <c r="E180" i="1"/>
  <c r="E184" i="1"/>
  <c r="E188" i="1"/>
  <c r="E192" i="1"/>
  <c r="E196" i="1"/>
  <c r="E239" i="1"/>
  <c r="E243" i="1"/>
  <c r="E247" i="1"/>
  <c r="E251" i="1"/>
  <c r="E255" i="1"/>
  <c r="E259" i="1"/>
  <c r="E263" i="1"/>
  <c r="E267" i="1"/>
  <c r="E271" i="1"/>
  <c r="E386" i="1"/>
  <c r="E390" i="1"/>
  <c r="E394" i="1"/>
  <c r="E398" i="1"/>
  <c r="E402" i="1"/>
  <c r="E406" i="1"/>
  <c r="E410" i="1"/>
  <c r="A415" i="1"/>
  <c r="E414" i="1"/>
  <c r="E39" i="1"/>
  <c r="E35" i="1"/>
  <c r="E31" i="1"/>
  <c r="E27" i="1"/>
  <c r="E23" i="1"/>
  <c r="E19" i="1"/>
  <c r="E15" i="1"/>
  <c r="E11" i="1"/>
  <c r="E79" i="1"/>
  <c r="E83" i="1"/>
  <c r="E87" i="1"/>
  <c r="E91" i="1"/>
  <c r="E95" i="1"/>
  <c r="E99" i="1"/>
  <c r="E103" i="1"/>
  <c r="E107" i="1"/>
  <c r="E111" i="1"/>
  <c r="E165" i="1"/>
  <c r="E169" i="1"/>
  <c r="E173" i="1"/>
  <c r="E177" i="1"/>
  <c r="E181" i="1"/>
  <c r="E185" i="1"/>
  <c r="E189" i="1"/>
  <c r="E193" i="1"/>
  <c r="E197" i="1"/>
  <c r="E240" i="1"/>
  <c r="E244" i="1"/>
  <c r="E248" i="1"/>
  <c r="E252" i="1"/>
  <c r="E256" i="1"/>
  <c r="E260" i="1"/>
  <c r="E264" i="1"/>
  <c r="E268" i="1"/>
  <c r="E272" i="1"/>
  <c r="E383" i="1"/>
  <c r="E387" i="1"/>
  <c r="E391" i="1"/>
  <c r="E395" i="1"/>
  <c r="E399" i="1"/>
  <c r="E403" i="1"/>
  <c r="E407" i="1"/>
  <c r="E411" i="1"/>
  <c r="N7" i="3"/>
  <c r="O20" i="3"/>
  <c r="P20" i="3"/>
  <c r="A1009" i="1"/>
  <c r="E1009" i="1" s="1"/>
  <c r="A316" i="1"/>
  <c r="L623" i="1"/>
  <c r="L715" i="1"/>
  <c r="L932" i="1"/>
  <c r="H398" i="1"/>
  <c r="L398" i="1" s="1"/>
  <c r="A551" i="1"/>
  <c r="E551" i="1" s="1"/>
  <c r="A851" i="1"/>
  <c r="E851" i="1" s="1"/>
  <c r="A1084" i="1"/>
  <c r="E1084" i="1" s="1"/>
  <c r="A621" i="1"/>
  <c r="E621" i="1" s="1"/>
  <c r="A921" i="1"/>
  <c r="E921" i="1" s="1"/>
  <c r="A693" i="1"/>
  <c r="E693" i="1" s="1"/>
  <c r="A767" i="1"/>
  <c r="E767" i="1" s="1"/>
  <c r="J387" i="1"/>
  <c r="J388" i="1" s="1"/>
  <c r="L620" i="1"/>
  <c r="L632" i="1"/>
  <c r="L723" i="1"/>
  <c r="L778" i="1"/>
  <c r="L923" i="1"/>
  <c r="L91" i="1"/>
  <c r="J392" i="1"/>
  <c r="J403" i="1"/>
  <c r="J399" i="1"/>
  <c r="L1086" i="1"/>
  <c r="G398" i="1"/>
  <c r="L711" i="1"/>
  <c r="L503" i="1"/>
  <c r="L552" i="1"/>
  <c r="L694" i="1"/>
  <c r="L724" i="1"/>
  <c r="L858" i="1"/>
  <c r="L1085" i="1"/>
  <c r="L1095" i="1"/>
  <c r="L1114" i="1"/>
  <c r="L1091" i="1"/>
  <c r="L1106" i="1"/>
  <c r="L785" i="1"/>
  <c r="L774" i="1"/>
  <c r="L700" i="1"/>
  <c r="L1031" i="1"/>
  <c r="L1040" i="1"/>
  <c r="L928" i="1"/>
  <c r="L939" i="1"/>
  <c r="L922" i="1"/>
  <c r="L852" i="1"/>
  <c r="L882" i="1"/>
  <c r="L873" i="1"/>
  <c r="L768" i="1"/>
  <c r="L717" i="1"/>
  <c r="L622" i="1"/>
  <c r="L651" i="1"/>
  <c r="L628" i="1"/>
  <c r="L639" i="1"/>
  <c r="L495" i="1"/>
  <c r="L561" i="1"/>
  <c r="L551" i="1"/>
  <c r="L580" i="1"/>
  <c r="L557" i="1"/>
  <c r="L572" i="1"/>
  <c r="L497" i="1"/>
  <c r="L491" i="1"/>
  <c r="L504" i="1"/>
  <c r="L474" i="1"/>
  <c r="L480" i="1"/>
  <c r="F474" i="1"/>
  <c r="F476" i="1" s="1"/>
  <c r="F472" i="1"/>
  <c r="L334" i="1"/>
  <c r="J347" i="1"/>
  <c r="J346" i="1"/>
  <c r="J340" i="1"/>
  <c r="J338" i="1"/>
  <c r="J327" i="1"/>
  <c r="J323" i="1"/>
  <c r="J318" i="1"/>
  <c r="J317" i="1"/>
  <c r="J315" i="1"/>
  <c r="G346" i="1"/>
  <c r="H346" i="1"/>
  <c r="G347" i="1"/>
  <c r="H347" i="1"/>
  <c r="L347" i="1" s="1"/>
  <c r="G340" i="1"/>
  <c r="H340" i="1"/>
  <c r="L340" i="1" s="1"/>
  <c r="G338" i="1"/>
  <c r="H338" i="1"/>
  <c r="G327" i="1"/>
  <c r="H327" i="1"/>
  <c r="G323" i="1"/>
  <c r="H323" i="1"/>
  <c r="G317" i="1"/>
  <c r="H317" i="1"/>
  <c r="G318" i="1"/>
  <c r="G330" i="1" s="1"/>
  <c r="H318" i="1"/>
  <c r="G315" i="1"/>
  <c r="G335" i="1" s="1"/>
  <c r="H315" i="1"/>
  <c r="F347" i="1"/>
  <c r="F346" i="1"/>
  <c r="F340" i="1"/>
  <c r="F338" i="1"/>
  <c r="F327" i="1"/>
  <c r="F323" i="1"/>
  <c r="F318" i="1"/>
  <c r="F330" i="1" s="1"/>
  <c r="F317" i="1"/>
  <c r="F315" i="1"/>
  <c r="F335" i="1" s="1"/>
  <c r="F263" i="1"/>
  <c r="F261" i="1"/>
  <c r="F257" i="1"/>
  <c r="F250" i="1"/>
  <c r="F246" i="1"/>
  <c r="F241" i="1"/>
  <c r="F240" i="1"/>
  <c r="J270" i="1"/>
  <c r="J269" i="1"/>
  <c r="J263" i="1"/>
  <c r="J261" i="1"/>
  <c r="J257" i="1"/>
  <c r="J250" i="1"/>
  <c r="J246" i="1"/>
  <c r="J241" i="1"/>
  <c r="J240" i="1"/>
  <c r="J238" i="1"/>
  <c r="G269" i="1"/>
  <c r="H269" i="1"/>
  <c r="G270" i="1"/>
  <c r="H270" i="1"/>
  <c r="F270" i="1"/>
  <c r="F269" i="1"/>
  <c r="G263" i="1"/>
  <c r="H263" i="1"/>
  <c r="G261" i="1"/>
  <c r="H261" i="1"/>
  <c r="L261" i="1" s="1"/>
  <c r="G257" i="1"/>
  <c r="H257" i="1"/>
  <c r="G250" i="1"/>
  <c r="H250" i="1"/>
  <c r="G246" i="1"/>
  <c r="H246" i="1"/>
  <c r="G241" i="1"/>
  <c r="G253" i="1" s="1"/>
  <c r="H241" i="1"/>
  <c r="L241" i="1" s="1"/>
  <c r="G240" i="1"/>
  <c r="H240" i="1"/>
  <c r="L187" i="1"/>
  <c r="J194" i="1"/>
  <c r="J193" i="1"/>
  <c r="J185" i="1"/>
  <c r="J181" i="1"/>
  <c r="J174" i="1"/>
  <c r="J170" i="1"/>
  <c r="J165" i="1"/>
  <c r="J164" i="1"/>
  <c r="J162" i="1"/>
  <c r="G193" i="1"/>
  <c r="H193" i="1"/>
  <c r="G194" i="1"/>
  <c r="H194" i="1"/>
  <c r="L194" i="1" s="1"/>
  <c r="F194" i="1"/>
  <c r="F193" i="1"/>
  <c r="G185" i="1"/>
  <c r="H185" i="1"/>
  <c r="F185" i="1"/>
  <c r="G181" i="1"/>
  <c r="H181" i="1"/>
  <c r="L181" i="1" s="1"/>
  <c r="F181" i="1"/>
  <c r="G174" i="1"/>
  <c r="H174" i="1"/>
  <c r="F174" i="1"/>
  <c r="G170" i="1"/>
  <c r="H170" i="1"/>
  <c r="L170" i="1" s="1"/>
  <c r="F170" i="1"/>
  <c r="G165" i="1"/>
  <c r="G177" i="1" s="1"/>
  <c r="H165" i="1"/>
  <c r="H177" i="1" s="1"/>
  <c r="F165" i="1"/>
  <c r="G164" i="1"/>
  <c r="H164" i="1"/>
  <c r="L164" i="1" s="1"/>
  <c r="F164" i="1"/>
  <c r="H77" i="1"/>
  <c r="J1103" i="1"/>
  <c r="J1098" i="1"/>
  <c r="J1099" i="1" s="1"/>
  <c r="H1098" i="1"/>
  <c r="G1098" i="1"/>
  <c r="F1098" i="1"/>
  <c r="J1092" i="1"/>
  <c r="J1087" i="1"/>
  <c r="J1089" i="1" s="1"/>
  <c r="H1087" i="1"/>
  <c r="G1087" i="1"/>
  <c r="F1087" i="1"/>
  <c r="H1081" i="1"/>
  <c r="G1081" i="1" s="1"/>
  <c r="F1081" i="1" s="1"/>
  <c r="J1028" i="1"/>
  <c r="J1023" i="1"/>
  <c r="J1024" i="1" s="1"/>
  <c r="H1023" i="1"/>
  <c r="G1023" i="1"/>
  <c r="F1023" i="1"/>
  <c r="J1017" i="1"/>
  <c r="J1012" i="1"/>
  <c r="J1014" i="1" s="1"/>
  <c r="H1006" i="1"/>
  <c r="G1006" i="1" s="1"/>
  <c r="F1006" i="1" s="1"/>
  <c r="J940" i="1"/>
  <c r="J935" i="1"/>
  <c r="J936" i="1" s="1"/>
  <c r="H935" i="1"/>
  <c r="G935" i="1"/>
  <c r="F935" i="1"/>
  <c r="J929" i="1"/>
  <c r="J924" i="1"/>
  <c r="J926" i="1" s="1"/>
  <c r="H924" i="1"/>
  <c r="G924" i="1"/>
  <c r="F924" i="1"/>
  <c r="H918" i="1"/>
  <c r="G918" i="1" s="1"/>
  <c r="F918" i="1" s="1"/>
  <c r="J870" i="1"/>
  <c r="H870" i="1"/>
  <c r="G870" i="1"/>
  <c r="F870" i="1"/>
  <c r="J865" i="1"/>
  <c r="J866" i="1" s="1"/>
  <c r="H865" i="1"/>
  <c r="G865" i="1"/>
  <c r="G866" i="1" s="1"/>
  <c r="F865" i="1"/>
  <c r="F866" i="1" s="1"/>
  <c r="J859" i="1"/>
  <c r="H859" i="1"/>
  <c r="G859" i="1"/>
  <c r="F859" i="1"/>
  <c r="J854" i="1"/>
  <c r="J856" i="1" s="1"/>
  <c r="H854" i="1"/>
  <c r="G854" i="1"/>
  <c r="G855" i="1" s="1"/>
  <c r="F854" i="1"/>
  <c r="F856" i="1" s="1"/>
  <c r="J851" i="1"/>
  <c r="H851" i="1"/>
  <c r="G851" i="1"/>
  <c r="H848" i="1"/>
  <c r="G848" i="1" s="1"/>
  <c r="F848" i="1" s="1"/>
  <c r="J786" i="1"/>
  <c r="H786" i="1"/>
  <c r="G786" i="1"/>
  <c r="F786" i="1"/>
  <c r="J781" i="1"/>
  <c r="J782" i="1" s="1"/>
  <c r="H781" i="1"/>
  <c r="G781" i="1"/>
  <c r="G782" i="1" s="1"/>
  <c r="F781" i="1"/>
  <c r="F782" i="1" s="1"/>
  <c r="J775" i="1"/>
  <c r="H775" i="1"/>
  <c r="G775" i="1"/>
  <c r="F775" i="1"/>
  <c r="J770" i="1"/>
  <c r="J772" i="1" s="1"/>
  <c r="H770" i="1"/>
  <c r="G770" i="1"/>
  <c r="G772" i="1" s="1"/>
  <c r="F770" i="1"/>
  <c r="F772" i="1" s="1"/>
  <c r="J767" i="1"/>
  <c r="H767" i="1"/>
  <c r="G767" i="1"/>
  <c r="H764" i="1"/>
  <c r="G764" i="1" s="1"/>
  <c r="F764" i="1" s="1"/>
  <c r="J712" i="1"/>
  <c r="H712" i="1"/>
  <c r="G712" i="1"/>
  <c r="F712" i="1"/>
  <c r="J707" i="1"/>
  <c r="J708" i="1" s="1"/>
  <c r="H707" i="1"/>
  <c r="G707" i="1"/>
  <c r="G708" i="1" s="1"/>
  <c r="F707" i="1"/>
  <c r="F708" i="1" s="1"/>
  <c r="J701" i="1"/>
  <c r="H701" i="1"/>
  <c r="G701" i="1"/>
  <c r="F701" i="1"/>
  <c r="J696" i="1"/>
  <c r="J698" i="1" s="1"/>
  <c r="H696" i="1"/>
  <c r="G696" i="1"/>
  <c r="G698" i="1" s="1"/>
  <c r="F696" i="1"/>
  <c r="F698" i="1" s="1"/>
  <c r="J693" i="1"/>
  <c r="H693" i="1"/>
  <c r="G693" i="1"/>
  <c r="H690" i="1"/>
  <c r="G690" i="1" s="1"/>
  <c r="F690" i="1" s="1"/>
  <c r="J640" i="1"/>
  <c r="H640" i="1"/>
  <c r="G640" i="1"/>
  <c r="F640" i="1"/>
  <c r="J635" i="1"/>
  <c r="J636" i="1" s="1"/>
  <c r="H635" i="1"/>
  <c r="G635" i="1"/>
  <c r="G636" i="1" s="1"/>
  <c r="F635" i="1"/>
  <c r="F636" i="1" s="1"/>
  <c r="J629" i="1"/>
  <c r="H629" i="1"/>
  <c r="G629" i="1"/>
  <c r="F629" i="1"/>
  <c r="J624" i="1"/>
  <c r="J626" i="1" s="1"/>
  <c r="H624" i="1"/>
  <c r="G624" i="1"/>
  <c r="G626" i="1" s="1"/>
  <c r="F624" i="1"/>
  <c r="F626" i="1" s="1"/>
  <c r="J621" i="1"/>
  <c r="H621" i="1"/>
  <c r="G621" i="1"/>
  <c r="H618" i="1"/>
  <c r="G618" i="1" s="1"/>
  <c r="F618" i="1" s="1"/>
  <c r="J569" i="1"/>
  <c r="J564" i="1"/>
  <c r="J565" i="1" s="1"/>
  <c r="H564" i="1"/>
  <c r="G564" i="1"/>
  <c r="F564" i="1"/>
  <c r="J558" i="1"/>
  <c r="J553" i="1"/>
  <c r="J554" i="1" s="1"/>
  <c r="H553" i="1"/>
  <c r="G553" i="1"/>
  <c r="F553" i="1"/>
  <c r="H547" i="1"/>
  <c r="G547" i="1" s="1"/>
  <c r="F547" i="1" s="1"/>
  <c r="J492" i="1"/>
  <c r="H492" i="1"/>
  <c r="G492" i="1"/>
  <c r="F492" i="1"/>
  <c r="J487" i="1"/>
  <c r="J488" i="1" s="1"/>
  <c r="H487" i="1"/>
  <c r="G487" i="1"/>
  <c r="G488" i="1" s="1"/>
  <c r="F487" i="1"/>
  <c r="F488" i="1" s="1"/>
  <c r="J481" i="1"/>
  <c r="H481" i="1"/>
  <c r="G481" i="1"/>
  <c r="F481" i="1"/>
  <c r="J476" i="1"/>
  <c r="J478" i="1" s="1"/>
  <c r="H476" i="1"/>
  <c r="G476" i="1"/>
  <c r="G478" i="1" s="1"/>
  <c r="J473" i="1"/>
  <c r="H473" i="1"/>
  <c r="G473" i="1"/>
  <c r="H470" i="1"/>
  <c r="G470" i="1" s="1"/>
  <c r="F470" i="1" s="1"/>
  <c r="H335" i="1"/>
  <c r="J330" i="1"/>
  <c r="J319" i="1"/>
  <c r="H313" i="1"/>
  <c r="G313" i="1" s="1"/>
  <c r="F313" i="1" s="1"/>
  <c r="J253" i="1"/>
  <c r="F253" i="1"/>
  <c r="H236" i="1"/>
  <c r="G236" i="1" s="1"/>
  <c r="F236" i="1" s="1"/>
  <c r="F177" i="1"/>
  <c r="H160" i="1"/>
  <c r="G160" i="1" s="1"/>
  <c r="F160" i="1" s="1"/>
  <c r="L32" i="1"/>
  <c r="J39" i="1"/>
  <c r="O26" i="3" s="1"/>
  <c r="J38" i="1"/>
  <c r="O25" i="3" s="1"/>
  <c r="J30" i="1"/>
  <c r="O19" i="3" s="1"/>
  <c r="J26" i="1"/>
  <c r="O17" i="3" s="1"/>
  <c r="J19" i="1"/>
  <c r="O14" i="3" s="1"/>
  <c r="J15" i="1"/>
  <c r="O12" i="3" s="1"/>
  <c r="J10" i="1"/>
  <c r="O9" i="3" s="1"/>
  <c r="J9" i="1"/>
  <c r="O8" i="3" s="1"/>
  <c r="J7" i="1"/>
  <c r="G38" i="1"/>
  <c r="H38" i="1"/>
  <c r="P25" i="3" s="1"/>
  <c r="G39" i="1"/>
  <c r="H39" i="1"/>
  <c r="L39" i="1" s="1"/>
  <c r="F39" i="1"/>
  <c r="F38" i="1"/>
  <c r="G26" i="1"/>
  <c r="H26" i="1"/>
  <c r="P17" i="3" s="1"/>
  <c r="F26" i="1"/>
  <c r="G19" i="1"/>
  <c r="H19" i="1"/>
  <c r="P14" i="3" s="1"/>
  <c r="F19" i="1"/>
  <c r="G15" i="1"/>
  <c r="H15" i="1"/>
  <c r="P12" i="3" s="1"/>
  <c r="F15" i="1"/>
  <c r="G30" i="1"/>
  <c r="H30" i="1"/>
  <c r="P19" i="3" s="1"/>
  <c r="F30" i="1"/>
  <c r="G10" i="1"/>
  <c r="H10" i="1"/>
  <c r="P9" i="3" s="1"/>
  <c r="F10" i="1"/>
  <c r="G9" i="1"/>
  <c r="H9" i="1"/>
  <c r="L9" i="1" s="1"/>
  <c r="F9" i="1"/>
  <c r="G7" i="1"/>
  <c r="H7" i="1"/>
  <c r="F7" i="1"/>
  <c r="Q9" i="3" l="1"/>
  <c r="Q14" i="3"/>
  <c r="Q20" i="3"/>
  <c r="Q17" i="3"/>
  <c r="Q12" i="3"/>
  <c r="Q25" i="3"/>
  <c r="P8" i="3"/>
  <c r="Q8" i="3" s="1"/>
  <c r="A1010" i="1"/>
  <c r="E1010" i="1" s="1"/>
  <c r="O7" i="3"/>
  <c r="A416" i="1"/>
  <c r="E415" i="1"/>
  <c r="A317" i="1"/>
  <c r="E316" i="1"/>
  <c r="P26" i="3"/>
  <c r="Q26" i="3" s="1"/>
  <c r="A476" i="1"/>
  <c r="E475" i="1"/>
  <c r="Q19" i="3"/>
  <c r="P7" i="3"/>
  <c r="G331" i="1"/>
  <c r="J182" i="1"/>
  <c r="F242" i="1"/>
  <c r="F478" i="1"/>
  <c r="J171" i="1"/>
  <c r="J242" i="1"/>
  <c r="J243" i="1" s="1"/>
  <c r="J247" i="1"/>
  <c r="J324" i="1"/>
  <c r="G242" i="1"/>
  <c r="H316" i="1"/>
  <c r="A922" i="1"/>
  <c r="E922" i="1" s="1"/>
  <c r="A852" i="1"/>
  <c r="E852" i="1" s="1"/>
  <c r="A768" i="1"/>
  <c r="E768" i="1" s="1"/>
  <c r="A622" i="1"/>
  <c r="E622" i="1" s="1"/>
  <c r="A694" i="1"/>
  <c r="E694" i="1" s="1"/>
  <c r="A1085" i="1"/>
  <c r="E1085" i="1" s="1"/>
  <c r="A552" i="1"/>
  <c r="E552" i="1" s="1"/>
  <c r="J389" i="1"/>
  <c r="J393" i="1" s="1"/>
  <c r="J396" i="1" s="1"/>
  <c r="J397" i="1" s="1"/>
  <c r="L935" i="1"/>
  <c r="G319" i="1"/>
  <c r="G321" i="1" s="1"/>
  <c r="G324" i="1"/>
  <c r="L1087" i="1"/>
  <c r="G316" i="1"/>
  <c r="H324" i="1"/>
  <c r="J316" i="1"/>
  <c r="J258" i="1"/>
  <c r="J166" i="1"/>
  <c r="J168" i="1" s="1"/>
  <c r="J169" i="1" s="1"/>
  <c r="J321" i="1"/>
  <c r="J322" i="1" s="1"/>
  <c r="J177" i="1"/>
  <c r="J178" i="1" s="1"/>
  <c r="J254" i="1"/>
  <c r="J335" i="1"/>
  <c r="L335" i="1" s="1"/>
  <c r="L250" i="1"/>
  <c r="L269" i="1"/>
  <c r="L315" i="1"/>
  <c r="L327" i="1"/>
  <c r="J331" i="1"/>
  <c r="L1098" i="1"/>
  <c r="L1023" i="1"/>
  <c r="L924" i="1"/>
  <c r="L851" i="1"/>
  <c r="L859" i="1"/>
  <c r="L870" i="1"/>
  <c r="H856" i="1"/>
  <c r="L856" i="1" s="1"/>
  <c r="L854" i="1"/>
  <c r="H866" i="1"/>
  <c r="L866" i="1" s="1"/>
  <c r="L865" i="1"/>
  <c r="L767" i="1"/>
  <c r="L775" i="1"/>
  <c r="L786" i="1"/>
  <c r="H772" i="1"/>
  <c r="L772" i="1" s="1"/>
  <c r="L770" i="1"/>
  <c r="H782" i="1"/>
  <c r="L782" i="1" s="1"/>
  <c r="L781" i="1"/>
  <c r="L693" i="1"/>
  <c r="H698" i="1"/>
  <c r="L698" i="1" s="1"/>
  <c r="L696" i="1"/>
  <c r="L701" i="1"/>
  <c r="H708" i="1"/>
  <c r="L708" i="1" s="1"/>
  <c r="L707" i="1"/>
  <c r="L712" i="1"/>
  <c r="L240" i="1"/>
  <c r="L621" i="1"/>
  <c r="L629" i="1"/>
  <c r="L640" i="1"/>
  <c r="H626" i="1"/>
  <c r="L626" i="1" s="1"/>
  <c r="L624" i="1"/>
  <c r="H636" i="1"/>
  <c r="L636" i="1" s="1"/>
  <c r="L635" i="1"/>
  <c r="L246" i="1"/>
  <c r="L318" i="1"/>
  <c r="L564" i="1"/>
  <c r="L553" i="1"/>
  <c r="L473" i="1"/>
  <c r="L481" i="1"/>
  <c r="L492" i="1"/>
  <c r="L316" i="1"/>
  <c r="H488" i="1"/>
  <c r="L488" i="1" s="1"/>
  <c r="L487" i="1"/>
  <c r="H478" i="1"/>
  <c r="L478" i="1" s="1"/>
  <c r="L476" i="1"/>
  <c r="L346" i="1"/>
  <c r="L323" i="1"/>
  <c r="L338" i="1"/>
  <c r="H319" i="1"/>
  <c r="L319" i="1" s="1"/>
  <c r="H330" i="1"/>
  <c r="L317" i="1"/>
  <c r="F319" i="1"/>
  <c r="F321" i="1" s="1"/>
  <c r="F324" i="1"/>
  <c r="F331" i="1"/>
  <c r="L263" i="1"/>
  <c r="H242" i="1"/>
  <c r="L242" i="1" s="1"/>
  <c r="H253" i="1"/>
  <c r="L253" i="1" s="1"/>
  <c r="L257" i="1"/>
  <c r="L270" i="1"/>
  <c r="L185" i="1"/>
  <c r="L174" i="1"/>
  <c r="J8" i="1"/>
  <c r="L30" i="1"/>
  <c r="L10" i="1"/>
  <c r="F166" i="1"/>
  <c r="L193" i="1"/>
  <c r="L165" i="1"/>
  <c r="L19" i="1"/>
  <c r="H166" i="1"/>
  <c r="L7" i="1"/>
  <c r="G166" i="1"/>
  <c r="L15" i="1"/>
  <c r="L38" i="1"/>
  <c r="L26" i="1"/>
  <c r="J1093" i="1"/>
  <c r="J1090" i="1"/>
  <c r="J1088" i="1"/>
  <c r="J1018" i="1"/>
  <c r="J1015" i="1"/>
  <c r="J1013" i="1"/>
  <c r="J930" i="1"/>
  <c r="J927" i="1"/>
  <c r="J925" i="1"/>
  <c r="F860" i="1"/>
  <c r="F857" i="1"/>
  <c r="J860" i="1"/>
  <c r="J857" i="1"/>
  <c r="J855" i="1"/>
  <c r="F855" i="1"/>
  <c r="G856" i="1"/>
  <c r="H855" i="1"/>
  <c r="J776" i="1"/>
  <c r="J773" i="1"/>
  <c r="F776" i="1"/>
  <c r="F773" i="1"/>
  <c r="G776" i="1"/>
  <c r="G773" i="1"/>
  <c r="F771" i="1"/>
  <c r="G771" i="1"/>
  <c r="H771" i="1"/>
  <c r="J771" i="1"/>
  <c r="J702" i="1"/>
  <c r="J699" i="1"/>
  <c r="F702" i="1"/>
  <c r="F699" i="1"/>
  <c r="G702" i="1"/>
  <c r="G699" i="1"/>
  <c r="H702" i="1"/>
  <c r="H699" i="1"/>
  <c r="F697" i="1"/>
  <c r="G697" i="1"/>
  <c r="H697" i="1"/>
  <c r="J697" i="1"/>
  <c r="J630" i="1"/>
  <c r="J627" i="1"/>
  <c r="F630" i="1"/>
  <c r="F627" i="1"/>
  <c r="G630" i="1"/>
  <c r="G627" i="1"/>
  <c r="J625" i="1"/>
  <c r="F625" i="1"/>
  <c r="G625" i="1"/>
  <c r="H625" i="1"/>
  <c r="J555" i="1"/>
  <c r="J482" i="1"/>
  <c r="J479" i="1"/>
  <c r="F482" i="1"/>
  <c r="F479" i="1"/>
  <c r="G482" i="1"/>
  <c r="G479" i="1"/>
  <c r="J477" i="1"/>
  <c r="F477" i="1"/>
  <c r="G477" i="1"/>
  <c r="H477" i="1"/>
  <c r="J325" i="1"/>
  <c r="G325" i="1"/>
  <c r="G322" i="1"/>
  <c r="J320" i="1"/>
  <c r="G320" i="1"/>
  <c r="J244" i="1"/>
  <c r="J167" i="1"/>
  <c r="H94" i="1"/>
  <c r="G94" i="1"/>
  <c r="G77" i="1"/>
  <c r="J27" i="1"/>
  <c r="H27" i="1"/>
  <c r="G27" i="1"/>
  <c r="F27" i="1"/>
  <c r="J22" i="1"/>
  <c r="H22" i="1"/>
  <c r="G22" i="1"/>
  <c r="G23" i="1" s="1"/>
  <c r="F22" i="1"/>
  <c r="F23" i="1" s="1"/>
  <c r="J16" i="1"/>
  <c r="H16" i="1"/>
  <c r="G16" i="1"/>
  <c r="F16" i="1"/>
  <c r="J11" i="1"/>
  <c r="O10" i="3" s="1"/>
  <c r="H11" i="1"/>
  <c r="P10" i="3" s="1"/>
  <c r="G11" i="1"/>
  <c r="G13" i="1" s="1"/>
  <c r="F11" i="1"/>
  <c r="F13" i="1" s="1"/>
  <c r="H8" i="1"/>
  <c r="G8" i="1"/>
  <c r="H5" i="1"/>
  <c r="G5" i="1" s="1"/>
  <c r="F5" i="1" s="1"/>
  <c r="Q7" i="3" l="1"/>
  <c r="L324" i="1"/>
  <c r="Q10" i="3"/>
  <c r="A1011" i="1"/>
  <c r="E1011" i="1" s="1"/>
  <c r="A417" i="1"/>
  <c r="E416" i="1"/>
  <c r="A318" i="1"/>
  <c r="E317" i="1"/>
  <c r="A477" i="1"/>
  <c r="E476" i="1"/>
  <c r="A1086" i="1"/>
  <c r="E1086" i="1" s="1"/>
  <c r="A623" i="1"/>
  <c r="E623" i="1" s="1"/>
  <c r="A853" i="1"/>
  <c r="E853" i="1" s="1"/>
  <c r="A553" i="1"/>
  <c r="E553" i="1" s="1"/>
  <c r="A695" i="1"/>
  <c r="E695" i="1" s="1"/>
  <c r="A769" i="1"/>
  <c r="E769" i="1" s="1"/>
  <c r="A923" i="1"/>
  <c r="E923" i="1" s="1"/>
  <c r="J400" i="1"/>
  <c r="J401" i="1" s="1"/>
  <c r="J390" i="1"/>
  <c r="H479" i="1"/>
  <c r="L479" i="1" s="1"/>
  <c r="J394" i="1"/>
  <c r="H627" i="1"/>
  <c r="L627" i="1" s="1"/>
  <c r="H773" i="1"/>
  <c r="L773" i="1" s="1"/>
  <c r="H482" i="1"/>
  <c r="L482" i="1" s="1"/>
  <c r="H320" i="1"/>
  <c r="L320" i="1" s="1"/>
  <c r="L166" i="1"/>
  <c r="J172" i="1"/>
  <c r="J175" i="1" s="1"/>
  <c r="L177" i="1"/>
  <c r="H630" i="1"/>
  <c r="H633" i="1" s="1"/>
  <c r="H857" i="1"/>
  <c r="L857" i="1" s="1"/>
  <c r="H860" i="1"/>
  <c r="L860" i="1" s="1"/>
  <c r="L855" i="1"/>
  <c r="L699" i="1"/>
  <c r="H776" i="1"/>
  <c r="H777" i="1" s="1"/>
  <c r="L771" i="1"/>
  <c r="L702" i="1"/>
  <c r="L697" i="1"/>
  <c r="L625" i="1"/>
  <c r="L477" i="1"/>
  <c r="F320" i="1"/>
  <c r="F325" i="1"/>
  <c r="F326" i="1" s="1"/>
  <c r="F322" i="1"/>
  <c r="H321" i="1"/>
  <c r="H331" i="1"/>
  <c r="L331" i="1" s="1"/>
  <c r="L330" i="1"/>
  <c r="L8" i="1"/>
  <c r="J13" i="1"/>
  <c r="J23" i="1"/>
  <c r="L16" i="1"/>
  <c r="L27" i="1"/>
  <c r="J1096" i="1"/>
  <c r="J1094" i="1"/>
  <c r="J1021" i="1"/>
  <c r="J1019" i="1"/>
  <c r="J931" i="1"/>
  <c r="J933" i="1"/>
  <c r="G857" i="1"/>
  <c r="G860" i="1"/>
  <c r="J861" i="1"/>
  <c r="J863" i="1"/>
  <c r="F863" i="1"/>
  <c r="F861" i="1"/>
  <c r="G779" i="1"/>
  <c r="G777" i="1"/>
  <c r="F779" i="1"/>
  <c r="F777" i="1"/>
  <c r="J779" i="1"/>
  <c r="J777" i="1"/>
  <c r="H705" i="1"/>
  <c r="H703" i="1"/>
  <c r="F705" i="1"/>
  <c r="F703" i="1"/>
  <c r="G705" i="1"/>
  <c r="G703" i="1"/>
  <c r="J705" i="1"/>
  <c r="J703" i="1"/>
  <c r="G633" i="1"/>
  <c r="G631" i="1"/>
  <c r="J633" i="1"/>
  <c r="J631" i="1"/>
  <c r="F633" i="1"/>
  <c r="F631" i="1"/>
  <c r="J559" i="1"/>
  <c r="J556" i="1"/>
  <c r="F485" i="1"/>
  <c r="F483" i="1"/>
  <c r="G485" i="1"/>
  <c r="G483" i="1"/>
  <c r="J485" i="1"/>
  <c r="J483" i="1"/>
  <c r="G328" i="1"/>
  <c r="G326" i="1"/>
  <c r="J328" i="1"/>
  <c r="J326" i="1"/>
  <c r="J248" i="1"/>
  <c r="J245" i="1"/>
  <c r="H23" i="1"/>
  <c r="L22" i="1"/>
  <c r="H13" i="1"/>
  <c r="P11" i="3" s="1"/>
  <c r="L11" i="1"/>
  <c r="F17" i="1"/>
  <c r="F14" i="1"/>
  <c r="G17" i="1"/>
  <c r="G14" i="1"/>
  <c r="F12" i="1"/>
  <c r="G12" i="1"/>
  <c r="H12" i="1"/>
  <c r="J12" i="1"/>
  <c r="A1012" i="1" l="1"/>
  <c r="E1012" i="1" s="1"/>
  <c r="A319" i="1"/>
  <c r="E318" i="1"/>
  <c r="J14" i="1"/>
  <c r="O11" i="3"/>
  <c r="Q11" i="3" s="1"/>
  <c r="A478" i="1"/>
  <c r="E477" i="1"/>
  <c r="A418" i="1"/>
  <c r="E417" i="1"/>
  <c r="J404" i="1"/>
  <c r="H483" i="1"/>
  <c r="A924" i="1"/>
  <c r="E924" i="1" s="1"/>
  <c r="A696" i="1"/>
  <c r="E696" i="1" s="1"/>
  <c r="A624" i="1"/>
  <c r="E624" i="1" s="1"/>
  <c r="A770" i="1"/>
  <c r="E770" i="1" s="1"/>
  <c r="A554" i="1"/>
  <c r="E554" i="1" s="1"/>
  <c r="A854" i="1"/>
  <c r="E854" i="1" s="1"/>
  <c r="A1087" i="1"/>
  <c r="E1087" i="1" s="1"/>
  <c r="H485" i="1"/>
  <c r="L485" i="1" s="1"/>
  <c r="H631" i="1"/>
  <c r="J173" i="1"/>
  <c r="J407" i="1"/>
  <c r="J409" i="1"/>
  <c r="J412" i="1" s="1"/>
  <c r="J405" i="1"/>
  <c r="L630" i="1"/>
  <c r="F328" i="1"/>
  <c r="F329" i="1" s="1"/>
  <c r="H861" i="1"/>
  <c r="L861" i="1" s="1"/>
  <c r="H779" i="1"/>
  <c r="L779" i="1" s="1"/>
  <c r="H863" i="1"/>
  <c r="L863" i="1" s="1"/>
  <c r="L776" i="1"/>
  <c r="L777" i="1"/>
  <c r="L631" i="1"/>
  <c r="L705" i="1"/>
  <c r="L703" i="1"/>
  <c r="L633" i="1"/>
  <c r="L483" i="1"/>
  <c r="L321" i="1"/>
  <c r="H325" i="1"/>
  <c r="H322" i="1"/>
  <c r="L322" i="1" s="1"/>
  <c r="J17" i="1"/>
  <c r="L23" i="1"/>
  <c r="L13" i="1"/>
  <c r="L12" i="1"/>
  <c r="H17" i="1"/>
  <c r="J1100" i="1"/>
  <c r="J1097" i="1"/>
  <c r="J1025" i="1"/>
  <c r="J1022" i="1"/>
  <c r="J937" i="1"/>
  <c r="J934" i="1"/>
  <c r="G863" i="1"/>
  <c r="G861" i="1"/>
  <c r="F867" i="1"/>
  <c r="F864" i="1"/>
  <c r="J867" i="1"/>
  <c r="J864" i="1"/>
  <c r="G783" i="1"/>
  <c r="G780" i="1"/>
  <c r="J783" i="1"/>
  <c r="J780" i="1"/>
  <c r="F783" i="1"/>
  <c r="F780" i="1"/>
  <c r="G709" i="1"/>
  <c r="G706" i="1"/>
  <c r="H709" i="1"/>
  <c r="H706" i="1"/>
  <c r="J709" i="1"/>
  <c r="J706" i="1"/>
  <c r="F709" i="1"/>
  <c r="F706" i="1"/>
  <c r="H637" i="1"/>
  <c r="H634" i="1"/>
  <c r="G637" i="1"/>
  <c r="G634" i="1"/>
  <c r="F637" i="1"/>
  <c r="F634" i="1"/>
  <c r="J637" i="1"/>
  <c r="J634" i="1"/>
  <c r="J560" i="1"/>
  <c r="J562" i="1"/>
  <c r="G486" i="1"/>
  <c r="G489" i="1"/>
  <c r="J489" i="1"/>
  <c r="J486" i="1"/>
  <c r="F489" i="1"/>
  <c r="F486" i="1"/>
  <c r="H489" i="1"/>
  <c r="L489" i="1" s="1"/>
  <c r="J332" i="1"/>
  <c r="J329" i="1"/>
  <c r="F332" i="1"/>
  <c r="G332" i="1"/>
  <c r="G329" i="1"/>
  <c r="J251" i="1"/>
  <c r="J249" i="1"/>
  <c r="J179" i="1"/>
  <c r="J176" i="1"/>
  <c r="H14" i="1"/>
  <c r="L14" i="1" s="1"/>
  <c r="G20" i="1"/>
  <c r="G18" i="1"/>
  <c r="F20" i="1"/>
  <c r="F18" i="1"/>
  <c r="A1013" i="1" l="1"/>
  <c r="E1013" i="1" s="1"/>
  <c r="H486" i="1"/>
  <c r="A419" i="1"/>
  <c r="E419" i="1" s="1"/>
  <c r="E418" i="1"/>
  <c r="H20" i="1"/>
  <c r="P15" i="3" s="1"/>
  <c r="P13" i="3"/>
  <c r="J18" i="1"/>
  <c r="O13" i="3"/>
  <c r="A479" i="1"/>
  <c r="E478" i="1"/>
  <c r="A320" i="1"/>
  <c r="E319" i="1"/>
  <c r="L486" i="1"/>
  <c r="A855" i="1"/>
  <c r="E855" i="1" s="1"/>
  <c r="A771" i="1"/>
  <c r="E771" i="1" s="1"/>
  <c r="A625" i="1"/>
  <c r="E625" i="1" s="1"/>
  <c r="A697" i="1"/>
  <c r="E697" i="1" s="1"/>
  <c r="A1088" i="1"/>
  <c r="E1088" i="1" s="1"/>
  <c r="A555" i="1"/>
  <c r="E555" i="1" s="1"/>
  <c r="A925" i="1"/>
  <c r="E925" i="1" s="1"/>
  <c r="H780" i="1"/>
  <c r="L780" i="1" s="1"/>
  <c r="H783" i="1"/>
  <c r="L783" i="1" s="1"/>
  <c r="J419" i="1"/>
  <c r="J410" i="1"/>
  <c r="J418" i="1"/>
  <c r="H867" i="1"/>
  <c r="H868" i="1" s="1"/>
  <c r="H864" i="1"/>
  <c r="L864" i="1" s="1"/>
  <c r="J20" i="1"/>
  <c r="L706" i="1"/>
  <c r="L709" i="1"/>
  <c r="L634" i="1"/>
  <c r="L637" i="1"/>
  <c r="L325" i="1"/>
  <c r="H328" i="1"/>
  <c r="H326" i="1"/>
  <c r="L326" i="1" s="1"/>
  <c r="H18" i="1"/>
  <c r="L18" i="1" s="1"/>
  <c r="L17" i="1"/>
  <c r="J1104" i="1"/>
  <c r="J1101" i="1"/>
  <c r="J1029" i="1"/>
  <c r="J1026" i="1"/>
  <c r="J941" i="1"/>
  <c r="J938" i="1"/>
  <c r="F871" i="1"/>
  <c r="F868" i="1"/>
  <c r="J871" i="1"/>
  <c r="J868" i="1"/>
  <c r="G867" i="1"/>
  <c r="G864" i="1"/>
  <c r="J787" i="1"/>
  <c r="J784" i="1"/>
  <c r="F787" i="1"/>
  <c r="F784" i="1"/>
  <c r="G787" i="1"/>
  <c r="G784" i="1"/>
  <c r="F713" i="1"/>
  <c r="F710" i="1"/>
  <c r="H713" i="1"/>
  <c r="H710" i="1"/>
  <c r="J713" i="1"/>
  <c r="J710" i="1"/>
  <c r="G713" i="1"/>
  <c r="G710" i="1"/>
  <c r="F641" i="1"/>
  <c r="F638" i="1"/>
  <c r="H641" i="1"/>
  <c r="H638" i="1"/>
  <c r="J641" i="1"/>
  <c r="J638" i="1"/>
  <c r="G641" i="1"/>
  <c r="G638" i="1"/>
  <c r="J566" i="1"/>
  <c r="J563" i="1"/>
  <c r="F493" i="1"/>
  <c r="F490" i="1"/>
  <c r="H493" i="1"/>
  <c r="H490" i="1"/>
  <c r="J493" i="1"/>
  <c r="J490" i="1"/>
  <c r="G490" i="1"/>
  <c r="G493" i="1"/>
  <c r="J336" i="1"/>
  <c r="J333" i="1"/>
  <c r="G336" i="1"/>
  <c r="G333" i="1"/>
  <c r="F336" i="1"/>
  <c r="F333" i="1"/>
  <c r="J255" i="1"/>
  <c r="J252" i="1"/>
  <c r="J183" i="1"/>
  <c r="J180" i="1"/>
  <c r="H24" i="1"/>
  <c r="P16" i="3" s="1"/>
  <c r="G24" i="1"/>
  <c r="G21" i="1"/>
  <c r="F24" i="1"/>
  <c r="F21" i="1"/>
  <c r="A1014" i="1" l="1"/>
  <c r="E1014" i="1" s="1"/>
  <c r="H21" i="1"/>
  <c r="L20" i="1"/>
  <c r="O15" i="3"/>
  <c r="Q15" i="3" s="1"/>
  <c r="Q13" i="3"/>
  <c r="A480" i="1"/>
  <c r="E479" i="1"/>
  <c r="A321" i="1"/>
  <c r="E320" i="1"/>
  <c r="H784" i="1"/>
  <c r="L784" i="1" s="1"/>
  <c r="A926" i="1"/>
  <c r="E926" i="1" s="1"/>
  <c r="A556" i="1"/>
  <c r="E556" i="1" s="1"/>
  <c r="A698" i="1"/>
  <c r="E698" i="1" s="1"/>
  <c r="A772" i="1"/>
  <c r="E772" i="1" s="1"/>
  <c r="A1089" i="1"/>
  <c r="E1089" i="1" s="1"/>
  <c r="A626" i="1"/>
  <c r="E626" i="1" s="1"/>
  <c r="A856" i="1"/>
  <c r="E856" i="1" s="1"/>
  <c r="H787" i="1"/>
  <c r="L787" i="1" s="1"/>
  <c r="H871" i="1"/>
  <c r="H872" i="1" s="1"/>
  <c r="L867" i="1"/>
  <c r="L868" i="1"/>
  <c r="J21" i="1"/>
  <c r="L21" i="1" s="1"/>
  <c r="J24" i="1"/>
  <c r="L713" i="1"/>
  <c r="L710" i="1"/>
  <c r="L638" i="1"/>
  <c r="L641" i="1"/>
  <c r="L493" i="1"/>
  <c r="L490" i="1"/>
  <c r="L328" i="1"/>
  <c r="H332" i="1"/>
  <c r="H329" i="1"/>
  <c r="L329" i="1" s="1"/>
  <c r="J1109" i="1"/>
  <c r="J1107" i="1"/>
  <c r="J1105" i="1"/>
  <c r="J1034" i="1"/>
  <c r="J1032" i="1"/>
  <c r="J1030" i="1"/>
  <c r="J946" i="1"/>
  <c r="J944" i="1"/>
  <c r="J942" i="1"/>
  <c r="G871" i="1"/>
  <c r="G868" i="1"/>
  <c r="F876" i="1"/>
  <c r="F874" i="1"/>
  <c r="F872" i="1"/>
  <c r="J876" i="1"/>
  <c r="J874" i="1"/>
  <c r="J872" i="1"/>
  <c r="F792" i="1"/>
  <c r="F790" i="1"/>
  <c r="F788" i="1"/>
  <c r="J792" i="1"/>
  <c r="J790" i="1"/>
  <c r="J788" i="1"/>
  <c r="G792" i="1"/>
  <c r="G790" i="1"/>
  <c r="G788" i="1"/>
  <c r="F718" i="1"/>
  <c r="F716" i="1"/>
  <c r="F714" i="1"/>
  <c r="J718" i="1"/>
  <c r="J716" i="1"/>
  <c r="J714" i="1"/>
  <c r="G718" i="1"/>
  <c r="G716" i="1"/>
  <c r="G714" i="1"/>
  <c r="H718" i="1"/>
  <c r="H716" i="1"/>
  <c r="H714" i="1"/>
  <c r="J646" i="1"/>
  <c r="J644" i="1"/>
  <c r="J642" i="1"/>
  <c r="F646" i="1"/>
  <c r="F644" i="1"/>
  <c r="F642" i="1"/>
  <c r="G646" i="1"/>
  <c r="G644" i="1"/>
  <c r="G642" i="1"/>
  <c r="H646" i="1"/>
  <c r="H644" i="1"/>
  <c r="H642" i="1"/>
  <c r="J570" i="1"/>
  <c r="J567" i="1"/>
  <c r="J498" i="1"/>
  <c r="J496" i="1"/>
  <c r="J494" i="1"/>
  <c r="F498" i="1"/>
  <c r="F496" i="1"/>
  <c r="F494" i="1"/>
  <c r="G498" i="1"/>
  <c r="G496" i="1"/>
  <c r="G494" i="1"/>
  <c r="H498" i="1"/>
  <c r="H496" i="1"/>
  <c r="H494" i="1"/>
  <c r="F341" i="1"/>
  <c r="F339" i="1"/>
  <c r="F337" i="1"/>
  <c r="G341" i="1"/>
  <c r="G339" i="1"/>
  <c r="G337" i="1"/>
  <c r="J341" i="1"/>
  <c r="J339" i="1"/>
  <c r="J337" i="1"/>
  <c r="J259" i="1"/>
  <c r="J256" i="1"/>
  <c r="J188" i="1"/>
  <c r="J186" i="1"/>
  <c r="J184" i="1"/>
  <c r="F28" i="1"/>
  <c r="F25" i="1"/>
  <c r="H28" i="1"/>
  <c r="P18" i="3" s="1"/>
  <c r="H25" i="1"/>
  <c r="G28" i="1"/>
  <c r="G25" i="1"/>
  <c r="A1015" i="1" l="1"/>
  <c r="E1015" i="1" s="1"/>
  <c r="H790" i="1"/>
  <c r="A322" i="1"/>
  <c r="E321" i="1"/>
  <c r="L24" i="1"/>
  <c r="O16" i="3"/>
  <c r="Q16" i="3" s="1"/>
  <c r="A481" i="1"/>
  <c r="E480" i="1"/>
  <c r="A627" i="1"/>
  <c r="E627" i="1" s="1"/>
  <c r="A699" i="1"/>
  <c r="E699" i="1" s="1"/>
  <c r="H788" i="1"/>
  <c r="L788" i="1" s="1"/>
  <c r="A857" i="1"/>
  <c r="E857" i="1" s="1"/>
  <c r="A1090" i="1"/>
  <c r="E1090" i="1" s="1"/>
  <c r="A773" i="1"/>
  <c r="E773" i="1" s="1"/>
  <c r="A557" i="1"/>
  <c r="E557" i="1" s="1"/>
  <c r="A927" i="1"/>
  <c r="E927" i="1" s="1"/>
  <c r="H792" i="1"/>
  <c r="H793" i="1" s="1"/>
  <c r="H874" i="1"/>
  <c r="L874" i="1" s="1"/>
  <c r="H876" i="1"/>
  <c r="H877" i="1" s="1"/>
  <c r="L871" i="1"/>
  <c r="L792" i="1"/>
  <c r="J25" i="1"/>
  <c r="L25" i="1" s="1"/>
  <c r="L876" i="1"/>
  <c r="L872" i="1"/>
  <c r="L714" i="1"/>
  <c r="L716" i="1"/>
  <c r="L790" i="1"/>
  <c r="J28" i="1"/>
  <c r="L718" i="1"/>
  <c r="L494" i="1"/>
  <c r="L498" i="1"/>
  <c r="L646" i="1"/>
  <c r="L642" i="1"/>
  <c r="L644" i="1"/>
  <c r="L496" i="1"/>
  <c r="L332" i="1"/>
  <c r="H336" i="1"/>
  <c r="H333" i="1"/>
  <c r="L333" i="1" s="1"/>
  <c r="J1119" i="1"/>
  <c r="J1118" i="1"/>
  <c r="J1110" i="1"/>
  <c r="J1044" i="1"/>
  <c r="J1043" i="1"/>
  <c r="J1035" i="1"/>
  <c r="J956" i="1"/>
  <c r="J955" i="1"/>
  <c r="J947" i="1"/>
  <c r="F886" i="1"/>
  <c r="F885" i="1"/>
  <c r="F877" i="1"/>
  <c r="J886" i="1"/>
  <c r="J885" i="1"/>
  <c r="J877" i="1"/>
  <c r="G876" i="1"/>
  <c r="G874" i="1"/>
  <c r="G872" i="1"/>
  <c r="F793" i="1"/>
  <c r="J802" i="1"/>
  <c r="J801" i="1"/>
  <c r="J793" i="1"/>
  <c r="G793" i="1"/>
  <c r="F728" i="1"/>
  <c r="F727" i="1"/>
  <c r="F719" i="1"/>
  <c r="J728" i="1"/>
  <c r="J727" i="1"/>
  <c r="J719" i="1"/>
  <c r="H728" i="1"/>
  <c r="H727" i="1"/>
  <c r="H719" i="1"/>
  <c r="G728" i="1"/>
  <c r="G727" i="1"/>
  <c r="G719" i="1"/>
  <c r="F656" i="1"/>
  <c r="F655" i="1"/>
  <c r="F647" i="1"/>
  <c r="G656" i="1"/>
  <c r="G655" i="1"/>
  <c r="G647" i="1"/>
  <c r="H656" i="1"/>
  <c r="H655" i="1"/>
  <c r="H647" i="1"/>
  <c r="J656" i="1"/>
  <c r="J655" i="1"/>
  <c r="J647" i="1"/>
  <c r="J575" i="1"/>
  <c r="J573" i="1"/>
  <c r="J571" i="1"/>
  <c r="J508" i="1"/>
  <c r="J507" i="1"/>
  <c r="J499" i="1"/>
  <c r="F508" i="1"/>
  <c r="F507" i="1"/>
  <c r="F499" i="1"/>
  <c r="G508" i="1"/>
  <c r="G507" i="1"/>
  <c r="G499" i="1"/>
  <c r="H508" i="1"/>
  <c r="H507" i="1"/>
  <c r="H499" i="1"/>
  <c r="F351" i="1"/>
  <c r="F350" i="1"/>
  <c r="F342" i="1"/>
  <c r="G351" i="1"/>
  <c r="G350" i="1"/>
  <c r="G342" i="1"/>
  <c r="J351" i="1"/>
  <c r="J350" i="1"/>
  <c r="J342" i="1"/>
  <c r="J262" i="1"/>
  <c r="J260" i="1"/>
  <c r="J264" i="1"/>
  <c r="J198" i="1"/>
  <c r="J197" i="1"/>
  <c r="J189" i="1"/>
  <c r="F33" i="1"/>
  <c r="F31" i="1"/>
  <c r="F29" i="1"/>
  <c r="G33" i="1"/>
  <c r="G31" i="1"/>
  <c r="G29" i="1"/>
  <c r="H33" i="1"/>
  <c r="P21" i="3" s="1"/>
  <c r="H31" i="1"/>
  <c r="H29" i="1"/>
  <c r="A1016" i="1" l="1"/>
  <c r="E1016" i="1" s="1"/>
  <c r="H885" i="1"/>
  <c r="A482" i="1"/>
  <c r="E481" i="1"/>
  <c r="L28" i="1"/>
  <c r="O18" i="3"/>
  <c r="Q18" i="3" s="1"/>
  <c r="A323" i="1"/>
  <c r="E322" i="1"/>
  <c r="A558" i="1"/>
  <c r="E558" i="1" s="1"/>
  <c r="A1091" i="1"/>
  <c r="E1091" i="1" s="1"/>
  <c r="A1017" i="1"/>
  <c r="E1017" i="1" s="1"/>
  <c r="A928" i="1"/>
  <c r="E928" i="1" s="1"/>
  <c r="A774" i="1"/>
  <c r="E774" i="1" s="1"/>
  <c r="A858" i="1"/>
  <c r="E858" i="1" s="1"/>
  <c r="A700" i="1"/>
  <c r="E700" i="1" s="1"/>
  <c r="A628" i="1"/>
  <c r="E628" i="1" s="1"/>
  <c r="L793" i="1"/>
  <c r="H886" i="1"/>
  <c r="L886" i="1" s="1"/>
  <c r="J33" i="1"/>
  <c r="J29" i="1"/>
  <c r="L29" i="1" s="1"/>
  <c r="L885" i="1"/>
  <c r="L877" i="1"/>
  <c r="J31" i="1"/>
  <c r="L31" i="1" s="1"/>
  <c r="L656" i="1"/>
  <c r="L728" i="1"/>
  <c r="L719" i="1"/>
  <c r="L727" i="1"/>
  <c r="L655" i="1"/>
  <c r="L647" i="1"/>
  <c r="L499" i="1"/>
  <c r="L507" i="1"/>
  <c r="L508" i="1"/>
  <c r="L336" i="1"/>
  <c r="H341" i="1"/>
  <c r="H339" i="1"/>
  <c r="L339" i="1" s="1"/>
  <c r="H337" i="1"/>
  <c r="L337" i="1" s="1"/>
  <c r="G886" i="1"/>
  <c r="G885" i="1"/>
  <c r="G877" i="1"/>
  <c r="J585" i="1"/>
  <c r="J584" i="1"/>
  <c r="J576" i="1"/>
  <c r="J274" i="1"/>
  <c r="J273" i="1"/>
  <c r="J265" i="1"/>
  <c r="H43" i="1"/>
  <c r="H42" i="1"/>
  <c r="H34" i="1"/>
  <c r="F43" i="1"/>
  <c r="F42" i="1"/>
  <c r="F34" i="1"/>
  <c r="G43" i="1"/>
  <c r="G42" i="1"/>
  <c r="G34" i="1"/>
  <c r="J43" i="1" l="1"/>
  <c r="O21" i="3"/>
  <c r="Q21" i="3" s="1"/>
  <c r="A324" i="1"/>
  <c r="E323" i="1"/>
  <c r="A483" i="1"/>
  <c r="E482" i="1"/>
  <c r="A859" i="1"/>
  <c r="E859" i="1" s="1"/>
  <c r="A775" i="1"/>
  <c r="E775" i="1" s="1"/>
  <c r="A1092" i="1"/>
  <c r="E1092" i="1" s="1"/>
  <c r="A701" i="1"/>
  <c r="E701" i="1" s="1"/>
  <c r="A1018" i="1"/>
  <c r="E1018" i="1" s="1"/>
  <c r="A629" i="1"/>
  <c r="E629" i="1" s="1"/>
  <c r="A929" i="1"/>
  <c r="E929" i="1" s="1"/>
  <c r="A559" i="1"/>
  <c r="E559" i="1" s="1"/>
  <c r="J34" i="1"/>
  <c r="L34" i="1" s="1"/>
  <c r="L33" i="1"/>
  <c r="J42" i="1"/>
  <c r="L42" i="1" s="1"/>
  <c r="L341" i="1"/>
  <c r="H351" i="1"/>
  <c r="L351" i="1" s="1"/>
  <c r="H350" i="1"/>
  <c r="L350" i="1" s="1"/>
  <c r="H342" i="1"/>
  <c r="L342" i="1" s="1"/>
  <c r="L43" i="1"/>
  <c r="A325" i="1" l="1"/>
  <c r="E324" i="1"/>
  <c r="A484" i="1"/>
  <c r="E483" i="1"/>
  <c r="A630" i="1"/>
  <c r="E630" i="1" s="1"/>
  <c r="A702" i="1"/>
  <c r="E702" i="1" s="1"/>
  <c r="A776" i="1"/>
  <c r="E776" i="1" s="1"/>
  <c r="A860" i="1"/>
  <c r="E860" i="1" s="1"/>
  <c r="A930" i="1"/>
  <c r="E930" i="1" s="1"/>
  <c r="A1019" i="1"/>
  <c r="E1019" i="1" s="1"/>
  <c r="A1093" i="1"/>
  <c r="E1093" i="1" s="1"/>
  <c r="A560" i="1"/>
  <c r="E560" i="1" s="1"/>
  <c r="L1158" i="1"/>
  <c r="L1157" i="1"/>
  <c r="L1155" i="1"/>
  <c r="L1154" i="1"/>
  <c r="L1152" i="1"/>
  <c r="L1151" i="1"/>
  <c r="L1132" i="1"/>
  <c r="L1133" i="1"/>
  <c r="L1134" i="1"/>
  <c r="L1135" i="1"/>
  <c r="L1136" i="1"/>
  <c r="L1137" i="1"/>
  <c r="L1138" i="1"/>
  <c r="L1139" i="1"/>
  <c r="L1141" i="1"/>
  <c r="L1143" i="1"/>
  <c r="L1145" i="1"/>
  <c r="L1146" i="1"/>
  <c r="L1148" i="1"/>
  <c r="L1131" i="1"/>
  <c r="L1127" i="1"/>
  <c r="L1128" i="1"/>
  <c r="L1126" i="1"/>
  <c r="L1076" i="1"/>
  <c r="L1075" i="1"/>
  <c r="L1073" i="1"/>
  <c r="L1072" i="1"/>
  <c r="L1070" i="1"/>
  <c r="L1069" i="1"/>
  <c r="L1061" i="1"/>
  <c r="L1064" i="1"/>
  <c r="L1066" i="1"/>
  <c r="L1060" i="1"/>
  <c r="L1056" i="1"/>
  <c r="L1055" i="1"/>
  <c r="L1052" i="1"/>
  <c r="L1051" i="1"/>
  <c r="L1000" i="1"/>
  <c r="L1001" i="1"/>
  <c r="L999" i="1"/>
  <c r="L995" i="1"/>
  <c r="L997" i="1"/>
  <c r="L994" i="1"/>
  <c r="L991" i="1"/>
  <c r="L990" i="1"/>
  <c r="L978" i="1"/>
  <c r="L980" i="1"/>
  <c r="L981" i="1"/>
  <c r="L982" i="1"/>
  <c r="L985" i="1"/>
  <c r="L987" i="1"/>
  <c r="L977" i="1"/>
  <c r="L975" i="1"/>
  <c r="L971" i="1"/>
  <c r="L970" i="1"/>
  <c r="L964" i="1"/>
  <c r="L965" i="1"/>
  <c r="L967" i="1"/>
  <c r="L968" i="1"/>
  <c r="L963" i="1"/>
  <c r="L913" i="1"/>
  <c r="L912" i="1"/>
  <c r="L910" i="1"/>
  <c r="L909" i="1"/>
  <c r="L907" i="1"/>
  <c r="L906" i="1"/>
  <c r="L896" i="1"/>
  <c r="L897" i="1"/>
  <c r="L898" i="1"/>
  <c r="L899" i="1"/>
  <c r="L900" i="1"/>
  <c r="L903" i="1"/>
  <c r="L895" i="1"/>
  <c r="L893" i="1"/>
  <c r="L842" i="1"/>
  <c r="L843" i="1"/>
  <c r="L841" i="1"/>
  <c r="L834" i="1"/>
  <c r="L836" i="1"/>
  <c r="L837" i="1"/>
  <c r="L839" i="1"/>
  <c r="L833" i="1"/>
  <c r="L830" i="1"/>
  <c r="L829" i="1"/>
  <c r="L810" i="1"/>
  <c r="L811" i="1"/>
  <c r="L812" i="1"/>
  <c r="L813" i="1"/>
  <c r="L816" i="1"/>
  <c r="L817" i="1"/>
  <c r="L818" i="1"/>
  <c r="L819" i="1"/>
  <c r="L820" i="1"/>
  <c r="L822" i="1"/>
  <c r="L824" i="1"/>
  <c r="L825" i="1"/>
  <c r="L809" i="1"/>
  <c r="L759" i="1"/>
  <c r="L758" i="1"/>
  <c r="L756" i="1"/>
  <c r="L755" i="1"/>
  <c r="L752" i="1"/>
  <c r="L753" i="1"/>
  <c r="L751" i="1"/>
  <c r="L736" i="1"/>
  <c r="L738" i="1"/>
  <c r="L739" i="1"/>
  <c r="L740" i="1"/>
  <c r="L741" i="1"/>
  <c r="L742" i="1"/>
  <c r="L743" i="1"/>
  <c r="L744" i="1"/>
  <c r="L746" i="1"/>
  <c r="L748" i="1"/>
  <c r="L735" i="1"/>
  <c r="L685" i="1"/>
  <c r="L684" i="1"/>
  <c r="L679" i="1"/>
  <c r="L680" i="1"/>
  <c r="L681" i="1"/>
  <c r="L682" i="1"/>
  <c r="L678" i="1"/>
  <c r="L664" i="1"/>
  <c r="L665" i="1"/>
  <c r="L666" i="1"/>
  <c r="L667" i="1"/>
  <c r="L668" i="1"/>
  <c r="L671" i="1"/>
  <c r="L672" i="1"/>
  <c r="L673" i="1"/>
  <c r="L675" i="1"/>
  <c r="L663" i="1"/>
  <c r="L613" i="1"/>
  <c r="L612" i="1"/>
  <c r="L609" i="1"/>
  <c r="L610" i="1"/>
  <c r="L608" i="1"/>
  <c r="L593" i="1"/>
  <c r="L595" i="1"/>
  <c r="L596" i="1"/>
  <c r="L597" i="1"/>
  <c r="L598" i="1"/>
  <c r="L599" i="1"/>
  <c r="L600" i="1"/>
  <c r="L603" i="1"/>
  <c r="L605" i="1"/>
  <c r="L592" i="1"/>
  <c r="L541" i="1"/>
  <c r="L542" i="1"/>
  <c r="L540" i="1"/>
  <c r="L537" i="1"/>
  <c r="L536" i="1"/>
  <c r="L534" i="1"/>
  <c r="L533" i="1"/>
  <c r="L524" i="1"/>
  <c r="L525" i="1"/>
  <c r="L527" i="1"/>
  <c r="L528" i="1"/>
  <c r="L530" i="1"/>
  <c r="L523" i="1"/>
  <c r="L516" i="1"/>
  <c r="L518" i="1"/>
  <c r="L519" i="1"/>
  <c r="L520" i="1"/>
  <c r="L515" i="1"/>
  <c r="L465" i="1"/>
  <c r="L464" i="1"/>
  <c r="L462" i="1"/>
  <c r="L461" i="1"/>
  <c r="L458" i="1"/>
  <c r="L457" i="1"/>
  <c r="L454" i="1"/>
  <c r="L453" i="1"/>
  <c r="L436" i="1"/>
  <c r="L437" i="1"/>
  <c r="L438" i="1"/>
  <c r="L439" i="1"/>
  <c r="L440" i="1"/>
  <c r="L443" i="1"/>
  <c r="L444" i="1"/>
  <c r="L446" i="1"/>
  <c r="L448" i="1"/>
  <c r="L450" i="1"/>
  <c r="L435" i="1"/>
  <c r="L431" i="1"/>
  <c r="L430" i="1"/>
  <c r="L427" i="1"/>
  <c r="L426" i="1"/>
  <c r="L376" i="1"/>
  <c r="L375" i="1"/>
  <c r="L361" i="1"/>
  <c r="L362" i="1"/>
  <c r="L363" i="1"/>
  <c r="L364" i="1"/>
  <c r="L365" i="1"/>
  <c r="L368" i="1"/>
  <c r="L370" i="1"/>
  <c r="L372" i="1"/>
  <c r="L373" i="1"/>
  <c r="L360" i="1"/>
  <c r="L358" i="1"/>
  <c r="L308" i="1"/>
  <c r="L307" i="1"/>
  <c r="L286" i="1"/>
  <c r="L287" i="1"/>
  <c r="L288" i="1"/>
  <c r="L289" i="1"/>
  <c r="L290" i="1"/>
  <c r="L291" i="1"/>
  <c r="L292" i="1"/>
  <c r="L295" i="1"/>
  <c r="L297" i="1"/>
  <c r="L299" i="1"/>
  <c r="L301" i="1"/>
  <c r="L302" i="1"/>
  <c r="L303" i="1"/>
  <c r="L304" i="1"/>
  <c r="L285" i="1"/>
  <c r="L282" i="1"/>
  <c r="L281" i="1"/>
  <c r="L231" i="1"/>
  <c r="L230" i="1"/>
  <c r="L219" i="1"/>
  <c r="L220" i="1"/>
  <c r="L223" i="1"/>
  <c r="L225" i="1"/>
  <c r="L226" i="1"/>
  <c r="L227" i="1"/>
  <c r="L228" i="1"/>
  <c r="L218" i="1"/>
  <c r="L212" i="1"/>
  <c r="L213" i="1"/>
  <c r="L214" i="1"/>
  <c r="L211" i="1"/>
  <c r="L206" i="1"/>
  <c r="L207" i="1"/>
  <c r="L208" i="1"/>
  <c r="L205" i="1"/>
  <c r="L151" i="1"/>
  <c r="L150" i="1"/>
  <c r="L147" i="1"/>
  <c r="L143" i="1"/>
  <c r="L135" i="1"/>
  <c r="L139" i="1"/>
  <c r="L123" i="1"/>
  <c r="L122" i="1"/>
  <c r="L72" i="1"/>
  <c r="L71" i="1"/>
  <c r="L69" i="1"/>
  <c r="L68" i="1"/>
  <c r="L66" i="1"/>
  <c r="L65" i="1"/>
  <c r="L51" i="1"/>
  <c r="L53" i="1"/>
  <c r="L54" i="1"/>
  <c r="L55" i="1"/>
  <c r="L56" i="1"/>
  <c r="L57" i="1"/>
  <c r="L58" i="1"/>
  <c r="L59" i="1"/>
  <c r="L60" i="1"/>
  <c r="L62" i="1"/>
  <c r="L50" i="1"/>
  <c r="A485" i="1" l="1"/>
  <c r="E484" i="1"/>
  <c r="A326" i="1"/>
  <c r="E325" i="1"/>
  <c r="A1020" i="1"/>
  <c r="E1020" i="1" s="1"/>
  <c r="A861" i="1"/>
  <c r="E861" i="1" s="1"/>
  <c r="A703" i="1"/>
  <c r="E703" i="1" s="1"/>
  <c r="A561" i="1"/>
  <c r="E561" i="1" s="1"/>
  <c r="A1094" i="1"/>
  <c r="E1094" i="1" s="1"/>
  <c r="A931" i="1"/>
  <c r="E931" i="1" s="1"/>
  <c r="A777" i="1"/>
  <c r="E777" i="1" s="1"/>
  <c r="A631" i="1"/>
  <c r="E631" i="1" s="1"/>
  <c r="J134" i="1"/>
  <c r="L134" i="1" s="1"/>
  <c r="J133" i="1"/>
  <c r="J127" i="1"/>
  <c r="L127" i="1" s="1"/>
  <c r="J126" i="1"/>
  <c r="L126" i="1" s="1"/>
  <c r="J124" i="1"/>
  <c r="A327" i="1" l="1"/>
  <c r="E326" i="1"/>
  <c r="A486" i="1"/>
  <c r="E485" i="1"/>
  <c r="A778" i="1"/>
  <c r="E778" i="1" s="1"/>
  <c r="A632" i="1"/>
  <c r="E632" i="1" s="1"/>
  <c r="A932" i="1"/>
  <c r="E932" i="1" s="1"/>
  <c r="A562" i="1"/>
  <c r="E562" i="1" s="1"/>
  <c r="A862" i="1"/>
  <c r="E862" i="1" s="1"/>
  <c r="A1095" i="1"/>
  <c r="E1095" i="1" s="1"/>
  <c r="A704" i="1"/>
  <c r="E704" i="1" s="1"/>
  <c r="A1021" i="1"/>
  <c r="E1021" i="1" s="1"/>
  <c r="J152" i="1"/>
  <c r="L152" i="1" s="1"/>
  <c r="J79" i="1"/>
  <c r="L133" i="1"/>
  <c r="J98" i="1"/>
  <c r="J128" i="1"/>
  <c r="J81" i="1" s="1"/>
  <c r="J154" i="1"/>
  <c r="J129" i="1"/>
  <c r="J130" i="1"/>
  <c r="L130" i="1" s="1"/>
  <c r="J155" i="1"/>
  <c r="L155" i="1" s="1"/>
  <c r="E486" i="1" l="1"/>
  <c r="A487" i="1"/>
  <c r="A328" i="1"/>
  <c r="E327" i="1"/>
  <c r="A1022" i="1"/>
  <c r="E1022" i="1" s="1"/>
  <c r="A1096" i="1"/>
  <c r="E1096" i="1" s="1"/>
  <c r="A863" i="1"/>
  <c r="E863" i="1" s="1"/>
  <c r="A933" i="1"/>
  <c r="E933" i="1" s="1"/>
  <c r="A779" i="1"/>
  <c r="E779" i="1" s="1"/>
  <c r="A705" i="1"/>
  <c r="E705" i="1" s="1"/>
  <c r="A563" i="1"/>
  <c r="E563" i="1" s="1"/>
  <c r="A633" i="1"/>
  <c r="E633" i="1" s="1"/>
  <c r="L98" i="1"/>
  <c r="J99" i="1"/>
  <c r="L129" i="1"/>
  <c r="J87" i="1"/>
  <c r="L154" i="1"/>
  <c r="J82" i="1"/>
  <c r="J83" i="1" s="1"/>
  <c r="J84" i="1" s="1"/>
  <c r="J131" i="1"/>
  <c r="J132" i="1" s="1"/>
  <c r="J136" i="1" s="1"/>
  <c r="J137" i="1" s="1"/>
  <c r="A329" i="1" l="1"/>
  <c r="E328" i="1"/>
  <c r="E487" i="1"/>
  <c r="A488" i="1"/>
  <c r="A634" i="1"/>
  <c r="E634" i="1" s="1"/>
  <c r="A780" i="1"/>
  <c r="E780" i="1" s="1"/>
  <c r="A864" i="1"/>
  <c r="E864" i="1" s="1"/>
  <c r="A1023" i="1"/>
  <c r="E1023" i="1" s="1"/>
  <c r="A564" i="1"/>
  <c r="E564" i="1" s="1"/>
  <c r="A706" i="1"/>
  <c r="E706" i="1" s="1"/>
  <c r="A934" i="1"/>
  <c r="E934" i="1" s="1"/>
  <c r="A1097" i="1"/>
  <c r="E1097" i="1" s="1"/>
  <c r="L87" i="1"/>
  <c r="J88" i="1"/>
  <c r="L137" i="1"/>
  <c r="J102" i="1"/>
  <c r="J85" i="1"/>
  <c r="L82" i="1"/>
  <c r="J94" i="1"/>
  <c r="J138" i="1"/>
  <c r="J140" i="1" s="1"/>
  <c r="J142" i="1" s="1"/>
  <c r="E488" i="1" l="1"/>
  <c r="A489" i="1"/>
  <c r="A330" i="1"/>
  <c r="E329" i="1"/>
  <c r="A707" i="1"/>
  <c r="E707" i="1" s="1"/>
  <c r="A635" i="1"/>
  <c r="E635" i="1" s="1"/>
  <c r="A1098" i="1"/>
  <c r="E1098" i="1" s="1"/>
  <c r="A865" i="1"/>
  <c r="E865" i="1" s="1"/>
  <c r="A935" i="1"/>
  <c r="E935" i="1" s="1"/>
  <c r="A565" i="1"/>
  <c r="E565" i="1" s="1"/>
  <c r="A1024" i="1"/>
  <c r="E1024" i="1" s="1"/>
  <c r="A781" i="1"/>
  <c r="E781" i="1" s="1"/>
  <c r="J89" i="1"/>
  <c r="J86" i="1"/>
  <c r="L102" i="1"/>
  <c r="J95" i="1"/>
  <c r="L94" i="1"/>
  <c r="J144" i="1"/>
  <c r="J110" i="1" s="1"/>
  <c r="L142" i="1"/>
  <c r="J146" i="1"/>
  <c r="A331" i="1" l="1"/>
  <c r="E330" i="1"/>
  <c r="E489" i="1"/>
  <c r="A490" i="1"/>
  <c r="A782" i="1"/>
  <c r="E782" i="1" s="1"/>
  <c r="A566" i="1"/>
  <c r="E566" i="1" s="1"/>
  <c r="A866" i="1"/>
  <c r="E866" i="1" s="1"/>
  <c r="A1099" i="1"/>
  <c r="E1099" i="1" s="1"/>
  <c r="A708" i="1"/>
  <c r="E708" i="1" s="1"/>
  <c r="A1025" i="1"/>
  <c r="E1025" i="1" s="1"/>
  <c r="A936" i="1"/>
  <c r="E936" i="1" s="1"/>
  <c r="A636" i="1"/>
  <c r="E636" i="1" s="1"/>
  <c r="J90" i="1"/>
  <c r="J92" i="1"/>
  <c r="J148" i="1"/>
  <c r="J111" i="1" s="1"/>
  <c r="L146" i="1"/>
  <c r="G432" i="1"/>
  <c r="G385" i="1" s="1"/>
  <c r="G387" i="1" s="1"/>
  <c r="E490" i="1" l="1"/>
  <c r="A491" i="1"/>
  <c r="A332" i="1"/>
  <c r="E331" i="1"/>
  <c r="A637" i="1"/>
  <c r="E637" i="1" s="1"/>
  <c r="A937" i="1"/>
  <c r="E937" i="1" s="1"/>
  <c r="A709" i="1"/>
  <c r="E709" i="1" s="1"/>
  <c r="A867" i="1"/>
  <c r="E867" i="1" s="1"/>
  <c r="A783" i="1"/>
  <c r="E783" i="1" s="1"/>
  <c r="A1026" i="1"/>
  <c r="E1026" i="1" s="1"/>
  <c r="A1100" i="1"/>
  <c r="E1100" i="1" s="1"/>
  <c r="A567" i="1"/>
  <c r="E567" i="1" s="1"/>
  <c r="J93" i="1"/>
  <c r="J96" i="1"/>
  <c r="F972" i="1"/>
  <c r="H1140" i="1"/>
  <c r="L1140" i="1" s="1"/>
  <c r="G1140" i="1"/>
  <c r="F1140" i="1"/>
  <c r="H1129" i="1"/>
  <c r="G1129" i="1"/>
  <c r="G1083" i="1" s="1"/>
  <c r="F1129" i="1"/>
  <c r="F1083" i="1" s="1"/>
  <c r="H1062" i="1"/>
  <c r="G1062" i="1"/>
  <c r="G1016" i="1" s="1"/>
  <c r="F1062" i="1"/>
  <c r="F1016" i="1" s="1"/>
  <c r="H1057" i="1"/>
  <c r="G1057" i="1"/>
  <c r="G1010" i="1" s="1"/>
  <c r="G1012" i="1" s="1"/>
  <c r="F1057" i="1"/>
  <c r="F1010" i="1" s="1"/>
  <c r="F1012" i="1" s="1"/>
  <c r="H1053" i="1"/>
  <c r="G1053" i="1"/>
  <c r="G1008" i="1" s="1"/>
  <c r="F1053" i="1"/>
  <c r="F1008" i="1" s="1"/>
  <c r="H996" i="1"/>
  <c r="G996" i="1"/>
  <c r="G952" i="1" s="1"/>
  <c r="F996" i="1"/>
  <c r="F952" i="1" s="1"/>
  <c r="H992" i="1"/>
  <c r="G992" i="1"/>
  <c r="G951" i="1" s="1"/>
  <c r="F992" i="1"/>
  <c r="F951" i="1" s="1"/>
  <c r="H979" i="1"/>
  <c r="L979" i="1" s="1"/>
  <c r="G979" i="1"/>
  <c r="F979" i="1"/>
  <c r="H972" i="1"/>
  <c r="L972" i="1" s="1"/>
  <c r="G972" i="1"/>
  <c r="H966" i="1"/>
  <c r="L966" i="1" s="1"/>
  <c r="G966" i="1"/>
  <c r="F966" i="1"/>
  <c r="H901" i="1"/>
  <c r="L901" i="1" s="1"/>
  <c r="G901" i="1"/>
  <c r="F901" i="1"/>
  <c r="H838" i="1"/>
  <c r="L838" i="1" s="1"/>
  <c r="G838" i="1"/>
  <c r="F838" i="1"/>
  <c r="H835" i="1"/>
  <c r="G835" i="1"/>
  <c r="G798" i="1" s="1"/>
  <c r="G802" i="1" s="1"/>
  <c r="F835" i="1"/>
  <c r="F798" i="1" s="1"/>
  <c r="F802" i="1" s="1"/>
  <c r="H831" i="1"/>
  <c r="G831" i="1"/>
  <c r="G797" i="1" s="1"/>
  <c r="G801" i="1" s="1"/>
  <c r="F831" i="1"/>
  <c r="F797" i="1" s="1"/>
  <c r="F801" i="1" s="1"/>
  <c r="H826" i="1"/>
  <c r="L826" i="1" s="1"/>
  <c r="G826" i="1"/>
  <c r="H814" i="1"/>
  <c r="L814" i="1" s="1"/>
  <c r="G814" i="1"/>
  <c r="F814" i="1"/>
  <c r="H737" i="1"/>
  <c r="L737" i="1" s="1"/>
  <c r="G737" i="1"/>
  <c r="F737" i="1"/>
  <c r="H669" i="1"/>
  <c r="L669" i="1" s="1"/>
  <c r="G669" i="1"/>
  <c r="F669" i="1"/>
  <c r="H601" i="1"/>
  <c r="L601" i="1" s="1"/>
  <c r="G601" i="1"/>
  <c r="F601" i="1"/>
  <c r="H594" i="1"/>
  <c r="G594" i="1"/>
  <c r="G549" i="1" s="1"/>
  <c r="F594" i="1"/>
  <c r="F549" i="1" s="1"/>
  <c r="H517" i="1"/>
  <c r="L517" i="1" s="1"/>
  <c r="G517" i="1"/>
  <c r="F517" i="1"/>
  <c r="H459" i="1"/>
  <c r="G459" i="1"/>
  <c r="G415" i="1" s="1"/>
  <c r="H455" i="1"/>
  <c r="G455" i="1"/>
  <c r="G414" i="1" s="1"/>
  <c r="H441" i="1"/>
  <c r="L441" i="1" s="1"/>
  <c r="G441" i="1"/>
  <c r="H432" i="1"/>
  <c r="H428" i="1"/>
  <c r="G428" i="1"/>
  <c r="G383" i="1" s="1"/>
  <c r="H366" i="1"/>
  <c r="L366" i="1" s="1"/>
  <c r="G366" i="1"/>
  <c r="F366" i="1"/>
  <c r="H305" i="1"/>
  <c r="L305" i="1" s="1"/>
  <c r="G305" i="1"/>
  <c r="F305" i="1"/>
  <c r="H293" i="1"/>
  <c r="L293" i="1" s="1"/>
  <c r="G283" i="1"/>
  <c r="G238" i="1" s="1"/>
  <c r="F283" i="1"/>
  <c r="F238" i="1" s="1"/>
  <c r="A333" i="1" l="1"/>
  <c r="E332" i="1"/>
  <c r="E491" i="1"/>
  <c r="A492" i="1"/>
  <c r="A1101" i="1"/>
  <c r="E1101" i="1" s="1"/>
  <c r="A868" i="1"/>
  <c r="E868" i="1" s="1"/>
  <c r="A938" i="1"/>
  <c r="E938" i="1" s="1"/>
  <c r="A568" i="1"/>
  <c r="E568" i="1" s="1"/>
  <c r="A1027" i="1"/>
  <c r="E1027" i="1" s="1"/>
  <c r="A784" i="1"/>
  <c r="E784" i="1" s="1"/>
  <c r="A710" i="1"/>
  <c r="E710" i="1" s="1"/>
  <c r="A638" i="1"/>
  <c r="E638" i="1" s="1"/>
  <c r="L428" i="1"/>
  <c r="H383" i="1"/>
  <c r="L383" i="1" s="1"/>
  <c r="J384" i="1"/>
  <c r="G392" i="1"/>
  <c r="G403" i="1"/>
  <c r="G399" i="1"/>
  <c r="L459" i="1"/>
  <c r="H415" i="1"/>
  <c r="L415" i="1" s="1"/>
  <c r="G388" i="1"/>
  <c r="L432" i="1"/>
  <c r="H385" i="1"/>
  <c r="L455" i="1"/>
  <c r="H414" i="1"/>
  <c r="L414" i="1" s="1"/>
  <c r="G389" i="1"/>
  <c r="J100" i="1"/>
  <c r="J97" i="1"/>
  <c r="F1103" i="1"/>
  <c r="F1092" i="1"/>
  <c r="F1089" i="1"/>
  <c r="F1088" i="1"/>
  <c r="F1099" i="1"/>
  <c r="G1103" i="1"/>
  <c r="G1092" i="1"/>
  <c r="G1084" i="1"/>
  <c r="J1084" i="1"/>
  <c r="G1099" i="1"/>
  <c r="G1088" i="1"/>
  <c r="G1089" i="1"/>
  <c r="L1129" i="1"/>
  <c r="H1083" i="1"/>
  <c r="L1083" i="1" s="1"/>
  <c r="F1028" i="1"/>
  <c r="F1024" i="1"/>
  <c r="G1014" i="1"/>
  <c r="G1013" i="1"/>
  <c r="L1062" i="1"/>
  <c r="H1016" i="1"/>
  <c r="L1016" i="1" s="1"/>
  <c r="G1028" i="1"/>
  <c r="G1009" i="1"/>
  <c r="J1009" i="1"/>
  <c r="G1024" i="1"/>
  <c r="L1057" i="1"/>
  <c r="H1010" i="1"/>
  <c r="L1053" i="1"/>
  <c r="H1008" i="1"/>
  <c r="L1008" i="1" s="1"/>
  <c r="F1017" i="1"/>
  <c r="F1014" i="1"/>
  <c r="F1013" i="1"/>
  <c r="G1017" i="1"/>
  <c r="L992" i="1"/>
  <c r="H951" i="1"/>
  <c r="L951" i="1" s="1"/>
  <c r="L996" i="1"/>
  <c r="H952" i="1"/>
  <c r="L952" i="1" s="1"/>
  <c r="L831" i="1"/>
  <c r="H797" i="1"/>
  <c r="L835" i="1"/>
  <c r="H798" i="1"/>
  <c r="F569" i="1"/>
  <c r="F558" i="1"/>
  <c r="F555" i="1"/>
  <c r="F565" i="1"/>
  <c r="F554" i="1"/>
  <c r="J550" i="1"/>
  <c r="G569" i="1"/>
  <c r="G558" i="1"/>
  <c r="G550" i="1"/>
  <c r="G554" i="1"/>
  <c r="G555" i="1"/>
  <c r="G565" i="1"/>
  <c r="L594" i="1"/>
  <c r="H549" i="1"/>
  <c r="L549" i="1" s="1"/>
  <c r="F247" i="1"/>
  <c r="F258" i="1"/>
  <c r="F244" i="1"/>
  <c r="F243" i="1"/>
  <c r="F254" i="1"/>
  <c r="J239" i="1"/>
  <c r="G258" i="1"/>
  <c r="G239" i="1"/>
  <c r="G254" i="1"/>
  <c r="G243" i="1"/>
  <c r="G244" i="1"/>
  <c r="G247" i="1"/>
  <c r="F983" i="1"/>
  <c r="G983" i="1"/>
  <c r="H983" i="1"/>
  <c r="L983" i="1" s="1"/>
  <c r="F902" i="1"/>
  <c r="F904" i="1" s="1"/>
  <c r="G902" i="1"/>
  <c r="G904" i="1" s="1"/>
  <c r="H902" i="1"/>
  <c r="F815" i="1"/>
  <c r="F821" i="1" s="1"/>
  <c r="H815" i="1"/>
  <c r="G815" i="1"/>
  <c r="G821" i="1" s="1"/>
  <c r="G745" i="1"/>
  <c r="F745" i="1"/>
  <c r="H745" i="1"/>
  <c r="L745" i="1" s="1"/>
  <c r="H670" i="1"/>
  <c r="L670" i="1" s="1"/>
  <c r="G670" i="1"/>
  <c r="F670" i="1"/>
  <c r="F674" i="1" s="1"/>
  <c r="F521" i="1"/>
  <c r="H521" i="1"/>
  <c r="L521" i="1" s="1"/>
  <c r="G521" i="1"/>
  <c r="F973" i="1"/>
  <c r="F920" i="1" s="1"/>
  <c r="G973" i="1"/>
  <c r="G920" i="1" s="1"/>
  <c r="G367" i="1"/>
  <c r="F367" i="1"/>
  <c r="H367" i="1"/>
  <c r="L367" i="1" s="1"/>
  <c r="F1058" i="1"/>
  <c r="H1058" i="1"/>
  <c r="L1058" i="1" s="1"/>
  <c r="G1142" i="1"/>
  <c r="H283" i="1"/>
  <c r="H238" i="1" s="1"/>
  <c r="L238" i="1" s="1"/>
  <c r="G293" i="1"/>
  <c r="F293" i="1"/>
  <c r="H602" i="1"/>
  <c r="L602" i="1" s="1"/>
  <c r="G1058" i="1"/>
  <c r="G433" i="1"/>
  <c r="G602" i="1"/>
  <c r="F1142" i="1"/>
  <c r="H433" i="1"/>
  <c r="L433" i="1" s="1"/>
  <c r="H973" i="1"/>
  <c r="H1142" i="1"/>
  <c r="L1142" i="1" s="1"/>
  <c r="F602" i="1"/>
  <c r="E492" i="1" l="1"/>
  <c r="A493" i="1"/>
  <c r="A334" i="1"/>
  <c r="E333" i="1"/>
  <c r="A711" i="1"/>
  <c r="E711" i="1" s="1"/>
  <c r="A1028" i="1"/>
  <c r="E1028" i="1" s="1"/>
  <c r="A939" i="1"/>
  <c r="E939" i="1" s="1"/>
  <c r="A639" i="1"/>
  <c r="E639" i="1" s="1"/>
  <c r="A785" i="1"/>
  <c r="E785" i="1" s="1"/>
  <c r="A569" i="1"/>
  <c r="E569" i="1" s="1"/>
  <c r="A869" i="1"/>
  <c r="E869" i="1" s="1"/>
  <c r="A1102" i="1"/>
  <c r="E1102" i="1" s="1"/>
  <c r="H387" i="1"/>
  <c r="L387" i="1" s="1"/>
  <c r="L385" i="1"/>
  <c r="G390" i="1"/>
  <c r="G393" i="1"/>
  <c r="H384" i="1"/>
  <c r="L384" i="1" s="1"/>
  <c r="H392" i="1"/>
  <c r="L392" i="1" s="1"/>
  <c r="H403" i="1"/>
  <c r="L403" i="1" s="1"/>
  <c r="H399" i="1"/>
  <c r="L399" i="1" s="1"/>
  <c r="J105" i="1"/>
  <c r="J101" i="1"/>
  <c r="J103" i="1"/>
  <c r="G1093" i="1"/>
  <c r="G1090" i="1"/>
  <c r="F1093" i="1"/>
  <c r="F1090" i="1"/>
  <c r="H1103" i="1"/>
  <c r="L1103" i="1" s="1"/>
  <c r="H1092" i="1"/>
  <c r="L1092" i="1" s="1"/>
  <c r="H1084" i="1"/>
  <c r="L1084" i="1" s="1"/>
  <c r="H1089" i="1"/>
  <c r="L1089" i="1" s="1"/>
  <c r="H1099" i="1"/>
  <c r="L1099" i="1" s="1"/>
  <c r="H1088" i="1"/>
  <c r="L1088" i="1" s="1"/>
  <c r="H1012" i="1"/>
  <c r="L1012" i="1" s="1"/>
  <c r="L1010" i="1"/>
  <c r="F1018" i="1"/>
  <c r="F1015" i="1"/>
  <c r="H1014" i="1"/>
  <c r="L1014" i="1" s="1"/>
  <c r="G1018" i="1"/>
  <c r="G1015" i="1"/>
  <c r="H1028" i="1"/>
  <c r="L1028" i="1" s="1"/>
  <c r="H1009" i="1"/>
  <c r="L1009" i="1" s="1"/>
  <c r="H1024" i="1"/>
  <c r="L1024" i="1" s="1"/>
  <c r="H1017" i="1"/>
  <c r="L1017" i="1" s="1"/>
  <c r="L973" i="1"/>
  <c r="H920" i="1"/>
  <c r="L920" i="1" s="1"/>
  <c r="G940" i="1"/>
  <c r="G929" i="1"/>
  <c r="G921" i="1"/>
  <c r="J921" i="1"/>
  <c r="G925" i="1"/>
  <c r="G936" i="1"/>
  <c r="G926" i="1"/>
  <c r="F940" i="1"/>
  <c r="F929" i="1"/>
  <c r="F926" i="1"/>
  <c r="F936" i="1"/>
  <c r="F925" i="1"/>
  <c r="H802" i="1"/>
  <c r="L802" i="1" s="1"/>
  <c r="L798" i="1"/>
  <c r="H801" i="1"/>
  <c r="L801" i="1" s="1"/>
  <c r="L797" i="1"/>
  <c r="F559" i="1"/>
  <c r="F556" i="1"/>
  <c r="G559" i="1"/>
  <c r="G556" i="1"/>
  <c r="H569" i="1"/>
  <c r="L569" i="1" s="1"/>
  <c r="H558" i="1"/>
  <c r="L558" i="1" s="1"/>
  <c r="H550" i="1"/>
  <c r="L550" i="1" s="1"/>
  <c r="H565" i="1"/>
  <c r="L565" i="1" s="1"/>
  <c r="H554" i="1"/>
  <c r="L554" i="1" s="1"/>
  <c r="H555" i="1"/>
  <c r="L555" i="1" s="1"/>
  <c r="H258" i="1"/>
  <c r="L258" i="1" s="1"/>
  <c r="H247" i="1"/>
  <c r="L247" i="1" s="1"/>
  <c r="H239" i="1"/>
  <c r="L239" i="1" s="1"/>
  <c r="H244" i="1"/>
  <c r="L244" i="1" s="1"/>
  <c r="H243" i="1"/>
  <c r="L243" i="1" s="1"/>
  <c r="H254" i="1"/>
  <c r="L254" i="1" s="1"/>
  <c r="G245" i="1"/>
  <c r="G248" i="1"/>
  <c r="F248" i="1"/>
  <c r="F245" i="1"/>
  <c r="H821" i="1"/>
  <c r="L821" i="1" s="1"/>
  <c r="L815" i="1"/>
  <c r="H294" i="1"/>
  <c r="L294" i="1" s="1"/>
  <c r="L283" i="1"/>
  <c r="H904" i="1"/>
  <c r="L902" i="1"/>
  <c r="H1144" i="1"/>
  <c r="L1144" i="1" s="1"/>
  <c r="G1144" i="1"/>
  <c r="F1144" i="1"/>
  <c r="H1063" i="1"/>
  <c r="F1063" i="1"/>
  <c r="F1065" i="1" s="1"/>
  <c r="G1063" i="1"/>
  <c r="G1065" i="1" s="1"/>
  <c r="F984" i="1"/>
  <c r="H984" i="1"/>
  <c r="L984" i="1" s="1"/>
  <c r="G984" i="1"/>
  <c r="F823" i="1"/>
  <c r="G823" i="1"/>
  <c r="G747" i="1"/>
  <c r="H747" i="1"/>
  <c r="L747" i="1" s="1"/>
  <c r="F747" i="1"/>
  <c r="H674" i="1"/>
  <c r="L674" i="1" s="1"/>
  <c r="G674" i="1"/>
  <c r="F676" i="1"/>
  <c r="H604" i="1"/>
  <c r="F604" i="1"/>
  <c r="F606" i="1" s="1"/>
  <c r="G604" i="1"/>
  <c r="G606" i="1" s="1"/>
  <c r="H526" i="1"/>
  <c r="L526" i="1" s="1"/>
  <c r="G526" i="1"/>
  <c r="F526" i="1"/>
  <c r="G442" i="1"/>
  <c r="H442" i="1"/>
  <c r="L442" i="1" s="1"/>
  <c r="F369" i="1"/>
  <c r="H369" i="1"/>
  <c r="L369" i="1" s="1"/>
  <c r="G369" i="1"/>
  <c r="F294" i="1"/>
  <c r="G294" i="1"/>
  <c r="H221" i="1"/>
  <c r="L221" i="1" s="1"/>
  <c r="G221" i="1"/>
  <c r="F221" i="1"/>
  <c r="H215" i="1"/>
  <c r="L215" i="1" s="1"/>
  <c r="G215" i="1"/>
  <c r="F215" i="1"/>
  <c r="H209" i="1"/>
  <c r="G209" i="1"/>
  <c r="G162" i="1" s="1"/>
  <c r="F209" i="1"/>
  <c r="F162" i="1" s="1"/>
  <c r="A335" i="1" l="1"/>
  <c r="E334" i="1"/>
  <c r="E493" i="1"/>
  <c r="A494" i="1"/>
  <c r="A870" i="1"/>
  <c r="E870" i="1" s="1"/>
  <c r="A786" i="1"/>
  <c r="E786" i="1" s="1"/>
  <c r="A1029" i="1"/>
  <c r="E1029" i="1" s="1"/>
  <c r="A1103" i="1"/>
  <c r="E1103" i="1" s="1"/>
  <c r="A570" i="1"/>
  <c r="E570" i="1" s="1"/>
  <c r="A640" i="1"/>
  <c r="E640" i="1" s="1"/>
  <c r="A940" i="1"/>
  <c r="E940" i="1" s="1"/>
  <c r="A712" i="1"/>
  <c r="E712" i="1" s="1"/>
  <c r="H388" i="1"/>
  <c r="L388" i="1" s="1"/>
  <c r="H389" i="1"/>
  <c r="L389" i="1" s="1"/>
  <c r="G394" i="1"/>
  <c r="G396" i="1"/>
  <c r="J108" i="1"/>
  <c r="J114" i="1"/>
  <c r="J106" i="1"/>
  <c r="J115" i="1"/>
  <c r="H1093" i="1"/>
  <c r="L1093" i="1" s="1"/>
  <c r="H1090" i="1"/>
  <c r="L1090" i="1" s="1"/>
  <c r="F1096" i="1"/>
  <c r="F1094" i="1"/>
  <c r="G1096" i="1"/>
  <c r="G1094" i="1"/>
  <c r="H1013" i="1"/>
  <c r="L1013" i="1" s="1"/>
  <c r="H1018" i="1"/>
  <c r="L1018" i="1" s="1"/>
  <c r="H1015" i="1"/>
  <c r="L1015" i="1" s="1"/>
  <c r="G1021" i="1"/>
  <c r="G1019" i="1"/>
  <c r="F1019" i="1"/>
  <c r="F1021" i="1"/>
  <c r="F930" i="1"/>
  <c r="F927" i="1"/>
  <c r="H940" i="1"/>
  <c r="L940" i="1" s="1"/>
  <c r="H929" i="1"/>
  <c r="L929" i="1" s="1"/>
  <c r="H921" i="1"/>
  <c r="L921" i="1" s="1"/>
  <c r="H926" i="1"/>
  <c r="L926" i="1" s="1"/>
  <c r="H925" i="1"/>
  <c r="L925" i="1" s="1"/>
  <c r="H936" i="1"/>
  <c r="L936" i="1" s="1"/>
  <c r="G927" i="1"/>
  <c r="G930" i="1"/>
  <c r="L904" i="1"/>
  <c r="L891" i="1" s="1"/>
  <c r="G560" i="1"/>
  <c r="G562" i="1"/>
  <c r="H559" i="1"/>
  <c r="L559" i="1" s="1"/>
  <c r="H556" i="1"/>
  <c r="L556" i="1" s="1"/>
  <c r="F560" i="1"/>
  <c r="F562" i="1"/>
  <c r="F251" i="1"/>
  <c r="F249" i="1"/>
  <c r="G251" i="1"/>
  <c r="G249" i="1"/>
  <c r="H248" i="1"/>
  <c r="L248" i="1" s="1"/>
  <c r="H245" i="1"/>
  <c r="L245" i="1" s="1"/>
  <c r="J163" i="1"/>
  <c r="G182" i="1"/>
  <c r="G171" i="1"/>
  <c r="G168" i="1"/>
  <c r="G178" i="1"/>
  <c r="G163" i="1"/>
  <c r="G167" i="1"/>
  <c r="L209" i="1"/>
  <c r="H162" i="1"/>
  <c r="L162" i="1" s="1"/>
  <c r="F168" i="1"/>
  <c r="F171" i="1"/>
  <c r="F182" i="1"/>
  <c r="F167" i="1"/>
  <c r="F178" i="1"/>
  <c r="H823" i="1"/>
  <c r="L823" i="1" s="1"/>
  <c r="H296" i="1"/>
  <c r="L296" i="1" s="1"/>
  <c r="H1065" i="1"/>
  <c r="L1065" i="1" s="1"/>
  <c r="L1063" i="1"/>
  <c r="H606" i="1"/>
  <c r="L606" i="1" s="1"/>
  <c r="L604" i="1"/>
  <c r="H1147" i="1"/>
  <c r="L1147" i="1" s="1"/>
  <c r="G1147" i="1"/>
  <c r="F1147" i="1"/>
  <c r="G1067" i="1"/>
  <c r="F1067" i="1"/>
  <c r="H986" i="1"/>
  <c r="L986" i="1" s="1"/>
  <c r="G986" i="1"/>
  <c r="F986" i="1"/>
  <c r="G827" i="1"/>
  <c r="F827" i="1"/>
  <c r="H749" i="1"/>
  <c r="L749" i="1" s="1"/>
  <c r="L733" i="1" s="1"/>
  <c r="F749" i="1"/>
  <c r="G749" i="1"/>
  <c r="H676" i="1"/>
  <c r="L676" i="1" s="1"/>
  <c r="L661" i="1" s="1"/>
  <c r="G676" i="1"/>
  <c r="F529" i="1"/>
  <c r="H529" i="1"/>
  <c r="L529" i="1" s="1"/>
  <c r="G529" i="1"/>
  <c r="G445" i="1"/>
  <c r="H445" i="1"/>
  <c r="L445" i="1" s="1"/>
  <c r="H371" i="1"/>
  <c r="L371" i="1" s="1"/>
  <c r="L356" i="1" s="1"/>
  <c r="G371" i="1"/>
  <c r="F371" i="1"/>
  <c r="F296" i="1"/>
  <c r="G296" i="1"/>
  <c r="F216" i="1"/>
  <c r="F222" i="1" s="1"/>
  <c r="H216" i="1"/>
  <c r="G216" i="1"/>
  <c r="G222" i="1" s="1"/>
  <c r="E494" i="1" l="1"/>
  <c r="A495" i="1"/>
  <c r="A336" i="1"/>
  <c r="E335" i="1"/>
  <c r="A941" i="1"/>
  <c r="E941" i="1" s="1"/>
  <c r="A571" i="1"/>
  <c r="E571" i="1" s="1"/>
  <c r="A1030" i="1"/>
  <c r="E1030" i="1" s="1"/>
  <c r="A787" i="1"/>
  <c r="E787" i="1" s="1"/>
  <c r="A713" i="1"/>
  <c r="E713" i="1" s="1"/>
  <c r="A641" i="1"/>
  <c r="E641" i="1" s="1"/>
  <c r="A1104" i="1"/>
  <c r="E1104" i="1" s="1"/>
  <c r="A871" i="1"/>
  <c r="E871" i="1" s="1"/>
  <c r="H393" i="1"/>
  <c r="L393" i="1" s="1"/>
  <c r="H390" i="1"/>
  <c r="L390" i="1" s="1"/>
  <c r="G397" i="1"/>
  <c r="G400" i="1"/>
  <c r="F1100" i="1"/>
  <c r="F1097" i="1"/>
  <c r="G1100" i="1"/>
  <c r="G1097" i="1"/>
  <c r="H1094" i="1"/>
  <c r="L1094" i="1" s="1"/>
  <c r="H1096" i="1"/>
  <c r="L1096" i="1" s="1"/>
  <c r="G1022" i="1"/>
  <c r="G1025" i="1"/>
  <c r="F1025" i="1"/>
  <c r="F1022" i="1"/>
  <c r="H1021" i="1"/>
  <c r="L1021" i="1" s="1"/>
  <c r="H1019" i="1"/>
  <c r="L1019" i="1" s="1"/>
  <c r="G933" i="1"/>
  <c r="G931" i="1"/>
  <c r="H927" i="1"/>
  <c r="L927" i="1" s="1"/>
  <c r="H930" i="1"/>
  <c r="L930" i="1" s="1"/>
  <c r="F933" i="1"/>
  <c r="F931" i="1"/>
  <c r="H562" i="1"/>
  <c r="L562" i="1" s="1"/>
  <c r="H560" i="1"/>
  <c r="L560" i="1" s="1"/>
  <c r="F566" i="1"/>
  <c r="F563" i="1"/>
  <c r="G563" i="1"/>
  <c r="G566" i="1"/>
  <c r="G255" i="1"/>
  <c r="G252" i="1"/>
  <c r="H251" i="1"/>
  <c r="L251" i="1" s="1"/>
  <c r="H249" i="1"/>
  <c r="L249" i="1" s="1"/>
  <c r="F255" i="1"/>
  <c r="F252" i="1"/>
  <c r="G169" i="1"/>
  <c r="G172" i="1"/>
  <c r="F169" i="1"/>
  <c r="F172" i="1"/>
  <c r="H171" i="1"/>
  <c r="L171" i="1" s="1"/>
  <c r="H163" i="1"/>
  <c r="L163" i="1" s="1"/>
  <c r="H178" i="1"/>
  <c r="L178" i="1" s="1"/>
  <c r="H182" i="1"/>
  <c r="L182" i="1" s="1"/>
  <c r="H167" i="1"/>
  <c r="L167" i="1" s="1"/>
  <c r="H168" i="1"/>
  <c r="L168" i="1" s="1"/>
  <c r="H827" i="1"/>
  <c r="H298" i="1"/>
  <c r="L298" i="1" s="1"/>
  <c r="H1067" i="1"/>
  <c r="L1067" i="1" s="1"/>
  <c r="L1049" i="1" s="1"/>
  <c r="L590" i="1"/>
  <c r="H222" i="1"/>
  <c r="L222" i="1" s="1"/>
  <c r="L216" i="1"/>
  <c r="H1149" i="1"/>
  <c r="L1149" i="1" s="1"/>
  <c r="L1124" i="1" s="1"/>
  <c r="G1149" i="1"/>
  <c r="F1149" i="1"/>
  <c r="F988" i="1"/>
  <c r="H988" i="1"/>
  <c r="L988" i="1" s="1"/>
  <c r="L961" i="1" s="1"/>
  <c r="G988" i="1"/>
  <c r="G531" i="1"/>
  <c r="F531" i="1"/>
  <c r="H531" i="1"/>
  <c r="L531" i="1" s="1"/>
  <c r="L513" i="1" s="1"/>
  <c r="H447" i="1"/>
  <c r="L447" i="1" s="1"/>
  <c r="G447" i="1"/>
  <c r="G449" i="1" s="1"/>
  <c r="G298" i="1"/>
  <c r="F298" i="1"/>
  <c r="F224" i="1"/>
  <c r="G224" i="1"/>
  <c r="H148" i="1"/>
  <c r="G148" i="1"/>
  <c r="G111" i="1" s="1"/>
  <c r="H144" i="1"/>
  <c r="G144" i="1"/>
  <c r="G110" i="1" s="1"/>
  <c r="H128" i="1"/>
  <c r="G128" i="1"/>
  <c r="G81" i="1" s="1"/>
  <c r="G83" i="1" s="1"/>
  <c r="H124" i="1"/>
  <c r="G124" i="1"/>
  <c r="G79" i="1" s="1"/>
  <c r="H52" i="1"/>
  <c r="G52" i="1"/>
  <c r="G61" i="1" s="1"/>
  <c r="G63" i="1" s="1"/>
  <c r="F52" i="1"/>
  <c r="F61" i="1" s="1"/>
  <c r="F63" i="1" s="1"/>
  <c r="A337" i="1" l="1"/>
  <c r="E336" i="1"/>
  <c r="E495" i="1"/>
  <c r="A496" i="1"/>
  <c r="H396" i="1"/>
  <c r="L396" i="1" s="1"/>
  <c r="A872" i="1"/>
  <c r="E872" i="1" s="1"/>
  <c r="A1105" i="1"/>
  <c r="E1105" i="1" s="1"/>
  <c r="A714" i="1"/>
  <c r="E714" i="1" s="1"/>
  <c r="A1031" i="1"/>
  <c r="E1031" i="1" s="1"/>
  <c r="A942" i="1"/>
  <c r="E942" i="1" s="1"/>
  <c r="A642" i="1"/>
  <c r="E642" i="1" s="1"/>
  <c r="A788" i="1"/>
  <c r="E788" i="1" s="1"/>
  <c r="A572" i="1"/>
  <c r="E572" i="1" s="1"/>
  <c r="H394" i="1"/>
  <c r="L394" i="1" s="1"/>
  <c r="G401" i="1"/>
  <c r="G404" i="1"/>
  <c r="G85" i="1"/>
  <c r="G84" i="1"/>
  <c r="L124" i="1"/>
  <c r="H79" i="1"/>
  <c r="L79" i="1" s="1"/>
  <c r="L144" i="1"/>
  <c r="H110" i="1"/>
  <c r="L110" i="1" s="1"/>
  <c r="L128" i="1"/>
  <c r="H81" i="1"/>
  <c r="L148" i="1"/>
  <c r="H111" i="1"/>
  <c r="L111" i="1" s="1"/>
  <c r="J80" i="1"/>
  <c r="G88" i="1"/>
  <c r="G99" i="1"/>
  <c r="G95" i="1"/>
  <c r="G1104" i="1"/>
  <c r="G1101" i="1"/>
  <c r="H1100" i="1"/>
  <c r="L1100" i="1" s="1"/>
  <c r="H1097" i="1"/>
  <c r="L1097" i="1" s="1"/>
  <c r="F1104" i="1"/>
  <c r="F1101" i="1"/>
  <c r="F1026" i="1"/>
  <c r="F1029" i="1"/>
  <c r="G1026" i="1"/>
  <c r="G1029" i="1"/>
  <c r="H1025" i="1"/>
  <c r="L1025" i="1" s="1"/>
  <c r="H1022" i="1"/>
  <c r="L1022" i="1" s="1"/>
  <c r="H933" i="1"/>
  <c r="L933" i="1" s="1"/>
  <c r="H931" i="1"/>
  <c r="L931" i="1" s="1"/>
  <c r="F934" i="1"/>
  <c r="F937" i="1"/>
  <c r="G937" i="1"/>
  <c r="G934" i="1"/>
  <c r="L827" i="1"/>
  <c r="L807" i="1" s="1"/>
  <c r="H566" i="1"/>
  <c r="L566" i="1" s="1"/>
  <c r="H563" i="1"/>
  <c r="L563" i="1" s="1"/>
  <c r="F570" i="1"/>
  <c r="F567" i="1"/>
  <c r="G567" i="1"/>
  <c r="G570" i="1"/>
  <c r="H255" i="1"/>
  <c r="L255" i="1" s="1"/>
  <c r="H252" i="1"/>
  <c r="L252" i="1" s="1"/>
  <c r="F259" i="1"/>
  <c r="F256" i="1"/>
  <c r="G256" i="1"/>
  <c r="G259" i="1"/>
  <c r="F175" i="1"/>
  <c r="F173" i="1"/>
  <c r="H172" i="1"/>
  <c r="L172" i="1" s="1"/>
  <c r="H169" i="1"/>
  <c r="L169" i="1" s="1"/>
  <c r="G173" i="1"/>
  <c r="G175" i="1"/>
  <c r="H300" i="1"/>
  <c r="L300" i="1" s="1"/>
  <c r="L279" i="1" s="1"/>
  <c r="H224" i="1"/>
  <c r="L224" i="1" s="1"/>
  <c r="L203" i="1" s="1"/>
  <c r="H61" i="1"/>
  <c r="L52" i="1"/>
  <c r="G451" i="1"/>
  <c r="H449" i="1"/>
  <c r="G300" i="1"/>
  <c r="F300" i="1"/>
  <c r="G131" i="1"/>
  <c r="G132" i="1" s="1"/>
  <c r="H131" i="1"/>
  <c r="L131" i="1" s="1"/>
  <c r="E496" i="1" l="1"/>
  <c r="A497" i="1"/>
  <c r="A338" i="1"/>
  <c r="E337" i="1"/>
  <c r="H400" i="1"/>
  <c r="L400" i="1" s="1"/>
  <c r="H397" i="1"/>
  <c r="L397" i="1" s="1"/>
  <c r="A789" i="1"/>
  <c r="E789" i="1" s="1"/>
  <c r="A1032" i="1"/>
  <c r="E1032" i="1" s="1"/>
  <c r="A1106" i="1"/>
  <c r="E1106" i="1" s="1"/>
  <c r="A573" i="1"/>
  <c r="E573" i="1" s="1"/>
  <c r="A643" i="1"/>
  <c r="E643" i="1" s="1"/>
  <c r="A943" i="1"/>
  <c r="E943" i="1" s="1"/>
  <c r="A715" i="1"/>
  <c r="E715" i="1" s="1"/>
  <c r="A873" i="1"/>
  <c r="E873" i="1" s="1"/>
  <c r="G409" i="1"/>
  <c r="G405" i="1"/>
  <c r="G407" i="1"/>
  <c r="H83" i="1"/>
  <c r="L83" i="1" s="1"/>
  <c r="L81" i="1"/>
  <c r="H80" i="1"/>
  <c r="L80" i="1" s="1"/>
  <c r="H99" i="1"/>
  <c r="L99" i="1" s="1"/>
  <c r="H88" i="1"/>
  <c r="L88" i="1" s="1"/>
  <c r="H95" i="1"/>
  <c r="L95" i="1" s="1"/>
  <c r="G89" i="1"/>
  <c r="G86" i="1"/>
  <c r="H1101" i="1"/>
  <c r="L1101" i="1" s="1"/>
  <c r="H1104" i="1"/>
  <c r="L1104" i="1" s="1"/>
  <c r="F1107" i="1"/>
  <c r="F1109" i="1"/>
  <c r="F1105" i="1"/>
  <c r="G1109" i="1"/>
  <c r="G1107" i="1"/>
  <c r="G1105" i="1"/>
  <c r="G1034" i="1"/>
  <c r="G1032" i="1"/>
  <c r="G1030" i="1"/>
  <c r="H1029" i="1"/>
  <c r="L1029" i="1" s="1"/>
  <c r="H1026" i="1"/>
  <c r="L1026" i="1" s="1"/>
  <c r="F1030" i="1"/>
  <c r="F1034" i="1"/>
  <c r="F1032" i="1"/>
  <c r="G941" i="1"/>
  <c r="G938" i="1"/>
  <c r="H937" i="1"/>
  <c r="L937" i="1" s="1"/>
  <c r="H934" i="1"/>
  <c r="L934" i="1" s="1"/>
  <c r="F938" i="1"/>
  <c r="F941" i="1"/>
  <c r="F575" i="1"/>
  <c r="F573" i="1"/>
  <c r="F571" i="1"/>
  <c r="G575" i="1"/>
  <c r="G573" i="1"/>
  <c r="G571" i="1"/>
  <c r="H567" i="1"/>
  <c r="L567" i="1" s="1"/>
  <c r="H570" i="1"/>
  <c r="L570" i="1" s="1"/>
  <c r="F264" i="1"/>
  <c r="F262" i="1"/>
  <c r="F260" i="1"/>
  <c r="G264" i="1"/>
  <c r="G260" i="1"/>
  <c r="G262" i="1"/>
  <c r="H259" i="1"/>
  <c r="L259" i="1" s="1"/>
  <c r="H256" i="1"/>
  <c r="L256" i="1" s="1"/>
  <c r="H175" i="1"/>
  <c r="L175" i="1" s="1"/>
  <c r="H173" i="1"/>
  <c r="L173" i="1" s="1"/>
  <c r="G176" i="1"/>
  <c r="G179" i="1"/>
  <c r="F179" i="1"/>
  <c r="F176" i="1"/>
  <c r="H63" i="1"/>
  <c r="L63" i="1" s="1"/>
  <c r="L61" i="1"/>
  <c r="H451" i="1"/>
  <c r="L451" i="1" s="1"/>
  <c r="L449" i="1"/>
  <c r="G136" i="1"/>
  <c r="H132" i="1"/>
  <c r="L132" i="1" s="1"/>
  <c r="H401" i="1" l="1"/>
  <c r="L401" i="1" s="1"/>
  <c r="A339" i="1"/>
  <c r="E338" i="1"/>
  <c r="E497" i="1"/>
  <c r="A498" i="1"/>
  <c r="H404" i="1"/>
  <c r="L404" i="1" s="1"/>
  <c r="A874" i="1"/>
  <c r="E874" i="1" s="1"/>
  <c r="A944" i="1"/>
  <c r="E944" i="1" s="1"/>
  <c r="A574" i="1"/>
  <c r="E574" i="1" s="1"/>
  <c r="A1033" i="1"/>
  <c r="E1033" i="1" s="1"/>
  <c r="A716" i="1"/>
  <c r="E716" i="1" s="1"/>
  <c r="A644" i="1"/>
  <c r="E644" i="1" s="1"/>
  <c r="A1107" i="1"/>
  <c r="E1107" i="1" s="1"/>
  <c r="A790" i="1"/>
  <c r="E790" i="1" s="1"/>
  <c r="G412" i="1"/>
  <c r="G410" i="1"/>
  <c r="G418" i="1"/>
  <c r="G419" i="1"/>
  <c r="H84" i="1"/>
  <c r="L84" i="1" s="1"/>
  <c r="H85" i="1"/>
  <c r="L85" i="1" s="1"/>
  <c r="G92" i="1"/>
  <c r="G90" i="1"/>
  <c r="F1119" i="1"/>
  <c r="F1118" i="1"/>
  <c r="F1110" i="1"/>
  <c r="G1119" i="1"/>
  <c r="G1118" i="1"/>
  <c r="G1110" i="1"/>
  <c r="H1105" i="1"/>
  <c r="L1105" i="1" s="1"/>
  <c r="H1109" i="1"/>
  <c r="L1109" i="1" s="1"/>
  <c r="H1107" i="1"/>
  <c r="L1107" i="1" s="1"/>
  <c r="G1044" i="1"/>
  <c r="G1043" i="1"/>
  <c r="G1035" i="1"/>
  <c r="H1034" i="1"/>
  <c r="L1034" i="1" s="1"/>
  <c r="H1032" i="1"/>
  <c r="L1032" i="1" s="1"/>
  <c r="H1030" i="1"/>
  <c r="L1030" i="1" s="1"/>
  <c r="F1035" i="1"/>
  <c r="F1044" i="1"/>
  <c r="F1043" i="1"/>
  <c r="H938" i="1"/>
  <c r="L938" i="1" s="1"/>
  <c r="H941" i="1"/>
  <c r="L941" i="1" s="1"/>
  <c r="F946" i="1"/>
  <c r="F942" i="1"/>
  <c r="F944" i="1"/>
  <c r="G946" i="1"/>
  <c r="G944" i="1"/>
  <c r="G942" i="1"/>
  <c r="F576" i="1"/>
  <c r="F585" i="1"/>
  <c r="F584" i="1"/>
  <c r="H575" i="1"/>
  <c r="L575" i="1" s="1"/>
  <c r="H573" i="1"/>
  <c r="L573" i="1" s="1"/>
  <c r="H571" i="1"/>
  <c r="L571" i="1" s="1"/>
  <c r="G584" i="1"/>
  <c r="G576" i="1"/>
  <c r="G585" i="1"/>
  <c r="F265" i="1"/>
  <c r="F274" i="1"/>
  <c r="F273" i="1"/>
  <c r="G274" i="1"/>
  <c r="G273" i="1"/>
  <c r="G265" i="1"/>
  <c r="H260" i="1"/>
  <c r="L260" i="1" s="1"/>
  <c r="H264" i="1"/>
  <c r="L264" i="1" s="1"/>
  <c r="H262" i="1"/>
  <c r="L262" i="1" s="1"/>
  <c r="F180" i="1"/>
  <c r="F183" i="1"/>
  <c r="G183" i="1"/>
  <c r="G180" i="1"/>
  <c r="H179" i="1"/>
  <c r="L179" i="1" s="1"/>
  <c r="H176" i="1"/>
  <c r="L176" i="1" s="1"/>
  <c r="L424" i="1"/>
  <c r="L48" i="1"/>
  <c r="G138" i="1"/>
  <c r="H136" i="1"/>
  <c r="L136" i="1" s="1"/>
  <c r="H407" i="1" l="1"/>
  <c r="L407" i="1" s="1"/>
  <c r="E498" i="1"/>
  <c r="A499" i="1"/>
  <c r="A340" i="1"/>
  <c r="E339" i="1"/>
  <c r="H409" i="1"/>
  <c r="L409" i="1" s="1"/>
  <c r="H405" i="1"/>
  <c r="L405" i="1" s="1"/>
  <c r="A791" i="1"/>
  <c r="E791" i="1" s="1"/>
  <c r="A645" i="1"/>
  <c r="E645" i="1" s="1"/>
  <c r="A1034" i="1"/>
  <c r="E1034" i="1" s="1"/>
  <c r="A945" i="1"/>
  <c r="E945" i="1" s="1"/>
  <c r="A1108" i="1"/>
  <c r="E1108" i="1" s="1"/>
  <c r="A717" i="1"/>
  <c r="E717" i="1" s="1"/>
  <c r="A575" i="1"/>
  <c r="E575" i="1" s="1"/>
  <c r="A875" i="1"/>
  <c r="E875" i="1" s="1"/>
  <c r="H86" i="1"/>
  <c r="L86" i="1" s="1"/>
  <c r="H89" i="1"/>
  <c r="L89" i="1" s="1"/>
  <c r="H412" i="1"/>
  <c r="G96" i="1"/>
  <c r="G93" i="1"/>
  <c r="H1110" i="1"/>
  <c r="L1110" i="1" s="1"/>
  <c r="H1119" i="1"/>
  <c r="L1119" i="1" s="1"/>
  <c r="H1118" i="1"/>
  <c r="L1118" i="1" s="1"/>
  <c r="H1044" i="1"/>
  <c r="L1044" i="1" s="1"/>
  <c r="H1043" i="1"/>
  <c r="L1043" i="1" s="1"/>
  <c r="H1035" i="1"/>
  <c r="L1035" i="1" s="1"/>
  <c r="G955" i="1"/>
  <c r="G947" i="1"/>
  <c r="G956" i="1"/>
  <c r="F955" i="1"/>
  <c r="F947" i="1"/>
  <c r="F956" i="1"/>
  <c r="H946" i="1"/>
  <c r="L946" i="1" s="1"/>
  <c r="H944" i="1"/>
  <c r="L944" i="1" s="1"/>
  <c r="H942" i="1"/>
  <c r="L942" i="1" s="1"/>
  <c r="H585" i="1"/>
  <c r="L585" i="1" s="1"/>
  <c r="H584" i="1"/>
  <c r="L584" i="1" s="1"/>
  <c r="H576" i="1"/>
  <c r="L576" i="1" s="1"/>
  <c r="H273" i="1"/>
  <c r="L273" i="1" s="1"/>
  <c r="H265" i="1"/>
  <c r="L265" i="1" s="1"/>
  <c r="H274" i="1"/>
  <c r="L274" i="1" s="1"/>
  <c r="G184" i="1"/>
  <c r="G188" i="1"/>
  <c r="G186" i="1"/>
  <c r="F186" i="1"/>
  <c r="F184" i="1"/>
  <c r="F188" i="1"/>
  <c r="H183" i="1"/>
  <c r="L183" i="1" s="1"/>
  <c r="H180" i="1"/>
  <c r="L180" i="1" s="1"/>
  <c r="G140" i="1"/>
  <c r="H138" i="1"/>
  <c r="L138" i="1" s="1"/>
  <c r="H410" i="1" l="1"/>
  <c r="L410" i="1" s="1"/>
  <c r="H418" i="1"/>
  <c r="L418" i="1" s="1"/>
  <c r="A341" i="1"/>
  <c r="E340" i="1"/>
  <c r="H419" i="1"/>
  <c r="L419" i="1" s="1"/>
  <c r="E499" i="1"/>
  <c r="A500" i="1"/>
  <c r="A876" i="1"/>
  <c r="E876" i="1" s="1"/>
  <c r="A718" i="1"/>
  <c r="E718" i="1" s="1"/>
  <c r="A946" i="1"/>
  <c r="E946" i="1" s="1"/>
  <c r="A646" i="1"/>
  <c r="E646" i="1" s="1"/>
  <c r="A576" i="1"/>
  <c r="E576" i="1" s="1"/>
  <c r="A1109" i="1"/>
  <c r="E1109" i="1" s="1"/>
  <c r="A1035" i="1"/>
  <c r="E1035" i="1" s="1"/>
  <c r="A792" i="1"/>
  <c r="E792" i="1" s="1"/>
  <c r="H92" i="1"/>
  <c r="L92" i="1" s="1"/>
  <c r="H90" i="1"/>
  <c r="L90" i="1" s="1"/>
  <c r="G100" i="1"/>
  <c r="G97" i="1"/>
  <c r="H93" i="1"/>
  <c r="L93" i="1" s="1"/>
  <c r="H947" i="1"/>
  <c r="L947" i="1" s="1"/>
  <c r="H956" i="1"/>
  <c r="L956" i="1" s="1"/>
  <c r="H955" i="1"/>
  <c r="L955" i="1" s="1"/>
  <c r="F198" i="1"/>
  <c r="F197" i="1"/>
  <c r="F189" i="1"/>
  <c r="H184" i="1"/>
  <c r="L184" i="1" s="1"/>
  <c r="H188" i="1"/>
  <c r="L188" i="1" s="1"/>
  <c r="H186" i="1"/>
  <c r="L186" i="1" s="1"/>
  <c r="G198" i="1"/>
  <c r="G197" i="1"/>
  <c r="G189" i="1"/>
  <c r="H140" i="1"/>
  <c r="L140" i="1" s="1"/>
  <c r="L120" i="1" s="1"/>
  <c r="E500" i="1" l="1"/>
  <c r="A501" i="1"/>
  <c r="A342" i="1"/>
  <c r="E341" i="1"/>
  <c r="A793" i="1"/>
  <c r="E793" i="1" s="1"/>
  <c r="A1110" i="1"/>
  <c r="E1110" i="1" s="1"/>
  <c r="H96" i="1"/>
  <c r="H100" i="1" s="1"/>
  <c r="L100" i="1" s="1"/>
  <c r="A647" i="1"/>
  <c r="E647" i="1" s="1"/>
  <c r="A719" i="1"/>
  <c r="E719" i="1" s="1"/>
  <c r="A1036" i="1"/>
  <c r="E1036" i="1" s="1"/>
  <c r="A577" i="1"/>
  <c r="E577" i="1" s="1"/>
  <c r="A947" i="1"/>
  <c r="E947" i="1" s="1"/>
  <c r="A877" i="1"/>
  <c r="E877" i="1" s="1"/>
  <c r="G101" i="1"/>
  <c r="G103" i="1"/>
  <c r="G105" i="1"/>
  <c r="H97" i="1"/>
  <c r="L97" i="1" s="1"/>
  <c r="H197" i="1"/>
  <c r="L197" i="1" s="1"/>
  <c r="H189" i="1"/>
  <c r="L189" i="1" s="1"/>
  <c r="H198" i="1"/>
  <c r="L198" i="1" s="1"/>
  <c r="A343" i="1" l="1"/>
  <c r="E342" i="1"/>
  <c r="E501" i="1"/>
  <c r="A502" i="1"/>
  <c r="A878" i="1"/>
  <c r="E878" i="1" s="1"/>
  <c r="A578" i="1"/>
  <c r="E578" i="1" s="1"/>
  <c r="A720" i="1"/>
  <c r="E720" i="1" s="1"/>
  <c r="A1111" i="1"/>
  <c r="E1111" i="1" s="1"/>
  <c r="A948" i="1"/>
  <c r="E948" i="1" s="1"/>
  <c r="A1037" i="1"/>
  <c r="E1037" i="1" s="1"/>
  <c r="A648" i="1"/>
  <c r="E648" i="1" s="1"/>
  <c r="L96" i="1"/>
  <c r="A794" i="1"/>
  <c r="E794" i="1" s="1"/>
  <c r="H105" i="1"/>
  <c r="L105" i="1" s="1"/>
  <c r="H103" i="1"/>
  <c r="L103" i="1" s="1"/>
  <c r="H101" i="1"/>
  <c r="L101" i="1" s="1"/>
  <c r="G108" i="1"/>
  <c r="G115" i="1"/>
  <c r="G114" i="1"/>
  <c r="G106" i="1"/>
  <c r="E502" i="1" l="1"/>
  <c r="A503" i="1"/>
  <c r="A344" i="1"/>
  <c r="E343" i="1"/>
  <c r="A795" i="1"/>
  <c r="E795" i="1" s="1"/>
  <c r="A949" i="1"/>
  <c r="E949" i="1" s="1"/>
  <c r="A649" i="1"/>
  <c r="E649" i="1" s="1"/>
  <c r="A721" i="1"/>
  <c r="E721" i="1" s="1"/>
  <c r="A1038" i="1"/>
  <c r="E1038" i="1" s="1"/>
  <c r="A1112" i="1"/>
  <c r="E1112" i="1" s="1"/>
  <c r="A579" i="1"/>
  <c r="E579" i="1" s="1"/>
  <c r="A879" i="1"/>
  <c r="E879" i="1" s="1"/>
  <c r="H108" i="1"/>
  <c r="H115" i="1"/>
  <c r="L115" i="1" s="1"/>
  <c r="H114" i="1"/>
  <c r="L114" i="1" s="1"/>
  <c r="H106" i="1"/>
  <c r="L106" i="1" s="1"/>
  <c r="A345" i="1" l="1"/>
  <c r="E344" i="1"/>
  <c r="E503" i="1"/>
  <c r="A504" i="1"/>
  <c r="A796" i="1"/>
  <c r="E796" i="1" s="1"/>
  <c r="A880" i="1"/>
  <c r="E880" i="1" s="1"/>
  <c r="A1113" i="1"/>
  <c r="E1113" i="1" s="1"/>
  <c r="A722" i="1"/>
  <c r="E722" i="1" s="1"/>
  <c r="A950" i="1"/>
  <c r="E950" i="1" s="1"/>
  <c r="A580" i="1"/>
  <c r="E580" i="1" s="1"/>
  <c r="A1039" i="1"/>
  <c r="E1039" i="1" s="1"/>
  <c r="A650" i="1"/>
  <c r="E650" i="1" s="1"/>
  <c r="E504" i="1" l="1"/>
  <c r="A505" i="1"/>
  <c r="A346" i="1"/>
  <c r="E345" i="1"/>
  <c r="A581" i="1"/>
  <c r="E581" i="1" s="1"/>
  <c r="A723" i="1"/>
  <c r="E723" i="1" s="1"/>
  <c r="A881" i="1"/>
  <c r="E881" i="1" s="1"/>
  <c r="A651" i="1"/>
  <c r="E651" i="1" s="1"/>
  <c r="A1040" i="1"/>
  <c r="E1040" i="1" s="1"/>
  <c r="A951" i="1"/>
  <c r="E951" i="1" s="1"/>
  <c r="A1114" i="1"/>
  <c r="E1114" i="1" s="1"/>
  <c r="A797" i="1"/>
  <c r="E797" i="1" s="1"/>
  <c r="A347" i="1" l="1"/>
  <c r="E346" i="1"/>
  <c r="E505" i="1"/>
  <c r="A506" i="1"/>
  <c r="A798" i="1"/>
  <c r="E798" i="1" s="1"/>
  <c r="A952" i="1"/>
  <c r="E952" i="1" s="1"/>
  <c r="A652" i="1"/>
  <c r="E652" i="1" s="1"/>
  <c r="A724" i="1"/>
  <c r="E724" i="1" s="1"/>
  <c r="A1115" i="1"/>
  <c r="E1115" i="1" s="1"/>
  <c r="A1041" i="1"/>
  <c r="E1041" i="1" s="1"/>
  <c r="A882" i="1"/>
  <c r="E882" i="1" s="1"/>
  <c r="A582" i="1"/>
  <c r="E582" i="1" s="1"/>
  <c r="E506" i="1" l="1"/>
  <c r="A507" i="1"/>
  <c r="A348" i="1"/>
  <c r="E347" i="1"/>
  <c r="A583" i="1"/>
  <c r="E583" i="1" s="1"/>
  <c r="A1042" i="1"/>
  <c r="E1042" i="1" s="1"/>
  <c r="A725" i="1"/>
  <c r="E725" i="1" s="1"/>
  <c r="A953" i="1"/>
  <c r="E953" i="1" s="1"/>
  <c r="A883" i="1"/>
  <c r="E883" i="1" s="1"/>
  <c r="A1116" i="1"/>
  <c r="E1116" i="1" s="1"/>
  <c r="A653" i="1"/>
  <c r="E653" i="1" s="1"/>
  <c r="A799" i="1"/>
  <c r="E799" i="1" s="1"/>
  <c r="A349" i="1" l="1"/>
  <c r="E348" i="1"/>
  <c r="E507" i="1"/>
  <c r="A508" i="1"/>
  <c r="E508" i="1" s="1"/>
  <c r="A654" i="1"/>
  <c r="E654" i="1" s="1"/>
  <c r="A884" i="1"/>
  <c r="E884" i="1" s="1"/>
  <c r="A726" i="1"/>
  <c r="E726" i="1" s="1"/>
  <c r="A584" i="1"/>
  <c r="E584" i="1" s="1"/>
  <c r="A800" i="1"/>
  <c r="E800" i="1" s="1"/>
  <c r="A1117" i="1"/>
  <c r="E1117" i="1" s="1"/>
  <c r="A954" i="1"/>
  <c r="E954" i="1" s="1"/>
  <c r="A1043" i="1"/>
  <c r="E1043" i="1" s="1"/>
  <c r="A350" i="1" l="1"/>
  <c r="E349" i="1"/>
  <c r="A955" i="1"/>
  <c r="E955" i="1" s="1"/>
  <c r="A801" i="1"/>
  <c r="E801" i="1" s="1"/>
  <c r="A727" i="1"/>
  <c r="E727" i="1" s="1"/>
  <c r="A655" i="1"/>
  <c r="E655" i="1" s="1"/>
  <c r="A1044" i="1"/>
  <c r="E1044" i="1" s="1"/>
  <c r="A1118" i="1"/>
  <c r="E1118" i="1" s="1"/>
  <c r="A585" i="1"/>
  <c r="E585" i="1" s="1"/>
  <c r="A885" i="1"/>
  <c r="E885" i="1" s="1"/>
  <c r="A351" i="1" l="1"/>
  <c r="E351" i="1" s="1"/>
  <c r="E350" i="1"/>
  <c r="A728" i="1"/>
  <c r="E728" i="1" s="1"/>
  <c r="A956" i="1"/>
  <c r="E956" i="1" s="1"/>
  <c r="A886" i="1"/>
  <c r="E886" i="1" s="1"/>
  <c r="A1119" i="1"/>
  <c r="E1119" i="1" s="1"/>
  <c r="A656" i="1"/>
  <c r="E656" i="1" s="1"/>
  <c r="A802" i="1"/>
  <c r="E802" i="1" s="1"/>
</calcChain>
</file>

<file path=xl/comments1.xml><?xml version="1.0" encoding="utf-8"?>
<comments xmlns="http://schemas.openxmlformats.org/spreadsheetml/2006/main">
  <authors>
    <author>Frankie Monzon</author>
  </authors>
  <commentList>
    <comment ref="J126" authorId="0">
      <text>
        <r>
          <rPr>
            <b/>
            <sz val="9"/>
            <color indexed="81"/>
            <rFont val="Tahoma"/>
            <family val="2"/>
          </rPr>
          <t>Frankie Monzon:</t>
        </r>
        <r>
          <rPr>
            <sz val="9"/>
            <color indexed="81"/>
            <rFont val="Tahoma"/>
            <family val="2"/>
          </rPr>
          <t xml:space="preserve">
Linear regression of product costs to product revenue, since 1Q 2014</t>
        </r>
      </text>
    </comment>
    <comment ref="J127" authorId="0">
      <text>
        <r>
          <rPr>
            <b/>
            <sz val="9"/>
            <color indexed="81"/>
            <rFont val="Tahoma"/>
            <family val="2"/>
          </rPr>
          <t>Frankie Monzon:</t>
        </r>
        <r>
          <rPr>
            <sz val="9"/>
            <color indexed="81"/>
            <rFont val="Tahoma"/>
            <family val="2"/>
          </rPr>
          <t xml:space="preserve">
Linear regression of service costs to service revenue, since 1Q 2014</t>
        </r>
      </text>
    </comment>
  </commentList>
</comments>
</file>

<file path=xl/sharedStrings.xml><?xml version="1.0" encoding="utf-8"?>
<sst xmlns="http://schemas.openxmlformats.org/spreadsheetml/2006/main" count="1179" uniqueCount="390">
  <si>
    <t>EW</t>
  </si>
  <si>
    <t>CONSOLIDATED STATEMENTS OF OPERATIONS - USD ($)</t>
  </si>
  <si>
    <t>Dec. 31, 2018</t>
  </si>
  <si>
    <t>Dec. 31, 2017</t>
  </si>
  <si>
    <t>Dec. 31, 2016</t>
  </si>
  <si>
    <t>Income Statement [Abstract]</t>
  </si>
  <si>
    <t>Net sales</t>
  </si>
  <si>
    <t>Cost of sales</t>
  </si>
  <si>
    <t>Gross profit</t>
  </si>
  <si>
    <t>Selling, general, and administrative expenses</t>
  </si>
  <si>
    <t>Research and development expenses</t>
  </si>
  <si>
    <t>Change in fair value of contingent consideration liabilities</t>
  </si>
  <si>
    <t>Other operating expenses</t>
  </si>
  <si>
    <t>Interest expense</t>
  </si>
  <si>
    <t>Interest income</t>
  </si>
  <si>
    <t>Income before provision for income taxes</t>
  </si>
  <si>
    <t>Provision for income taxes (Note 16)</t>
  </si>
  <si>
    <t>Net income</t>
  </si>
  <si>
    <t>Earnings per share:</t>
  </si>
  <si>
    <t>Basic (in dollars per share)</t>
  </si>
  <si>
    <t>Diluted (in dollars per share)</t>
  </si>
  <si>
    <t>Weighted-average number of common shares outstanding:</t>
  </si>
  <si>
    <t>Basic (in shares)</t>
  </si>
  <si>
    <t>Diluted (in shares)</t>
  </si>
  <si>
    <t>Depreciation and amortization</t>
  </si>
  <si>
    <t>Other</t>
  </si>
  <si>
    <t>Capital expenditures</t>
  </si>
  <si>
    <t>A</t>
  </si>
  <si>
    <t>REGN</t>
  </si>
  <si>
    <t>UHS</t>
  </si>
  <si>
    <t>MRK</t>
  </si>
  <si>
    <t>VAR</t>
  </si>
  <si>
    <t>XRAY</t>
  </si>
  <si>
    <t>BMY</t>
  </si>
  <si>
    <t>ABBV</t>
  </si>
  <si>
    <t>JNJ</t>
  </si>
  <si>
    <t>ABT</t>
  </si>
  <si>
    <t>LLY</t>
  </si>
  <si>
    <t>ANTM</t>
  </si>
  <si>
    <t>ISRG</t>
  </si>
  <si>
    <t>BIIB</t>
  </si>
  <si>
    <t>CONSOLIDATED STATEMENTS OF OPERATIONS AND COMPREHENSIVE INCOME - USD ($)</t>
  </si>
  <si>
    <t>Revenues:</t>
  </si>
  <si>
    <t>Revenues</t>
  </si>
  <si>
    <t>Expenses:</t>
  </si>
  <si>
    <t>Research and development</t>
  </si>
  <si>
    <t>Selling, general, and administrative</t>
  </si>
  <si>
    <t>Total expenses</t>
  </si>
  <si>
    <t>Income from operations</t>
  </si>
  <si>
    <t>Other income (expense):</t>
  </si>
  <si>
    <t>Other income (expense), net</t>
  </si>
  <si>
    <t>Total other income (expense)</t>
  </si>
  <si>
    <t>Income before income taxes</t>
  </si>
  <si>
    <t>Income tax expense</t>
  </si>
  <si>
    <t>Weighted average shares outstanding - basic (in shares)</t>
  </si>
  <si>
    <t>Weighted average shares outstanding - diluted (in shares)</t>
  </si>
  <si>
    <t>Cost of goods sold</t>
  </si>
  <si>
    <t>Consolidated Statements of Operations - USD ($)</t>
  </si>
  <si>
    <t>Revenue</t>
  </si>
  <si>
    <t>Costs, expenses, and other:</t>
  </si>
  <si>
    <t>Marketing, selling, and administrative</t>
  </si>
  <si>
    <t>Cost of sales, operating expenses, and other-net</t>
  </si>
  <si>
    <t>Net income (loss)</t>
  </si>
  <si>
    <t>Earnings (loss) per share:</t>
  </si>
  <si>
    <t>Shares used in calculation of earnings (loss) per share:</t>
  </si>
  <si>
    <t>Basic (shares)</t>
  </si>
  <si>
    <t>Diluted (shares)</t>
  </si>
  <si>
    <t>Acquired in-process research and development</t>
  </si>
  <si>
    <t>Purchases of property and equipment</t>
  </si>
  <si>
    <t>Consolidated Statements Of Income - USD ($)</t>
  </si>
  <si>
    <t>Revenue:</t>
  </si>
  <si>
    <t>Total revenue</t>
  </si>
  <si>
    <t>Cost of revenue:</t>
  </si>
  <si>
    <t>Total cost of revenue</t>
  </si>
  <si>
    <t>Operating expenses:</t>
  </si>
  <si>
    <t>Selling, general and administrative</t>
  </si>
  <si>
    <t>Total operating expenses</t>
  </si>
  <si>
    <t>Interest and other income, net</t>
  </si>
  <si>
    <t>Income before taxes</t>
  </si>
  <si>
    <t>Depreciation and loss on disposal of property, plant, and equipment, net</t>
  </si>
  <si>
    <t>Amortization of intangible assets</t>
  </si>
  <si>
    <t>Purchase of property, plant and equipment, and intellectual property</t>
  </si>
  <si>
    <t>Consolidated Statements of Income - USD ($)</t>
  </si>
  <si>
    <t>Total Revenues</t>
  </si>
  <si>
    <t>Cost and expenses:</t>
  </si>
  <si>
    <t>Collaboration profit (loss) sharing</t>
  </si>
  <si>
    <t>Restructuring charges</t>
  </si>
  <si>
    <t>Total cost and expenses</t>
  </si>
  <si>
    <t>Income before income tax expense and equity in loss of investee, net of tax</t>
  </si>
  <si>
    <t>Equity in loss of investee, net of tax</t>
  </si>
  <si>
    <t>Net income (loss) attributable to noncontrolling interests, net of tax</t>
  </si>
  <si>
    <t>Net income attributable to Biogen Inc.</t>
  </si>
  <si>
    <t>Net income per share:</t>
  </si>
  <si>
    <t>Basic earnings per share attributable to Biogen Inc.</t>
  </si>
  <si>
    <t>Diluted earnings per share attributable to Biogen Inc.</t>
  </si>
  <si>
    <t>Weighted-average shares used in calculating:</t>
  </si>
  <si>
    <t>Product, net</t>
  </si>
  <si>
    <t>Other revenue</t>
  </si>
  <si>
    <t>Purchases of property, plant and equipment</t>
  </si>
  <si>
    <t>Dec. 28, 2018</t>
  </si>
  <si>
    <t>Dec. 29, 2017</t>
  </si>
  <si>
    <t>Total revenues</t>
  </si>
  <si>
    <t>Cost of revenues:</t>
  </si>
  <si>
    <t>Total cost of revenues</t>
  </si>
  <si>
    <t>Gross margin</t>
  </si>
  <si>
    <t>Operating earnings</t>
  </si>
  <si>
    <t>Taxes on earnings</t>
  </si>
  <si>
    <t>Less: Net earnings attributable to noncontrolling interests</t>
  </si>
  <si>
    <t>Shares used in the calculation of net earnings per share:</t>
  </si>
  <si>
    <t>Depreciation</t>
  </si>
  <si>
    <t>Consolidated Statements of Earnings - USD ($)</t>
  </si>
  <si>
    <t>Dec. 30, 2018</t>
  </si>
  <si>
    <t>Jan. 01, 2017</t>
  </si>
  <si>
    <t>Sales to customers</t>
  </si>
  <si>
    <t>Cost of products sold</t>
  </si>
  <si>
    <t>Selling, marketing and administrative expenses</t>
  </si>
  <si>
    <t>Research and development expense</t>
  </si>
  <si>
    <t>In-process research and development</t>
  </si>
  <si>
    <t>Interest expense, net of portion capitalized (Note 4)</t>
  </si>
  <si>
    <t>Other (income) expense, net</t>
  </si>
  <si>
    <t>Restructuring (Note 22)</t>
  </si>
  <si>
    <t>Earnings before provision for taxes on income</t>
  </si>
  <si>
    <t>Provision for taxes on income (Note 8)</t>
  </si>
  <si>
    <t>Net earnings</t>
  </si>
  <si>
    <t>Net earnings per share (Notes 1 and 15)</t>
  </si>
  <si>
    <t>Average shares outstanding (Notes 1 and 15)</t>
  </si>
  <si>
    <t>Depreciation and amortization of property and intangibles</t>
  </si>
  <si>
    <t>Additions to property, plant and equipment</t>
  </si>
  <si>
    <t>Premiums</t>
  </si>
  <si>
    <t>Total operating revenue</t>
  </si>
  <si>
    <t>Net investment income</t>
  </si>
  <si>
    <t>Other than temporary impairment losses on investments:</t>
  </si>
  <si>
    <t>Total other-than-temporary impairment losses on investments</t>
  </si>
  <si>
    <t>Portion of other-than-temporary impairment losses recognized in other comprehensive income</t>
  </si>
  <si>
    <t>Other-than-temporary impairment losses recognized in income</t>
  </si>
  <si>
    <t>Expenses</t>
  </si>
  <si>
    <t>Benefit expense</t>
  </si>
  <si>
    <t>Amortization of other intangible assets</t>
  </si>
  <si>
    <t>Basic net income per share</t>
  </si>
  <si>
    <t>Diluted net income per share</t>
  </si>
  <si>
    <t>Dividends per share</t>
  </si>
  <si>
    <t>Amortization, net of accretion</t>
  </si>
  <si>
    <t>Depreciation expense</t>
  </si>
  <si>
    <t>Net revenues before provision for doubtful accounts</t>
  </si>
  <si>
    <t>Less: Provision for doubtful accounts</t>
  </si>
  <si>
    <t>Net revenues</t>
  </si>
  <si>
    <t>Operating charges:</t>
  </si>
  <si>
    <t>Salaries, wages and benefits</t>
  </si>
  <si>
    <t>Supplies expense</t>
  </si>
  <si>
    <t>Lease and rental expense</t>
  </si>
  <si>
    <t>Electronic health records incentive income</t>
  </si>
  <si>
    <t>Operating Expenses, Total</t>
  </si>
  <si>
    <t>Interest expense, net</t>
  </si>
  <si>
    <t>Provision for income taxes</t>
  </si>
  <si>
    <t>Less: Net income attributable to noncontrolling interests</t>
  </si>
  <si>
    <t>Net income attributable to UHS</t>
  </si>
  <si>
    <t>Basic earnings per share attributable to UHS</t>
  </si>
  <si>
    <t>Diluted earnings per share attributable to UHS</t>
  </si>
  <si>
    <t>Weighted average number of common shares—basic</t>
  </si>
  <si>
    <t>Add: Other share equivalents</t>
  </si>
  <si>
    <t>Weighted average number of common shares and equivalents—diluted</t>
  </si>
  <si>
    <t>Depreciation &amp; amortization</t>
  </si>
  <si>
    <t>Property and equipment additions, net of disposals</t>
  </si>
  <si>
    <t>Consolidated Statement of Income - USD ($)</t>
  </si>
  <si>
    <t>Sales</t>
  </si>
  <si>
    <t>Costs, Expenses and Other</t>
  </si>
  <si>
    <t>Restructuring costs</t>
  </si>
  <si>
    <t>Total Costs, Expenses and Other</t>
  </si>
  <si>
    <t>Income Before Taxes</t>
  </si>
  <si>
    <t>Taxes on Income</t>
  </si>
  <si>
    <t>Net Income</t>
  </si>
  <si>
    <t>Net Income Attributable to Merck &amp; Co., Inc.</t>
  </si>
  <si>
    <t>Basic Earnings per Common Share Attributable to Merck &amp; Co., Inc. Common Shareholders (in dollars per share)</t>
  </si>
  <si>
    <t>Earnings per Common Share Assuming Dilution Attributable to Merck &amp; Co., Inc. Common Shareholders (in dollars per share)</t>
  </si>
  <si>
    <t>CONSOLIDATED STATEMENTS OF EARNINGS - USD ($)</t>
  </si>
  <si>
    <t>Marketing, selling and administrative</t>
  </si>
  <si>
    <t>Total Expenses</t>
  </si>
  <si>
    <t>Earnings Before Income Taxes</t>
  </si>
  <si>
    <t>Net Earnings</t>
  </si>
  <si>
    <t>Net Income (Loss) Attributable to Noncontrolling Interest</t>
  </si>
  <si>
    <t>Net Earnings Attributable to BMS</t>
  </si>
  <si>
    <t>Earnings per Common Share</t>
  </si>
  <si>
    <t>Basic Earnings Per Common Share Attributable to BMS</t>
  </si>
  <si>
    <t>Diluted Earnings per Common Share Attributable to BMS</t>
  </si>
  <si>
    <t>Depreciation and amortization, net</t>
  </si>
  <si>
    <t>Total operating costs and expenses</t>
  </si>
  <si>
    <t>Net foreign exchange loss</t>
  </si>
  <si>
    <t>Per share data</t>
  </si>
  <si>
    <t>Basic earnings per share (in dollars per share)</t>
  </si>
  <si>
    <t>Diluted earnings per share (in dollars per share)</t>
  </si>
  <si>
    <t>Weighted-average basic shares outstanding (in shares)</t>
  </si>
  <si>
    <t>Weighted-average diluted shares outstanding (in shares)</t>
  </si>
  <si>
    <t>Acquisitions of property and equipment</t>
  </si>
  <si>
    <t>Consolidated Statement of Earnings - USD ($)</t>
  </si>
  <si>
    <t>Consolidated Statement of Earnings</t>
  </si>
  <si>
    <t>Net Sales</t>
  </si>
  <si>
    <t>Cost of products sold, excluding amortization of intangible assets</t>
  </si>
  <si>
    <t>Total Operating Cost and Expenses</t>
  </si>
  <si>
    <t>Operating Earnings</t>
  </si>
  <si>
    <t>Net foreign exchange (gain) loss</t>
  </si>
  <si>
    <t>Earnings from Continuing Operations</t>
  </si>
  <si>
    <t>Earnings from Discontinued Operations, net of taxes</t>
  </si>
  <si>
    <t>Gain on sale of Discontinued Operations, net of taxes</t>
  </si>
  <si>
    <t>Net Earnings from Discontinued Operations, net of taxes</t>
  </si>
  <si>
    <t>Basic Earnings Per Common Share</t>
  </si>
  <si>
    <t>Continuing Operations (in dollars per share)</t>
  </si>
  <si>
    <t>Discontinued Operations (in dollars per share)</t>
  </si>
  <si>
    <t>Net Earnings (in dollars per share)</t>
  </si>
  <si>
    <t>Diluted Earnings Per Common Share</t>
  </si>
  <si>
    <t>Average Number of Common Shares Outstanding Used for Basic Earnings Per Common Share (in shares)</t>
  </si>
  <si>
    <t>Outstanding Common Stock Options Having No Dilutive Effect (in shares)</t>
  </si>
  <si>
    <t>3 Months Ended</t>
  </si>
  <si>
    <t>Jan. 31, 2019</t>
  </si>
  <si>
    <t>Jan. 31, 2018</t>
  </si>
  <si>
    <t>Net revenue:</t>
  </si>
  <si>
    <t>Costs and expenses:</t>
  </si>
  <si>
    <t>Total costs and expenses</t>
  </si>
  <si>
    <t>Provision (benefit) for income taxes</t>
  </si>
  <si>
    <t>Investments in property, plant and equipment</t>
  </si>
  <si>
    <t>Selling, general and administrative expenses</t>
  </si>
  <si>
    <t>Goodwill impairment</t>
  </si>
  <si>
    <t>Restructuring and other costs</t>
  </si>
  <si>
    <t>Operating (loss) income</t>
  </si>
  <si>
    <t>Other income and expenses:</t>
  </si>
  <si>
    <t>Other expense (income), net</t>
  </si>
  <si>
    <t>(Loss) income before income taxes</t>
  </si>
  <si>
    <t>Net (loss) income</t>
  </si>
  <si>
    <t>Net (loss) income attributable to Dentsply Sirona</t>
  </si>
  <si>
    <t>Net (loss) income per common share attributable to Dentsply Sirona:</t>
  </si>
  <si>
    <t>Weighted average common shares outstanding:</t>
  </si>
  <si>
    <t>(Values in Millions, USD, Except per share Data)</t>
  </si>
  <si>
    <t>Intellectual property litigation (income) expenses, net</t>
  </si>
  <si>
    <t>Special charges, net</t>
  </si>
  <si>
    <t>Other expense, net (Note 15)</t>
  </si>
  <si>
    <t>CONSOLIDATED STATEMENT OF OPERATIONS - USD ($)</t>
  </si>
  <si>
    <t>Products</t>
  </si>
  <si>
    <t>Services and other</t>
  </si>
  <si>
    <t>Total net revenue</t>
  </si>
  <si>
    <t>Cost of products</t>
  </si>
  <si>
    <t>Cost of services and other</t>
  </si>
  <si>
    <t>Total costs</t>
  </si>
  <si>
    <t>Income from continuing operations before taxes</t>
  </si>
  <si>
    <t>Income from continuing operations</t>
  </si>
  <si>
    <t>Income (loss) from discontinued operations, net of tax expense (benefit)</t>
  </si>
  <si>
    <t>Net income per share - basic:</t>
  </si>
  <si>
    <t>Income (loss) from discontinued operations</t>
  </si>
  <si>
    <t>Net income per share - basic</t>
  </si>
  <si>
    <t>Net income per share - diluted:</t>
  </si>
  <si>
    <t>Net income per share - diluted</t>
  </si>
  <si>
    <t>Weighted Averge Shares Used In Computing Net Income Per Share</t>
  </si>
  <si>
    <t>Cash dividends declared per common share</t>
  </si>
  <si>
    <t>Net product sales</t>
  </si>
  <si>
    <t>Sanofi collaboration revenue</t>
  </si>
  <si>
    <t>Bayer collaboration revenue</t>
  </si>
  <si>
    <t>Technology licensing and other revenue</t>
  </si>
  <si>
    <t>Cost of collaboration and contract manufacturing</t>
  </si>
  <si>
    <t>Income (loss) from operations</t>
  </si>
  <si>
    <t>Investment and other income (expense), net</t>
  </si>
  <si>
    <t>Loss on Extinguishment of Debt</t>
  </si>
  <si>
    <t>Income (loss) before income taxes</t>
  </si>
  <si>
    <t>Income tax (expense) benefit</t>
  </si>
  <si>
    <t>Net income (loss) per share - basic</t>
  </si>
  <si>
    <t>Net income (loss) per share - diluted</t>
  </si>
  <si>
    <t>Weighted average shares outstanding - basic</t>
  </si>
  <si>
    <t>Weighted average shares outstanding - diluted</t>
  </si>
  <si>
    <t>Transaction costs</t>
  </si>
  <si>
    <t>Costs related to extinguishment of debt</t>
  </si>
  <si>
    <t>Materials and production</t>
  </si>
  <si>
    <t>Marketing and administrative</t>
  </si>
  <si>
    <t>Equity income from affiliates</t>
  </si>
  <si>
    <t>Less: Net Income Attributable to Noncontrolling Interests</t>
  </si>
  <si>
    <t>Product Revenues</t>
  </si>
  <si>
    <t>Service Revenues</t>
  </si>
  <si>
    <t>Product Costs</t>
  </si>
  <si>
    <t>Service Costs</t>
  </si>
  <si>
    <t>Impairment charges</t>
  </si>
  <si>
    <t>Separation costs</t>
  </si>
  <si>
    <t>Litigation settlement</t>
  </si>
  <si>
    <t>Acquisition-related expenses</t>
  </si>
  <si>
    <t>Earnings from continuing operations before taxes</t>
  </si>
  <si>
    <t>Net earnings from continuing operations</t>
  </si>
  <si>
    <t>Net earnings (loss) from discontinued operations</t>
  </si>
  <si>
    <t>Net (loss) earnings attributable to Varian</t>
  </si>
  <si>
    <t>Net earnings (loss) per share - basic</t>
  </si>
  <si>
    <t>Continuing operations (in dollars per share)</t>
  </si>
  <si>
    <t>Discontinued operations (in dollars per share)</t>
  </si>
  <si>
    <t>Net earnings (loss) per share - diluted</t>
  </si>
  <si>
    <t>Net earnings per share - diluted (in dollars per share)</t>
  </si>
  <si>
    <t>(Benefit) provision for income taxes</t>
  </si>
  <si>
    <t>Equity in net income (loss) of unconsolidated affilated company</t>
  </si>
  <si>
    <t>Less: Net (loss) income attributable to noncontrolling interests</t>
  </si>
  <si>
    <t>Dividends declared per common share (in dollars per share)</t>
  </si>
  <si>
    <t>Alliance and other revenues</t>
  </si>
  <si>
    <t>Advertising and product promotion</t>
  </si>
  <si>
    <t>Impairment charge for BMS-986094 intangible asset</t>
  </si>
  <si>
    <t>Other (income)/expense</t>
  </si>
  <si>
    <t>Provision for/(Benefit from) Income Taxes</t>
  </si>
  <si>
    <t>Other expense</t>
  </si>
  <si>
    <t>Earnings before income tax expense</t>
  </si>
  <si>
    <t>Cash dividends declared per common share (in dollars per share)</t>
  </si>
  <si>
    <t>Add: Net loss attributable to noncontrolling interest</t>
  </si>
  <si>
    <t>Net earnings attributable to Johnson &amp; Johnson</t>
  </si>
  <si>
    <t>Cash dividends per share (in dollars per share)</t>
  </si>
  <si>
    <t>Net loss on extinguishment of debt</t>
  </si>
  <si>
    <t>Earnings (loss) from Continuing Operations before Taxes</t>
  </si>
  <si>
    <t>Taxes on Earnings (loss) from Continuing Operations</t>
  </si>
  <si>
    <t>Dilutive Common Stock Options and Awards (in shares)</t>
  </si>
  <si>
    <t>Average Number of Common Shares Outstanding Plus Dilutive Common Stock Options and Awards (in shares)</t>
  </si>
  <si>
    <t>Asset impairment, restructuring, and other special charges</t>
  </si>
  <si>
    <t>Income taxes</t>
  </si>
  <si>
    <t>Basic earnings per share</t>
  </si>
  <si>
    <t>Diluted earnings per share</t>
  </si>
  <si>
    <t>Administrative fees</t>
  </si>
  <si>
    <t>Net realized gains on financial instruments</t>
  </si>
  <si>
    <t>Selling, general and administrative expense:</t>
  </si>
  <si>
    <t>Selling expense</t>
  </si>
  <si>
    <t>General and administrative expense</t>
  </si>
  <si>
    <t>Total selling, general and administrative expense</t>
  </si>
  <si>
    <t>Loss (gain) on extinguishment of debt</t>
  </si>
  <si>
    <t>Income from continuing operations before income tax expense</t>
  </si>
  <si>
    <t>Income (loss) from discontinued operations, net of tax</t>
  </si>
  <si>
    <t>Basic net income (loss) per share:</t>
  </si>
  <si>
    <t>Basic - continuing operations (in dollars per share)</t>
  </si>
  <si>
    <t>Basic - discontinued operations (in dollars per share)</t>
  </si>
  <si>
    <t>Diluted net income (loss) per share:</t>
  </si>
  <si>
    <t>Diluted - continuing operations (in dollars per share)</t>
  </si>
  <si>
    <t>Diluted - discontinued operations (in dollars per share)</t>
  </si>
  <si>
    <t>Product Revenue</t>
  </si>
  <si>
    <t>Service Revenue</t>
  </si>
  <si>
    <t>Shares used in computing net income per share:</t>
  </si>
  <si>
    <t>Revenues from anti-CD20 therapeutic programs</t>
  </si>
  <si>
    <t>Cost of sales, excluding amortization of acquired intangible assets</t>
  </si>
  <si>
    <t>Amortization of acquired intangible assets</t>
  </si>
  <si>
    <t>Loss (gain) on fair value remeasurement of contingent consideration</t>
  </si>
  <si>
    <t>TECFIDERA litigation settlement and license charges</t>
  </si>
  <si>
    <t>Gain on sale of rights</t>
  </si>
  <si>
    <t>Jan. 01, 2019</t>
  </si>
  <si>
    <t>Jan. 03, 2019</t>
  </si>
  <si>
    <t>Income Statements</t>
  </si>
  <si>
    <t>Company:</t>
  </si>
  <si>
    <t>Total Revenue</t>
  </si>
  <si>
    <t>% Growth</t>
  </si>
  <si>
    <t>NA</t>
  </si>
  <si>
    <t>COGS</t>
  </si>
  <si>
    <t>Total Depreciation &amp; Amortization</t>
  </si>
  <si>
    <t>COGS (Exclusive of D&amp;A)</t>
  </si>
  <si>
    <t>% Total Revenue</t>
  </si>
  <si>
    <t>Gross Profit</t>
  </si>
  <si>
    <t>Gross Profit Margin (%)</t>
  </si>
  <si>
    <t>Operating expenses</t>
  </si>
  <si>
    <t>Operating Profit</t>
  </si>
  <si>
    <t>Operating Profit Margin (%)</t>
  </si>
  <si>
    <t>Total Other Expenses / (Income)</t>
  </si>
  <si>
    <t>EBITDA</t>
  </si>
  <si>
    <t>EBITDA Margin (%)</t>
  </si>
  <si>
    <t>EBIT</t>
  </si>
  <si>
    <t>EBIT Margin (%)</t>
  </si>
  <si>
    <t>Net Interest Expense</t>
  </si>
  <si>
    <t>EBT</t>
  </si>
  <si>
    <t>EBT Margin (%)</t>
  </si>
  <si>
    <t>Income Tax Expense</t>
  </si>
  <si>
    <t>Effective Tax Rate (%)</t>
  </si>
  <si>
    <t>Noncontrolling Interest</t>
  </si>
  <si>
    <t>Net Profit Margin (%)</t>
  </si>
  <si>
    <t>Earnings Per Share</t>
  </si>
  <si>
    <t>Basic</t>
  </si>
  <si>
    <t>Diluted</t>
  </si>
  <si>
    <t>Avg. Common Shares Outstanding</t>
  </si>
  <si>
    <t>Edwards Lifesciences Corporation (NYSE: EW)</t>
  </si>
  <si>
    <t>Results</t>
  </si>
  <si>
    <t>Projections</t>
  </si>
  <si>
    <t>Income Statements, D&amp;A, and Capex, as Reported</t>
  </si>
  <si>
    <t>Agilent Technologies, Inc. (NYSE: A)</t>
  </si>
  <si>
    <t>Regeneron Pharmaceuticals, Inc. (NASDAQ: REGN)</t>
  </si>
  <si>
    <t>Universal Health Services, Inc. (NYSE: UHS)</t>
  </si>
  <si>
    <t>Merck &amp; Co., Inc. (NYSE: MRK)</t>
  </si>
  <si>
    <t>Varian Medical Systems, Inc. (NYSE: VAR)</t>
  </si>
  <si>
    <t>Dentsply Sirona Inc. (NASDAQ: XRAY)</t>
  </si>
  <si>
    <t>Bristol-Myers Squibb Company (NYSE: BMY)</t>
  </si>
  <si>
    <t>AbbVie Inc. (NYSE: ABBV)</t>
  </si>
  <si>
    <t>Johnson &amp; Johnson (NYSE: JNJ)</t>
  </si>
  <si>
    <t>Abbott Laboratories (NYSE: ABT)</t>
  </si>
  <si>
    <t>Eli Lilly and Company (NYSE: LLY)</t>
  </si>
  <si>
    <t>Anthem, Inc. (NYSE: ANTM)</t>
  </si>
  <si>
    <t>Intuitive Surgical, Inc. (NASDAQ: ISRG)</t>
  </si>
  <si>
    <t>Biogen Inc. (NASDAQ: BIIB)</t>
  </si>
  <si>
    <t>Results vs</t>
  </si>
  <si>
    <t>Summary of Results vs Projections</t>
  </si>
  <si>
    <t>Coverage:</t>
  </si>
  <si>
    <t>Beat / 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</si>
</sst>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(* #,##0.0_);_(* \(#,##0.0\);_(* &quot;-&quot;?_);_(@_)"/>
    <numFmt numFmtId="165" formatCode="_(* #,##0.00_);_(* \(#,##0.00\);_(* &quot;-&quot;?_);_(@_)"/>
    <numFmt numFmtId="166" formatCode="_(* #,##0.000_);_(* \(#,##0.000\);_(* &quot;-&quot;?_);_(@_)"/>
    <numFmt numFmtId="167" formatCode="0\ &quot;A&quot;"/>
    <numFmt numFmtId="168" formatCode="0\ &quot;E&quot;"/>
    <numFmt numFmtId="169" formatCode="0.00%;\(0.00%\)"/>
    <numFmt numFmtId="170" formatCode="0.0%"/>
    <numFmt numFmtId="171" formatCode="&quot;1Q&quot;\ 0\ &quot;A&quot;"/>
    <numFmt numFmtId="172" formatCode="&quot;1Q&quot;\ 0\ &quot;E&quot;"/>
  </numFmts>
  <fonts count="22" x14ac:knownFonts="1">
    <font>
      <sz val="9"/>
      <color theme="1"/>
      <name val="Calibri"/>
      <family val="2"/>
    </font>
    <font>
      <b/>
      <sz val="8"/>
      <color rgb="FF0000FF"/>
      <name val="Calibri"/>
      <family val="2"/>
    </font>
    <font>
      <b/>
      <sz val="8"/>
      <color theme="0"/>
      <name val="Calibri"/>
      <family val="2"/>
    </font>
    <font>
      <sz val="9"/>
      <color theme="1"/>
      <name val="Calibri"/>
      <family val="2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</font>
    <font>
      <u/>
      <sz val="10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8"/>
      <name val="Calibri"/>
      <family val="2"/>
    </font>
    <font>
      <b/>
      <sz val="8"/>
      <color rgb="FF00B05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b/>
      <sz val="8"/>
      <color theme="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9">
    <xf numFmtId="0" fontId="0" fillId="0" borderId="0"/>
    <xf numFmtId="164" fontId="1" fillId="0" borderId="0"/>
    <xf numFmtId="0" fontId="4" fillId="0" borderId="0"/>
    <xf numFmtId="164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9" fillId="0" borderId="0"/>
    <xf numFmtId="0" fontId="1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1" fillId="2" borderId="1"/>
    <xf numFmtId="9" fontId="3" fillId="0" borderId="0" applyFont="0" applyFill="0" applyBorder="0" applyAlignment="0" applyProtection="0"/>
    <xf numFmtId="164" fontId="1" fillId="2" borderId="1"/>
  </cellStyleXfs>
  <cellXfs count="92">
    <xf numFmtId="0" fontId="0" fillId="0" borderId="0" xfId="0"/>
    <xf numFmtId="164" fontId="1" fillId="0" borderId="0" xfId="1" applyNumberFormat="1" applyFont="1"/>
    <xf numFmtId="164" fontId="1" fillId="2" borderId="4" xfId="36" applyNumberFormat="1" applyFont="1" applyBorder="1"/>
    <xf numFmtId="164" fontId="1" fillId="2" borderId="1" xfId="36" applyNumberFormat="1" applyFont="1"/>
    <xf numFmtId="164" fontId="1" fillId="2" borderId="1" xfId="1" applyNumberFormat="1" applyFont="1" applyFill="1" applyBorder="1"/>
    <xf numFmtId="164" fontId="1" fillId="2" borderId="3" xfId="1" applyNumberFormat="1" applyFont="1" applyFill="1" applyBorder="1"/>
    <xf numFmtId="164" fontId="1" fillId="2" borderId="3" xfId="36" applyNumberFormat="1" applyFont="1" applyBorder="1"/>
    <xf numFmtId="164" fontId="1" fillId="2" borderId="6" xfId="36" applyNumberFormat="1" applyFont="1" applyBorder="1"/>
    <xf numFmtId="164" fontId="12" fillId="0" borderId="0" xfId="1" applyNumberFormat="1" applyFont="1"/>
    <xf numFmtId="164" fontId="12" fillId="0" borderId="2" xfId="1" applyNumberFormat="1" applyFont="1" applyBorder="1"/>
    <xf numFmtId="164" fontId="12" fillId="0" borderId="5" xfId="1" applyNumberFormat="1" applyFont="1" applyBorder="1"/>
    <xf numFmtId="165" fontId="1" fillId="2" borderId="1" xfId="36" applyNumberFormat="1" applyFont="1"/>
    <xf numFmtId="165" fontId="1" fillId="2" borderId="6" xfId="36" applyNumberFormat="1" applyFont="1" applyBorder="1"/>
    <xf numFmtId="165" fontId="12" fillId="0" borderId="0" xfId="1" applyNumberFormat="1" applyFont="1"/>
    <xf numFmtId="164" fontId="13" fillId="4" borderId="1" xfId="0" applyNumberFormat="1" applyFont="1" applyFill="1" applyBorder="1"/>
    <xf numFmtId="164" fontId="1" fillId="0" borderId="0" xfId="0" applyNumberFormat="1" applyFont="1"/>
    <xf numFmtId="164" fontId="13" fillId="4" borderId="6" xfId="0" applyNumberFormat="1" applyFont="1" applyFill="1" applyBorder="1"/>
    <xf numFmtId="164" fontId="12" fillId="0" borderId="2" xfId="0" applyNumberFormat="1" applyFont="1" applyBorder="1"/>
    <xf numFmtId="164" fontId="13" fillId="4" borderId="4" xfId="0" applyNumberFormat="1" applyFont="1" applyFill="1" applyBorder="1"/>
    <xf numFmtId="164" fontId="12" fillId="0" borderId="5" xfId="0" applyNumberFormat="1" applyFont="1" applyBorder="1"/>
    <xf numFmtId="165" fontId="13" fillId="4" borderId="1" xfId="0" applyNumberFormat="1" applyFont="1" applyFill="1" applyBorder="1"/>
    <xf numFmtId="164" fontId="13" fillId="0" borderId="0" xfId="0" applyNumberFormat="1" applyFont="1" applyFill="1" applyBorder="1"/>
    <xf numFmtId="164" fontId="1" fillId="5" borderId="1" xfId="0" applyNumberFormat="1" applyFont="1" applyFill="1" applyBorder="1"/>
    <xf numFmtId="43" fontId="1" fillId="5" borderId="1" xfId="0" applyNumberFormat="1" applyFont="1" applyFill="1" applyBorder="1"/>
    <xf numFmtId="165" fontId="1" fillId="5" borderId="1" xfId="0" applyNumberFormat="1" applyFont="1" applyFill="1" applyBorder="1"/>
    <xf numFmtId="165" fontId="1" fillId="5" borderId="6" xfId="0" applyNumberFormat="1" applyFont="1" applyFill="1" applyBorder="1"/>
    <xf numFmtId="165" fontId="12" fillId="0" borderId="0" xfId="0" applyNumberFormat="1" applyFont="1" applyBorder="1"/>
    <xf numFmtId="166" fontId="1" fillId="5" borderId="1" xfId="0" applyNumberFormat="1" applyFont="1" applyFill="1" applyBorder="1"/>
    <xf numFmtId="166" fontId="1" fillId="0" borderId="0" xfId="0" applyNumberFormat="1" applyFont="1" applyFill="1" applyBorder="1"/>
    <xf numFmtId="164" fontId="12" fillId="0" borderId="0" xfId="0" applyNumberFormat="1" applyFont="1" applyBorder="1"/>
    <xf numFmtId="164" fontId="12" fillId="0" borderId="0" xfId="0" applyNumberFormat="1" applyFont="1" applyFill="1" applyBorder="1"/>
    <xf numFmtId="165" fontId="13" fillId="0" borderId="0" xfId="0" applyNumberFormat="1" applyFont="1" applyFill="1" applyBorder="1"/>
    <xf numFmtId="164" fontId="12" fillId="5" borderId="1" xfId="0" applyNumberFormat="1" applyFont="1" applyFill="1" applyBorder="1"/>
    <xf numFmtId="164" fontId="1" fillId="0" borderId="0" xfId="0" applyNumberFormat="1" applyFont="1" applyFill="1" applyBorder="1"/>
    <xf numFmtId="165" fontId="13" fillId="4" borderId="6" xfId="0" applyNumberFormat="1" applyFont="1" applyFill="1" applyBorder="1"/>
    <xf numFmtId="10" fontId="12" fillId="0" borderId="0" xfId="37" applyNumberFormat="1" applyFont="1"/>
    <xf numFmtId="10" fontId="12" fillId="6" borderId="0" xfId="37" applyNumberFormat="1" applyFont="1" applyFill="1"/>
    <xf numFmtId="164" fontId="1" fillId="0" borderId="0" xfId="1"/>
    <xf numFmtId="164" fontId="12" fillId="0" borderId="0" xfId="0" applyNumberFormat="1" applyFont="1" applyAlignment="1">
      <alignment horizontal="left"/>
    </xf>
    <xf numFmtId="167" fontId="17" fillId="3" borderId="12" xfId="0" applyNumberFormat="1" applyFont="1" applyFill="1" applyBorder="1" applyAlignment="1">
      <alignment horizontal="center"/>
    </xf>
    <xf numFmtId="164" fontId="17" fillId="7" borderId="0" xfId="0" applyNumberFormat="1" applyFont="1" applyFill="1" applyBorder="1" applyAlignment="1">
      <alignment horizontal="left" indent="1"/>
    </xf>
    <xf numFmtId="164" fontId="18" fillId="7" borderId="0" xfId="0" applyNumberFormat="1" applyFont="1" applyFill="1" applyBorder="1" applyAlignment="1">
      <alignment horizontal="left" indent="1"/>
    </xf>
    <xf numFmtId="164" fontId="16" fillId="7" borderId="0" xfId="0" applyNumberFormat="1" applyFont="1" applyFill="1" applyBorder="1" applyAlignment="1">
      <alignment horizontal="left"/>
    </xf>
    <xf numFmtId="164" fontId="16" fillId="6" borderId="0" xfId="0" applyNumberFormat="1" applyFont="1" applyFill="1" applyBorder="1" applyAlignment="1">
      <alignment horizontal="left"/>
    </xf>
    <xf numFmtId="164" fontId="18" fillId="6" borderId="0" xfId="0" applyNumberFormat="1" applyFont="1" applyFill="1" applyBorder="1" applyAlignment="1">
      <alignment horizontal="left" indent="1"/>
    </xf>
    <xf numFmtId="164" fontId="19" fillId="6" borderId="0" xfId="0" applyNumberFormat="1" applyFont="1" applyFill="1" applyBorder="1" applyAlignment="1">
      <alignment horizontal="center"/>
    </xf>
    <xf numFmtId="169" fontId="16" fillId="7" borderId="0" xfId="0" applyNumberFormat="1" applyFont="1" applyFill="1" applyBorder="1" applyAlignment="1">
      <alignment horizontal="left" indent="1"/>
    </xf>
    <xf numFmtId="169" fontId="16" fillId="0" borderId="0" xfId="37" applyNumberFormat="1" applyFont="1" applyAlignment="1">
      <alignment horizontal="right"/>
    </xf>
    <xf numFmtId="164" fontId="19" fillId="0" borderId="0" xfId="0" applyNumberFormat="1" applyFont="1" applyBorder="1" applyAlignment="1">
      <alignment horizontal="center"/>
    </xf>
    <xf numFmtId="164" fontId="16" fillId="0" borderId="0" xfId="0" applyNumberFormat="1" applyFont="1" applyAlignment="1">
      <alignment horizontal="center"/>
    </xf>
    <xf numFmtId="169" fontId="16" fillId="0" borderId="13" xfId="37" applyNumberFormat="1" applyFont="1" applyBorder="1" applyAlignment="1">
      <alignment horizontal="right"/>
    </xf>
    <xf numFmtId="164" fontId="16" fillId="6" borderId="13" xfId="0" applyNumberFormat="1" applyFont="1" applyFill="1" applyBorder="1" applyAlignment="1">
      <alignment horizontal="center"/>
    </xf>
    <xf numFmtId="164" fontId="19" fillId="0" borderId="13" xfId="0" applyNumberFormat="1" applyFont="1" applyBorder="1" applyAlignment="1">
      <alignment horizontal="center"/>
    </xf>
    <xf numFmtId="164" fontId="16" fillId="7" borderId="0" xfId="0" applyNumberFormat="1" applyFont="1" applyFill="1" applyBorder="1" applyAlignment="1">
      <alignment horizontal="left" indent="1"/>
    </xf>
    <xf numFmtId="164" fontId="16" fillId="6" borderId="2" xfId="0" applyNumberFormat="1" applyFont="1" applyFill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164" fontId="16" fillId="6" borderId="14" xfId="0" applyNumberFormat="1" applyFont="1" applyFill="1" applyBorder="1" applyAlignment="1">
      <alignment horizontal="center"/>
    </xf>
    <xf numFmtId="165" fontId="18" fillId="7" borderId="0" xfId="0" applyNumberFormat="1" applyFont="1" applyFill="1" applyBorder="1" applyAlignment="1">
      <alignment horizontal="left" indent="1"/>
    </xf>
    <xf numFmtId="165" fontId="19" fillId="7" borderId="0" xfId="0" applyNumberFormat="1" applyFont="1" applyFill="1" applyBorder="1" applyAlignment="1">
      <alignment horizontal="left" indent="1"/>
    </xf>
    <xf numFmtId="164" fontId="17" fillId="3" borderId="9" xfId="0" applyNumberFormat="1" applyFont="1" applyFill="1" applyBorder="1" applyAlignment="1"/>
    <xf numFmtId="167" fontId="17" fillId="3" borderId="10" xfId="0" applyNumberFormat="1" applyFont="1" applyFill="1" applyBorder="1" applyAlignment="1">
      <alignment horizontal="center"/>
    </xf>
    <xf numFmtId="164" fontId="17" fillId="3" borderId="0" xfId="0" applyNumberFormat="1" applyFont="1" applyFill="1" applyBorder="1" applyAlignment="1">
      <alignment vertical="center"/>
    </xf>
    <xf numFmtId="164" fontId="1" fillId="0" borderId="0" xfId="1" applyFont="1"/>
    <xf numFmtId="164" fontId="2" fillId="8" borderId="0" xfId="1" applyFont="1" applyFill="1"/>
    <xf numFmtId="164" fontId="2" fillId="8" borderId="0" xfId="1" applyNumberFormat="1" applyFont="1" applyFill="1"/>
    <xf numFmtId="164" fontId="17" fillId="3" borderId="8" xfId="0" applyNumberFormat="1" applyFont="1" applyFill="1" applyBorder="1" applyAlignment="1">
      <alignment horizontal="left" vertical="center"/>
    </xf>
    <xf numFmtId="164" fontId="17" fillId="3" borderId="12" xfId="0" applyNumberFormat="1" applyFont="1" applyFill="1" applyBorder="1" applyAlignment="1">
      <alignment horizontal="left" vertical="center"/>
    </xf>
    <xf numFmtId="170" fontId="12" fillId="0" borderId="0" xfId="37" applyNumberFormat="1" applyFont="1"/>
    <xf numFmtId="164" fontId="2" fillId="3" borderId="0" xfId="1" applyFont="1" applyFill="1"/>
    <xf numFmtId="164" fontId="1" fillId="2" borderId="1" xfId="36"/>
    <xf numFmtId="164" fontId="2" fillId="0" borderId="0" xfId="1" applyNumberFormat="1" applyFont="1"/>
    <xf numFmtId="164" fontId="2" fillId="0" borderId="0" xfId="0" applyNumberFormat="1" applyFont="1"/>
    <xf numFmtId="169" fontId="17" fillId="7" borderId="0" xfId="0" applyNumberFormat="1" applyFont="1" applyFill="1" applyBorder="1" applyAlignment="1">
      <alignment horizontal="left" indent="1"/>
    </xf>
    <xf numFmtId="165" fontId="17" fillId="7" borderId="0" xfId="0" applyNumberFormat="1" applyFont="1" applyFill="1" applyBorder="1" applyAlignment="1">
      <alignment horizontal="left" indent="1"/>
    </xf>
    <xf numFmtId="164" fontId="20" fillId="6" borderId="0" xfId="0" applyNumberFormat="1" applyFont="1" applyFill="1" applyBorder="1" applyAlignment="1">
      <alignment horizontal="left" indent="1"/>
    </xf>
    <xf numFmtId="164" fontId="12" fillId="0" borderId="0" xfId="1" applyFont="1"/>
    <xf numFmtId="164" fontId="13" fillId="0" borderId="0" xfId="1" applyFont="1"/>
    <xf numFmtId="165" fontId="13" fillId="0" borderId="0" xfId="1" applyNumberFormat="1" applyFont="1"/>
    <xf numFmtId="164" fontId="12" fillId="0" borderId="0" xfId="1" applyFont="1" applyAlignment="1">
      <alignment horizontal="right"/>
    </xf>
    <xf numFmtId="164" fontId="2" fillId="0" borderId="0" xfId="1" applyFont="1"/>
    <xf numFmtId="10" fontId="12" fillId="0" borderId="0" xfId="1" applyNumberFormat="1" applyFont="1"/>
    <xf numFmtId="168" fontId="17" fillId="3" borderId="0" xfId="0" applyNumberFormat="1" applyFont="1" applyFill="1" applyBorder="1" applyAlignment="1">
      <alignment horizontal="center"/>
    </xf>
    <xf numFmtId="164" fontId="17" fillId="3" borderId="12" xfId="0" applyNumberFormat="1" applyFont="1" applyFill="1" applyBorder="1" applyAlignment="1"/>
    <xf numFmtId="171" fontId="17" fillId="3" borderId="12" xfId="0" applyNumberFormat="1" applyFont="1" applyFill="1" applyBorder="1" applyAlignment="1">
      <alignment horizontal="center"/>
    </xf>
    <xf numFmtId="172" fontId="17" fillId="3" borderId="0" xfId="0" applyNumberFormat="1" applyFont="1" applyFill="1" applyBorder="1" applyAlignment="1">
      <alignment horizontal="center"/>
    </xf>
    <xf numFmtId="164" fontId="17" fillId="3" borderId="7" xfId="0" applyNumberFormat="1" applyFont="1" applyFill="1" applyBorder="1" applyAlignment="1">
      <alignment horizontal="left" vertical="center"/>
    </xf>
    <xf numFmtId="164" fontId="17" fillId="3" borderId="8" xfId="0" applyNumberFormat="1" applyFont="1" applyFill="1" applyBorder="1" applyAlignment="1">
      <alignment horizontal="left" vertical="center"/>
    </xf>
    <xf numFmtId="164" fontId="17" fillId="3" borderId="11" xfId="0" applyNumberFormat="1" applyFont="1" applyFill="1" applyBorder="1" applyAlignment="1">
      <alignment horizontal="left" vertical="center"/>
    </xf>
    <xf numFmtId="164" fontId="17" fillId="3" borderId="12" xfId="0" applyNumberFormat="1" applyFont="1" applyFill="1" applyBorder="1" applyAlignment="1">
      <alignment horizontal="left" vertical="center"/>
    </xf>
    <xf numFmtId="164" fontId="17" fillId="3" borderId="9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21" fillId="3" borderId="0" xfId="0" applyNumberFormat="1" applyFont="1" applyFill="1" applyBorder="1" applyAlignment="1">
      <alignment vertical="center"/>
    </xf>
  </cellXfs>
  <cellStyles count="39">
    <cellStyle name="Assumption" xfId="38"/>
    <cellStyle name="Finance" xfId="1"/>
    <cellStyle name="Hardcode" xfId="36"/>
    <cellStyle name="Hyperlink 2" xfId="4"/>
    <cellStyle name="Hyperlink 3" xfId="5"/>
    <cellStyle name="Normal" xfId="0" builtinId="0"/>
    <cellStyle name="Normal 10" xfId="6"/>
    <cellStyle name="Normal 10 2" xfId="7"/>
    <cellStyle name="Normal 11" xfId="8"/>
    <cellStyle name="Normal 12" xfId="9"/>
    <cellStyle name="Normal 13" xfId="10"/>
    <cellStyle name="Normal 14" xfId="11"/>
    <cellStyle name="Normal 15" xfId="12"/>
    <cellStyle name="Normal 2" xfId="13"/>
    <cellStyle name="Normal 2 2" xfId="14"/>
    <cellStyle name="Normal 2 2 2" xfId="15"/>
    <cellStyle name="Normal 2 2 3" xfId="16"/>
    <cellStyle name="Normal 2 3" xfId="2"/>
    <cellStyle name="Normal 2 4" xfId="17"/>
    <cellStyle name="Normal 3" xfId="18"/>
    <cellStyle name="Normal 4" xfId="19"/>
    <cellStyle name="Normal 4 2" xfId="20"/>
    <cellStyle name="Normal 5" xfId="21"/>
    <cellStyle name="Normal 5 2" xfId="22"/>
    <cellStyle name="Normal 6" xfId="23"/>
    <cellStyle name="Normal 7" xfId="24"/>
    <cellStyle name="Normal 7 2" xfId="25"/>
    <cellStyle name="Normal 7 2 2" xfId="26"/>
    <cellStyle name="Normal 7 3" xfId="27"/>
    <cellStyle name="Normal 8" xfId="28"/>
    <cellStyle name="Normal 8 2" xfId="29"/>
    <cellStyle name="Normal 9" xfId="30"/>
    <cellStyle name="Percent" xfId="37" builtinId="5"/>
    <cellStyle name="Percent 2" xfId="31"/>
    <cellStyle name="Percent 2 2" xfId="32"/>
    <cellStyle name="Percent 3" xfId="33"/>
    <cellStyle name="Percent 4" xfId="34"/>
    <cellStyle name="Percent 5" xfId="35"/>
    <cellStyle name="Results" xfId="3"/>
  </cellStyles>
  <dxfs count="52"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Summary!$O$6</c:f>
              <c:strCache>
                <c:ptCount val="1"/>
                <c:pt idx="0">
                  <c:v>Projections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Summary!$N$7:$N$21</c:f>
              <c:strCache>
                <c:ptCount val="15"/>
                <c:pt idx="0">
                  <c:v> Total Revenue (EW) </c:v>
                </c:pt>
                <c:pt idx="1">
                  <c:v> COGS (EW) </c:v>
                </c:pt>
                <c:pt idx="2">
                  <c:v> Total Depreciation &amp; Amortization (EW) </c:v>
                </c:pt>
                <c:pt idx="3">
                  <c:v> COGS (Exclusive of D&amp;A) (EW) </c:v>
                </c:pt>
                <c:pt idx="4">
                  <c:v> Gross Profit (EW) </c:v>
                </c:pt>
                <c:pt idx="5">
                  <c:v> Operating expenses (EW) </c:v>
                </c:pt>
                <c:pt idx="6">
                  <c:v> Operating Profit (EW) </c:v>
                </c:pt>
                <c:pt idx="7">
                  <c:v> Total Other Expenses / (Income) (EW) </c:v>
                </c:pt>
                <c:pt idx="8">
                  <c:v> EBITDA (EW) </c:v>
                </c:pt>
                <c:pt idx="9">
                  <c:v> EBIT (EW) </c:v>
                </c:pt>
                <c:pt idx="10">
                  <c:v> Net Interest Expense (EW) </c:v>
                </c:pt>
                <c:pt idx="11">
                  <c:v> EBT (EW) </c:v>
                </c:pt>
                <c:pt idx="12">
                  <c:v> Income Tax Expense (EW) </c:v>
                </c:pt>
                <c:pt idx="13">
                  <c:v> Noncontrolling Interest (EW) </c:v>
                </c:pt>
                <c:pt idx="14">
                  <c:v> Net Income (EW) </c:v>
                </c:pt>
              </c:strCache>
            </c:strRef>
          </c:cat>
          <c:val>
            <c:numRef>
              <c:f>Summary!$O$7:$O$21</c:f>
              <c:numCache>
                <c:formatCode>_(* #,##0.0_);_(* \(#,##0.0\);_(* "-"?_);_(@_)</c:formatCode>
                <c:ptCount val="15"/>
                <c:pt idx="0">
                  <c:v>3696.1549906907871</c:v>
                </c:pt>
                <c:pt idx="1">
                  <c:v>954.97343186312833</c:v>
                </c:pt>
                <c:pt idx="2">
                  <c:v>77.742372870496041</c:v>
                </c:pt>
                <c:pt idx="3">
                  <c:v>877.23105899263226</c:v>
                </c:pt>
                <c:pt idx="4">
                  <c:v>2818.9239316981548</c:v>
                </c:pt>
                <c:pt idx="5">
                  <c:v>1676.0762106140332</c:v>
                </c:pt>
                <c:pt idx="6">
                  <c:v>1142.8477210841215</c:v>
                </c:pt>
                <c:pt idx="7">
                  <c:v>17.999999999999996</c:v>
                </c:pt>
                <c:pt idx="8">
                  <c:v>1124.8477210841215</c:v>
                </c:pt>
                <c:pt idx="9">
                  <c:v>1047.1053482136256</c:v>
                </c:pt>
                <c:pt idx="10">
                  <c:v>2.5531649720723619</c:v>
                </c:pt>
                <c:pt idx="11">
                  <c:v>1044.5521832415532</c:v>
                </c:pt>
                <c:pt idx="12">
                  <c:v>124.24260246331782</c:v>
                </c:pt>
                <c:pt idx="13">
                  <c:v>0</c:v>
                </c:pt>
                <c:pt idx="14">
                  <c:v>920.30958077823539</c:v>
                </c:pt>
              </c:numCache>
            </c:numRef>
          </c:val>
        </c:ser>
        <c:ser>
          <c:idx val="1"/>
          <c:order val="1"/>
          <c:tx>
            <c:strRef>
              <c:f>Summary!$P$6</c:f>
              <c:strCache>
                <c:ptCount val="1"/>
                <c:pt idx="0">
                  <c:v>Results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bg1"/>
              </a:solidFill>
            </a:ln>
          </c:spPr>
          <c:invertIfNegative val="0"/>
          <c:cat>
            <c:strRef>
              <c:f>Summary!$N$7:$N$21</c:f>
              <c:strCache>
                <c:ptCount val="15"/>
                <c:pt idx="0">
                  <c:v> Total Revenue (EW) </c:v>
                </c:pt>
                <c:pt idx="1">
                  <c:v> COGS (EW) </c:v>
                </c:pt>
                <c:pt idx="2">
                  <c:v> Total Depreciation &amp; Amortization (EW) </c:v>
                </c:pt>
                <c:pt idx="3">
                  <c:v> COGS (Exclusive of D&amp;A) (EW) </c:v>
                </c:pt>
                <c:pt idx="4">
                  <c:v> Gross Profit (EW) </c:v>
                </c:pt>
                <c:pt idx="5">
                  <c:v> Operating expenses (EW) </c:v>
                </c:pt>
                <c:pt idx="6">
                  <c:v> Operating Profit (EW) </c:v>
                </c:pt>
                <c:pt idx="7">
                  <c:v> Total Other Expenses / (Income) (EW) </c:v>
                </c:pt>
                <c:pt idx="8">
                  <c:v> EBITDA (EW) </c:v>
                </c:pt>
                <c:pt idx="9">
                  <c:v> EBIT (EW) </c:v>
                </c:pt>
                <c:pt idx="10">
                  <c:v> Net Interest Expense (EW) </c:v>
                </c:pt>
                <c:pt idx="11">
                  <c:v> EBT (EW) </c:v>
                </c:pt>
                <c:pt idx="12">
                  <c:v> Income Tax Expense (EW) </c:v>
                </c:pt>
                <c:pt idx="13">
                  <c:v> Noncontrolling Interest (EW) </c:v>
                </c:pt>
                <c:pt idx="14">
                  <c:v> Net Income (EW) </c:v>
                </c:pt>
              </c:strCache>
            </c:strRef>
          </c:cat>
          <c:val>
            <c:numRef>
              <c:f>Summary!$P$7:$P$21</c:f>
              <c:numCache>
                <c:formatCode>_(* #,##0.0_);_(* \(#,##0.0\);_(* "-"?_);_(@_)</c:formatCode>
                <c:ptCount val="15"/>
                <c:pt idx="0">
                  <c:v>3722.8</c:v>
                </c:pt>
                <c:pt idx="1">
                  <c:v>939.4</c:v>
                </c:pt>
                <c:pt idx="2">
                  <c:v>77.400000000000006</c:v>
                </c:pt>
                <c:pt idx="3">
                  <c:v>862</c:v>
                </c:pt>
                <c:pt idx="4">
                  <c:v>2860.8</c:v>
                </c:pt>
                <c:pt idx="5">
                  <c:v>1710.7</c:v>
                </c:pt>
                <c:pt idx="6">
                  <c:v>1150.1000000000001</c:v>
                </c:pt>
                <c:pt idx="7">
                  <c:v>313.40000000000003</c:v>
                </c:pt>
                <c:pt idx="8">
                  <c:v>836.7</c:v>
                </c:pt>
                <c:pt idx="9">
                  <c:v>759.30000000000007</c:v>
                </c:pt>
                <c:pt idx="10">
                  <c:v>-2.1000000000000014</c:v>
                </c:pt>
                <c:pt idx="11">
                  <c:v>761.40000000000009</c:v>
                </c:pt>
                <c:pt idx="12">
                  <c:v>39.200000000000003</c:v>
                </c:pt>
                <c:pt idx="13">
                  <c:v>0</c:v>
                </c:pt>
                <c:pt idx="14">
                  <c:v>722.2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544064"/>
        <c:axId val="245545600"/>
      </c:barChart>
      <c:catAx>
        <c:axId val="24554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</c:spPr>
        <c:txPr>
          <a:bodyPr/>
          <a:lstStyle/>
          <a:p>
            <a:pPr>
              <a:defRPr sz="8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245545600"/>
        <c:crosses val="autoZero"/>
        <c:auto val="1"/>
        <c:lblAlgn val="ctr"/>
        <c:lblOffset val="100"/>
        <c:noMultiLvlLbl val="0"/>
      </c:catAx>
      <c:valAx>
        <c:axId val="2455456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_(&quot;$&quot;* #,##0.0_);_(&quot;$&quot;* \(#,##0.0\);_(&quot;$&quot;* &quot;-&quot;?_);_(@_)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245544064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800" b="1">
              <a:solidFill>
                <a:schemeClr val="tx1">
                  <a:lumMod val="65000"/>
                  <a:lumOff val="3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10</xdr:col>
      <xdr:colOff>617220</xdr:colOff>
      <xdr:row>29</xdr:row>
      <xdr:rowOff>60960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M1159"/>
  <sheetViews>
    <sheetView showGridLines="0" zoomScaleNormal="100" workbookViewId="0">
      <selection activeCell="H7" sqref="H7"/>
    </sheetView>
  </sheetViews>
  <sheetFormatPr defaultColWidth="11.77734375" defaultRowHeight="12" customHeight="1" outlineLevelRow="2" x14ac:dyDescent="0.25"/>
  <cols>
    <col min="1" max="1" width="2.77734375" style="1" customWidth="1"/>
    <col min="2" max="2" width="11.77734375" style="8"/>
    <col min="3" max="16384" width="11.77734375" style="1"/>
  </cols>
  <sheetData>
    <row r="2" spans="1:13" ht="12" customHeight="1" x14ac:dyDescent="0.25">
      <c r="B2" s="61" t="s">
        <v>368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91" t="s">
        <v>0</v>
      </c>
    </row>
    <row r="3" spans="1:13" ht="12" customHeight="1" x14ac:dyDescent="0.25">
      <c r="B3" s="38"/>
      <c r="C3" s="15"/>
      <c r="D3" s="15"/>
      <c r="E3" s="15"/>
      <c r="F3" s="15"/>
      <c r="G3" s="15"/>
      <c r="H3" s="15"/>
      <c r="I3" s="15"/>
      <c r="J3" s="15"/>
      <c r="K3" s="62"/>
      <c r="L3" s="62"/>
    </row>
    <row r="4" spans="1:13" ht="12" customHeight="1" outlineLevel="1" x14ac:dyDescent="0.25">
      <c r="B4" s="85" t="s">
        <v>338</v>
      </c>
      <c r="C4" s="86"/>
      <c r="D4" s="86"/>
      <c r="E4" s="86"/>
      <c r="F4" s="89" t="s">
        <v>369</v>
      </c>
      <c r="G4" s="89"/>
      <c r="H4" s="90"/>
      <c r="I4" s="15"/>
      <c r="J4" s="82" t="s">
        <v>370</v>
      </c>
      <c r="K4" s="62"/>
      <c r="L4" s="68" t="s">
        <v>386</v>
      </c>
    </row>
    <row r="5" spans="1:13" ht="12" customHeight="1" outlineLevel="1" x14ac:dyDescent="0.25">
      <c r="B5" s="87"/>
      <c r="C5" s="88"/>
      <c r="D5" s="88"/>
      <c r="E5" s="88"/>
      <c r="F5" s="39">
        <f>G5-1</f>
        <v>2016</v>
      </c>
      <c r="G5" s="39">
        <f>H5-1</f>
        <v>2017</v>
      </c>
      <c r="H5" s="60">
        <f>J5</f>
        <v>2018</v>
      </c>
      <c r="I5" s="15"/>
      <c r="J5" s="81">
        <v>2018</v>
      </c>
      <c r="K5" s="62"/>
      <c r="L5" s="68" t="s">
        <v>370</v>
      </c>
    </row>
    <row r="6" spans="1:13" ht="12" customHeight="1" outlineLevel="1" x14ac:dyDescent="0.25">
      <c r="B6" s="62"/>
      <c r="C6" s="62"/>
      <c r="D6" s="62"/>
      <c r="E6" s="62"/>
      <c r="F6" s="40"/>
      <c r="G6" s="40"/>
      <c r="H6" s="40"/>
      <c r="I6" s="15"/>
      <c r="J6" s="40"/>
      <c r="K6" s="62"/>
      <c r="L6" s="62"/>
    </row>
    <row r="7" spans="1:13" ht="12" customHeight="1" outlineLevel="1" x14ac:dyDescent="0.25">
      <c r="A7" s="70" t="str">
        <f>M2</f>
        <v>EW</v>
      </c>
      <c r="B7" s="43" t="s">
        <v>340</v>
      </c>
      <c r="C7" s="44"/>
      <c r="D7" s="44"/>
      <c r="E7" s="74" t="str">
        <f>B7&amp;" ("&amp;A7&amp;")"</f>
        <v>Total Revenue (EW)</v>
      </c>
      <c r="F7" s="45">
        <f>F50</f>
        <v>2963.7</v>
      </c>
      <c r="G7" s="45">
        <f t="shared" ref="G7:J7" si="0">G50</f>
        <v>3435.3</v>
      </c>
      <c r="H7" s="45">
        <f t="shared" si="0"/>
        <v>3722.8</v>
      </c>
      <c r="I7" s="71"/>
      <c r="J7" s="45">
        <f t="shared" si="0"/>
        <v>3696.1549906907871</v>
      </c>
      <c r="K7" s="62"/>
      <c r="L7" s="67">
        <f>IF(ISERROR(H7/J7-1),0,(H7/J7-1))</f>
        <v>7.2088452395318026E-3</v>
      </c>
    </row>
    <row r="8" spans="1:13" ht="12" customHeight="1" outlineLevel="1" x14ac:dyDescent="0.25">
      <c r="A8" s="70" t="str">
        <f>A7</f>
        <v>EW</v>
      </c>
      <c r="B8" s="42" t="s">
        <v>341</v>
      </c>
      <c r="C8" s="46"/>
      <c r="D8" s="72"/>
      <c r="E8" s="72" t="str">
        <f t="shared" ref="E8:E43" si="1">B8&amp;" ("&amp;A8&amp;")"</f>
        <v>% Growth (EW)</v>
      </c>
      <c r="F8" s="47" t="s">
        <v>342</v>
      </c>
      <c r="G8" s="47">
        <f>G7/F7-1</f>
        <v>0.15912541755238396</v>
      </c>
      <c r="H8" s="47">
        <f>H7/G7-1</f>
        <v>8.3689925188484171E-2</v>
      </c>
      <c r="I8" s="71"/>
      <c r="J8" s="47">
        <f>J7/G7-1</f>
        <v>7.5933685759842495E-2</v>
      </c>
      <c r="K8" s="62"/>
      <c r="L8" s="67">
        <f t="shared" ref="L8:L43" si="2">IF(ISERROR(H8/J8-1),0,(H8/J8-1))</f>
        <v>0.10214490908781304</v>
      </c>
    </row>
    <row r="9" spans="1:13" ht="12" customHeight="1" outlineLevel="1" x14ac:dyDescent="0.25">
      <c r="A9" s="70" t="str">
        <f t="shared" ref="A9:A43" si="3">A8</f>
        <v>EW</v>
      </c>
      <c r="B9" s="42" t="s">
        <v>343</v>
      </c>
      <c r="C9" s="41"/>
      <c r="D9" s="40"/>
      <c r="E9" s="40" t="str">
        <f t="shared" si="1"/>
        <v>COGS (EW)</v>
      </c>
      <c r="F9" s="48">
        <f>F51</f>
        <v>797.4</v>
      </c>
      <c r="G9" s="48">
        <f t="shared" ref="G9:H9" si="4">G51</f>
        <v>875.3</v>
      </c>
      <c r="H9" s="48">
        <f t="shared" si="4"/>
        <v>939.4</v>
      </c>
      <c r="I9" s="71"/>
      <c r="J9" s="48">
        <f t="shared" ref="J9" si="5">J51</f>
        <v>954.97343186312833</v>
      </c>
      <c r="K9" s="62"/>
      <c r="L9" s="67">
        <f t="shared" si="2"/>
        <v>-1.6307712176604761E-2</v>
      </c>
    </row>
    <row r="10" spans="1:13" ht="12" customHeight="1" outlineLevel="1" x14ac:dyDescent="0.25">
      <c r="A10" s="70" t="str">
        <f t="shared" si="3"/>
        <v>EW</v>
      </c>
      <c r="B10" s="42" t="s">
        <v>344</v>
      </c>
      <c r="C10" s="41"/>
      <c r="D10" s="40"/>
      <c r="E10" s="40" t="str">
        <f t="shared" si="1"/>
        <v>Total Depreciation &amp; Amortization (EW)</v>
      </c>
      <c r="F10" s="48">
        <f>F71</f>
        <v>71.2</v>
      </c>
      <c r="G10" s="48">
        <f t="shared" ref="G10:H10" si="6">G71</f>
        <v>81.900000000000006</v>
      </c>
      <c r="H10" s="48">
        <f t="shared" si="6"/>
        <v>77.400000000000006</v>
      </c>
      <c r="I10" s="71"/>
      <c r="J10" s="48">
        <f t="shared" ref="J10" si="7">J71</f>
        <v>77.742372870496041</v>
      </c>
      <c r="K10" s="62"/>
      <c r="L10" s="67">
        <f t="shared" si="2"/>
        <v>-4.4039416068037962E-3</v>
      </c>
    </row>
    <row r="11" spans="1:13" ht="12" customHeight="1" outlineLevel="1" x14ac:dyDescent="0.25">
      <c r="A11" s="70" t="str">
        <f t="shared" si="3"/>
        <v>EW</v>
      </c>
      <c r="B11" s="42" t="s">
        <v>345</v>
      </c>
      <c r="C11" s="41"/>
      <c r="D11" s="40"/>
      <c r="E11" s="40" t="str">
        <f t="shared" si="1"/>
        <v>COGS (Exclusive of D&amp;A) (EW)</v>
      </c>
      <c r="F11" s="49">
        <f>F9-F10</f>
        <v>726.19999999999993</v>
      </c>
      <c r="G11" s="49">
        <f>G9-G10</f>
        <v>793.4</v>
      </c>
      <c r="H11" s="49">
        <f>H9-H10</f>
        <v>862</v>
      </c>
      <c r="I11" s="71"/>
      <c r="J11" s="49">
        <f t="shared" ref="J11" si="8">J9-J10</f>
        <v>877.23105899263226</v>
      </c>
      <c r="K11" s="62"/>
      <c r="L11" s="67">
        <f t="shared" si="2"/>
        <v>-1.736265358652811E-2</v>
      </c>
    </row>
    <row r="12" spans="1:13" ht="12" customHeight="1" outlineLevel="1" x14ac:dyDescent="0.25">
      <c r="A12" s="70" t="str">
        <f t="shared" si="3"/>
        <v>EW</v>
      </c>
      <c r="B12" s="42" t="s">
        <v>346</v>
      </c>
      <c r="C12" s="46"/>
      <c r="D12" s="72"/>
      <c r="E12" s="72" t="str">
        <f t="shared" si="1"/>
        <v>% Total Revenue (EW)</v>
      </c>
      <c r="F12" s="50">
        <f>F11/F7</f>
        <v>0.2450315484023349</v>
      </c>
      <c r="G12" s="50">
        <f>G11/G7</f>
        <v>0.23095508398102055</v>
      </c>
      <c r="H12" s="50">
        <f>H11/H7</f>
        <v>0.23154614806059953</v>
      </c>
      <c r="I12" s="71"/>
      <c r="J12" s="50">
        <f t="shared" ref="J12" si="9">J11/J7</f>
        <v>0.23733611312351474</v>
      </c>
      <c r="K12" s="62"/>
      <c r="L12" s="67">
        <f t="shared" si="2"/>
        <v>-2.4395634472626493E-2</v>
      </c>
    </row>
    <row r="13" spans="1:13" ht="12" customHeight="1" outlineLevel="1" x14ac:dyDescent="0.25">
      <c r="A13" s="70" t="str">
        <f t="shared" si="3"/>
        <v>EW</v>
      </c>
      <c r="B13" s="43" t="s">
        <v>347</v>
      </c>
      <c r="C13" s="44"/>
      <c r="D13" s="44"/>
      <c r="E13" s="74" t="str">
        <f t="shared" si="1"/>
        <v>Gross Profit (EW)</v>
      </c>
      <c r="F13" s="51">
        <f>F7-F11</f>
        <v>2237.5</v>
      </c>
      <c r="G13" s="51">
        <f>G7-G11</f>
        <v>2641.9</v>
      </c>
      <c r="H13" s="51">
        <f>H7-H11</f>
        <v>2860.8</v>
      </c>
      <c r="I13" s="71"/>
      <c r="J13" s="51">
        <f t="shared" ref="J13" si="10">J7-J11</f>
        <v>2818.9239316981548</v>
      </c>
      <c r="K13" s="62"/>
      <c r="L13" s="67">
        <f t="shared" si="2"/>
        <v>1.4855338177436561E-2</v>
      </c>
    </row>
    <row r="14" spans="1:13" ht="12" customHeight="1" outlineLevel="1" x14ac:dyDescent="0.25">
      <c r="A14" s="70" t="str">
        <f t="shared" si="3"/>
        <v>EW</v>
      </c>
      <c r="B14" s="42" t="s">
        <v>348</v>
      </c>
      <c r="C14" s="46"/>
      <c r="D14" s="72"/>
      <c r="E14" s="72" t="str">
        <f t="shared" si="1"/>
        <v>Gross Profit Margin (%) (EW)</v>
      </c>
      <c r="F14" s="47">
        <f>F13/F7</f>
        <v>0.75496845159766512</v>
      </c>
      <c r="G14" s="47">
        <f>G13/G7</f>
        <v>0.7690449160189794</v>
      </c>
      <c r="H14" s="47">
        <f>H13/H7</f>
        <v>0.76845385193940041</v>
      </c>
      <c r="I14" s="71"/>
      <c r="J14" s="47">
        <f t="shared" ref="J14" si="11">J13/J7</f>
        <v>0.76266388687648523</v>
      </c>
      <c r="K14" s="62"/>
      <c r="L14" s="67">
        <f t="shared" si="2"/>
        <v>7.5917650783599022E-3</v>
      </c>
    </row>
    <row r="15" spans="1:13" ht="12" customHeight="1" outlineLevel="1" x14ac:dyDescent="0.25">
      <c r="A15" s="70" t="str">
        <f t="shared" si="3"/>
        <v>EW</v>
      </c>
      <c r="B15" s="42" t="s">
        <v>349</v>
      </c>
      <c r="C15" s="41"/>
      <c r="D15" s="40"/>
      <c r="E15" s="40" t="str">
        <f t="shared" si="1"/>
        <v>Operating expenses (EW)</v>
      </c>
      <c r="F15" s="48">
        <f>SUM(F53,F54)</f>
        <v>1346.9</v>
      </c>
      <c r="G15" s="48">
        <f t="shared" ref="G15:J15" si="12">SUM(G53,G54)</f>
        <v>1543.4</v>
      </c>
      <c r="H15" s="48">
        <f t="shared" si="12"/>
        <v>1710.7</v>
      </c>
      <c r="I15" s="71"/>
      <c r="J15" s="48">
        <f t="shared" si="12"/>
        <v>1676.0762106140332</v>
      </c>
      <c r="K15" s="62"/>
      <c r="L15" s="67">
        <f t="shared" si="2"/>
        <v>2.06576462136423E-2</v>
      </c>
    </row>
    <row r="16" spans="1:13" ht="12" customHeight="1" outlineLevel="1" x14ac:dyDescent="0.25">
      <c r="A16" s="70" t="str">
        <f t="shared" si="3"/>
        <v>EW</v>
      </c>
      <c r="B16" s="42" t="s">
        <v>346</v>
      </c>
      <c r="C16" s="46"/>
      <c r="D16" s="72"/>
      <c r="E16" s="72" t="str">
        <f t="shared" si="1"/>
        <v>% Total Revenue (EW)</v>
      </c>
      <c r="F16" s="50">
        <f>F15/F7</f>
        <v>0.45446570165671296</v>
      </c>
      <c r="G16" s="50">
        <f>G15/G7</f>
        <v>0.44927662795097956</v>
      </c>
      <c r="H16" s="50">
        <f>H15/H7</f>
        <v>0.45951971634253785</v>
      </c>
      <c r="I16" s="71"/>
      <c r="J16" s="50">
        <f t="shared" ref="J16" si="13">J15/J7</f>
        <v>0.45346480730257083</v>
      </c>
      <c r="K16" s="62"/>
      <c r="L16" s="67">
        <f t="shared" si="2"/>
        <v>1.3352544546917589E-2</v>
      </c>
    </row>
    <row r="17" spans="1:12" ht="12" customHeight="1" outlineLevel="1" x14ac:dyDescent="0.25">
      <c r="A17" s="70" t="str">
        <f t="shared" si="3"/>
        <v>EW</v>
      </c>
      <c r="B17" s="43" t="s">
        <v>350</v>
      </c>
      <c r="C17" s="44"/>
      <c r="D17" s="44"/>
      <c r="E17" s="74" t="str">
        <f t="shared" si="1"/>
        <v>Operating Profit (EW)</v>
      </c>
      <c r="F17" s="51">
        <f>F13-F15</f>
        <v>890.59999999999991</v>
      </c>
      <c r="G17" s="51">
        <f>G13-G15</f>
        <v>1098.5</v>
      </c>
      <c r="H17" s="51">
        <f>H13-H15</f>
        <v>1150.1000000000001</v>
      </c>
      <c r="I17" s="71"/>
      <c r="J17" s="51">
        <f t="shared" ref="J17" si="14">J13-J15</f>
        <v>1142.8477210841215</v>
      </c>
      <c r="K17" s="62"/>
      <c r="L17" s="67">
        <f t="shared" si="2"/>
        <v>6.3457963664652617E-3</v>
      </c>
    </row>
    <row r="18" spans="1:12" ht="12" customHeight="1" outlineLevel="1" x14ac:dyDescent="0.25">
      <c r="A18" s="70" t="str">
        <f t="shared" si="3"/>
        <v>EW</v>
      </c>
      <c r="B18" s="42" t="s">
        <v>351</v>
      </c>
      <c r="C18" s="46"/>
      <c r="D18" s="72"/>
      <c r="E18" s="72" t="str">
        <f t="shared" si="1"/>
        <v>Operating Profit Margin (%) (EW)</v>
      </c>
      <c r="F18" s="47">
        <f>F17/F7</f>
        <v>0.30050274994095216</v>
      </c>
      <c r="G18" s="47">
        <f>G17/G7</f>
        <v>0.31976828806799984</v>
      </c>
      <c r="H18" s="47">
        <f>H17/H7</f>
        <v>0.30893413559686261</v>
      </c>
      <c r="I18" s="71"/>
      <c r="J18" s="47">
        <f t="shared" ref="J18" si="15">J17/J7</f>
        <v>0.3091990795739144</v>
      </c>
      <c r="K18" s="62"/>
      <c r="L18" s="67">
        <f t="shared" si="2"/>
        <v>-8.5687181674953816E-4</v>
      </c>
    </row>
    <row r="19" spans="1:12" ht="12" customHeight="1" outlineLevel="1" x14ac:dyDescent="0.25">
      <c r="A19" s="70" t="str">
        <f t="shared" si="3"/>
        <v>EW</v>
      </c>
      <c r="B19" s="42" t="s">
        <v>352</v>
      </c>
      <c r="C19" s="41"/>
      <c r="D19" s="40"/>
      <c r="E19" s="40" t="str">
        <f t="shared" si="1"/>
        <v>Total Other Expenses / (Income) (EW)</v>
      </c>
      <c r="F19" s="52">
        <f>SUM(F55,F56,F57,F60)</f>
        <v>73.100000000000009</v>
      </c>
      <c r="G19" s="52">
        <f t="shared" ref="G19:J19" si="16">SUM(G55,G56,G57,G60)</f>
        <v>-21.200000000000003</v>
      </c>
      <c r="H19" s="52">
        <f t="shared" si="16"/>
        <v>313.40000000000003</v>
      </c>
      <c r="I19" s="71"/>
      <c r="J19" s="52">
        <f t="shared" si="16"/>
        <v>17.999999999999996</v>
      </c>
      <c r="K19" s="62"/>
      <c r="L19" s="67">
        <f t="shared" si="2"/>
        <v>16.411111111111115</v>
      </c>
    </row>
    <row r="20" spans="1:12" ht="12" customHeight="1" outlineLevel="1" x14ac:dyDescent="0.25">
      <c r="A20" s="70" t="str">
        <f t="shared" si="3"/>
        <v>EW</v>
      </c>
      <c r="B20" s="43" t="s">
        <v>353</v>
      </c>
      <c r="C20" s="44"/>
      <c r="D20" s="44"/>
      <c r="E20" s="74" t="str">
        <f t="shared" si="1"/>
        <v>EBITDA (EW)</v>
      </c>
      <c r="F20" s="51">
        <f>F17-F19</f>
        <v>817.49999999999989</v>
      </c>
      <c r="G20" s="51">
        <f>G17-G19</f>
        <v>1119.7</v>
      </c>
      <c r="H20" s="51">
        <f>H17-H19</f>
        <v>836.7</v>
      </c>
      <c r="I20" s="71"/>
      <c r="J20" s="51">
        <f t="shared" ref="J20" si="17">J17-J19</f>
        <v>1124.8477210841215</v>
      </c>
      <c r="K20" s="62"/>
      <c r="L20" s="67">
        <f t="shared" si="2"/>
        <v>-0.25616598201079732</v>
      </c>
    </row>
    <row r="21" spans="1:12" ht="12" customHeight="1" outlineLevel="1" x14ac:dyDescent="0.25">
      <c r="A21" s="70" t="str">
        <f t="shared" si="3"/>
        <v>EW</v>
      </c>
      <c r="B21" s="42" t="s">
        <v>354</v>
      </c>
      <c r="C21" s="46"/>
      <c r="D21" s="72"/>
      <c r="E21" s="72" t="str">
        <f t="shared" si="1"/>
        <v>EBITDA Margin (%) (EW)</v>
      </c>
      <c r="F21" s="47">
        <f>F20/F7</f>
        <v>0.27583763538819717</v>
      </c>
      <c r="G21" s="47">
        <f>G20/G7</f>
        <v>0.3259395103775507</v>
      </c>
      <c r="H21" s="47">
        <f>H20/H7</f>
        <v>0.22475018803051466</v>
      </c>
      <c r="I21" s="71"/>
      <c r="J21" s="47">
        <f t="shared" ref="J21" si="18">J20/J7</f>
        <v>0.30432915392270787</v>
      </c>
      <c r="K21" s="62"/>
      <c r="L21" s="67">
        <f t="shared" si="2"/>
        <v>-0.26148978783808641</v>
      </c>
    </row>
    <row r="22" spans="1:12" ht="12" customHeight="1" outlineLevel="1" x14ac:dyDescent="0.25">
      <c r="A22" s="70" t="str">
        <f t="shared" si="3"/>
        <v>EW</v>
      </c>
      <c r="B22" s="42" t="s">
        <v>344</v>
      </c>
      <c r="C22" s="53"/>
      <c r="D22" s="40"/>
      <c r="E22" s="40" t="str">
        <f t="shared" si="1"/>
        <v>Total Depreciation &amp; Amortization (EW)</v>
      </c>
      <c r="F22" s="49">
        <f>F10</f>
        <v>71.2</v>
      </c>
      <c r="G22" s="49">
        <f>G10</f>
        <v>81.900000000000006</v>
      </c>
      <c r="H22" s="49">
        <f>H10</f>
        <v>77.400000000000006</v>
      </c>
      <c r="I22" s="71"/>
      <c r="J22" s="49">
        <f t="shared" ref="J22" si="19">J10</f>
        <v>77.742372870496041</v>
      </c>
      <c r="K22" s="62"/>
      <c r="L22" s="67">
        <f t="shared" si="2"/>
        <v>-4.4039416068037962E-3</v>
      </c>
    </row>
    <row r="23" spans="1:12" ht="12" customHeight="1" outlineLevel="1" x14ac:dyDescent="0.25">
      <c r="A23" s="70" t="str">
        <f t="shared" si="3"/>
        <v>EW</v>
      </c>
      <c r="B23" s="42" t="s">
        <v>346</v>
      </c>
      <c r="C23" s="46"/>
      <c r="D23" s="72"/>
      <c r="E23" s="72" t="str">
        <f t="shared" si="1"/>
        <v>% Total Revenue (EW)</v>
      </c>
      <c r="F23" s="47">
        <f>F22/F7</f>
        <v>2.4024024024024027E-2</v>
      </c>
      <c r="G23" s="47">
        <f>G22/G7</f>
        <v>2.3840712601519518E-2</v>
      </c>
      <c r="H23" s="47">
        <f>H22/H7</f>
        <v>2.0790802621682605E-2</v>
      </c>
      <c r="I23" s="71"/>
      <c r="J23" s="47">
        <f t="shared" ref="J23" si="20">J22/J7</f>
        <v>2.1033309768204958E-2</v>
      </c>
      <c r="K23" s="62"/>
      <c r="L23" s="67">
        <f t="shared" si="2"/>
        <v>-1.1529671230770311E-2</v>
      </c>
    </row>
    <row r="24" spans="1:12" ht="12" customHeight="1" outlineLevel="1" x14ac:dyDescent="0.25">
      <c r="A24" s="70" t="str">
        <f t="shared" si="3"/>
        <v>EW</v>
      </c>
      <c r="B24" s="43" t="s">
        <v>355</v>
      </c>
      <c r="C24" s="44"/>
      <c r="D24" s="44"/>
      <c r="E24" s="74" t="str">
        <f t="shared" si="1"/>
        <v>EBIT (EW)</v>
      </c>
      <c r="F24" s="54">
        <f>F20-F22</f>
        <v>746.29999999999984</v>
      </c>
      <c r="G24" s="54">
        <f>G20-G22</f>
        <v>1037.8</v>
      </c>
      <c r="H24" s="54">
        <f>H20-H22</f>
        <v>759.30000000000007</v>
      </c>
      <c r="I24" s="71"/>
      <c r="J24" s="54">
        <f t="shared" ref="J24" si="21">J20-J22</f>
        <v>1047.1053482136256</v>
      </c>
      <c r="K24" s="62"/>
      <c r="L24" s="67">
        <f t="shared" si="2"/>
        <v>-0.27485806342659302</v>
      </c>
    </row>
    <row r="25" spans="1:12" ht="12" customHeight="1" outlineLevel="1" x14ac:dyDescent="0.25">
      <c r="A25" s="70" t="str">
        <f t="shared" si="3"/>
        <v>EW</v>
      </c>
      <c r="B25" s="42" t="s">
        <v>356</v>
      </c>
      <c r="C25" s="46"/>
      <c r="D25" s="72"/>
      <c r="E25" s="72" t="str">
        <f t="shared" si="1"/>
        <v>EBIT Margin (%) (EW)</v>
      </c>
      <c r="F25" s="47">
        <f>F24/F7</f>
        <v>0.25181361136417313</v>
      </c>
      <c r="G25" s="47">
        <f>G24/G7</f>
        <v>0.30209879777603116</v>
      </c>
      <c r="H25" s="47">
        <f>H24/H7</f>
        <v>0.20395938540883207</v>
      </c>
      <c r="I25" s="71"/>
      <c r="J25" s="47">
        <f t="shared" ref="J25" si="22">J24/J7</f>
        <v>0.28329584415450298</v>
      </c>
      <c r="K25" s="62"/>
      <c r="L25" s="67">
        <f t="shared" si="2"/>
        <v>-0.28004808535914372</v>
      </c>
    </row>
    <row r="26" spans="1:12" ht="12" customHeight="1" outlineLevel="1" x14ac:dyDescent="0.25">
      <c r="A26" s="70" t="str">
        <f t="shared" si="3"/>
        <v>EW</v>
      </c>
      <c r="B26" s="43" t="s">
        <v>357</v>
      </c>
      <c r="C26" s="44"/>
      <c r="D26" s="44"/>
      <c r="E26" s="74" t="str">
        <f t="shared" si="1"/>
        <v>Net Interest Expense (EW)</v>
      </c>
      <c r="F26" s="45">
        <f>SUM(F58,F59)</f>
        <v>8.3999999999999986</v>
      </c>
      <c r="G26" s="45">
        <f t="shared" ref="G26:J26" si="23">SUM(G58,G59)</f>
        <v>2.8999999999999986</v>
      </c>
      <c r="H26" s="45">
        <f t="shared" si="23"/>
        <v>-2.1000000000000014</v>
      </c>
      <c r="I26" s="71"/>
      <c r="J26" s="45">
        <f t="shared" si="23"/>
        <v>2.5531649720723619</v>
      </c>
      <c r="K26" s="62"/>
      <c r="L26" s="67">
        <f t="shared" si="2"/>
        <v>-1.822508542522995</v>
      </c>
    </row>
    <row r="27" spans="1:12" ht="12" customHeight="1" outlineLevel="1" x14ac:dyDescent="0.25">
      <c r="A27" s="70" t="str">
        <f t="shared" si="3"/>
        <v>EW</v>
      </c>
      <c r="B27" s="42" t="s">
        <v>346</v>
      </c>
      <c r="C27" s="46"/>
      <c r="D27" s="72"/>
      <c r="E27" s="72" t="str">
        <f t="shared" si="1"/>
        <v>% Total Revenue (EW)</v>
      </c>
      <c r="F27" s="47">
        <f>F26/F7</f>
        <v>2.8342949691264295E-3</v>
      </c>
      <c r="G27" s="47">
        <f>G26/G7</f>
        <v>8.4417663668384082E-4</v>
      </c>
      <c r="H27" s="47">
        <f>H26/H7</f>
        <v>-5.6409154399914084E-4</v>
      </c>
      <c r="I27" s="71"/>
      <c r="J27" s="47">
        <f t="shared" ref="J27" si="24">J26/J7</f>
        <v>6.907624216253962E-4</v>
      </c>
      <c r="K27" s="62"/>
      <c r="L27" s="67">
        <f t="shared" si="2"/>
        <v>-1.816621643475925</v>
      </c>
    </row>
    <row r="28" spans="1:12" ht="12" customHeight="1" outlineLevel="1" x14ac:dyDescent="0.25">
      <c r="A28" s="70" t="str">
        <f t="shared" si="3"/>
        <v>EW</v>
      </c>
      <c r="B28" s="43" t="s">
        <v>358</v>
      </c>
      <c r="C28" s="44"/>
      <c r="D28" s="44"/>
      <c r="E28" s="74" t="str">
        <f t="shared" si="1"/>
        <v>EBT (EW)</v>
      </c>
      <c r="F28" s="54">
        <f>F24-F26</f>
        <v>737.89999999999986</v>
      </c>
      <c r="G28" s="54">
        <f>G24-G26</f>
        <v>1034.8999999999999</v>
      </c>
      <c r="H28" s="54">
        <f>H24-H26</f>
        <v>761.40000000000009</v>
      </c>
      <c r="I28" s="71"/>
      <c r="J28" s="54">
        <f t="shared" ref="J28" si="25">J24-J26</f>
        <v>1044.5521832415532</v>
      </c>
      <c r="K28" s="62"/>
      <c r="L28" s="67">
        <f t="shared" si="2"/>
        <v>-0.27107519163173677</v>
      </c>
    </row>
    <row r="29" spans="1:12" ht="12" customHeight="1" outlineLevel="1" x14ac:dyDescent="0.25">
      <c r="A29" s="70" t="str">
        <f t="shared" si="3"/>
        <v>EW</v>
      </c>
      <c r="B29" s="42" t="s">
        <v>359</v>
      </c>
      <c r="C29" s="46"/>
      <c r="D29" s="72"/>
      <c r="E29" s="72" t="str">
        <f t="shared" si="1"/>
        <v>EBT Margin (%) (EW)</v>
      </c>
      <c r="F29" s="47">
        <f>F28/F7</f>
        <v>0.2489793163950467</v>
      </c>
      <c r="G29" s="47">
        <f>G28/G7</f>
        <v>0.30125462113934731</v>
      </c>
      <c r="H29" s="47">
        <f>H28/H7</f>
        <v>0.20452347695283121</v>
      </c>
      <c r="I29" s="71"/>
      <c r="J29" s="47">
        <f t="shared" ref="J29" si="26">J28/J7</f>
        <v>0.28260508173287757</v>
      </c>
      <c r="K29" s="62"/>
      <c r="L29" s="67">
        <f t="shared" si="2"/>
        <v>-0.27629228852243437</v>
      </c>
    </row>
    <row r="30" spans="1:12" ht="12" customHeight="1" outlineLevel="1" x14ac:dyDescent="0.25">
      <c r="A30" s="70" t="str">
        <f t="shared" si="3"/>
        <v>EW</v>
      </c>
      <c r="B30" s="42" t="s">
        <v>360</v>
      </c>
      <c r="C30" s="41"/>
      <c r="D30" s="40"/>
      <c r="E30" s="40" t="str">
        <f t="shared" si="1"/>
        <v>Income Tax Expense (EW)</v>
      </c>
      <c r="F30" s="55">
        <f>F62</f>
        <v>168.4</v>
      </c>
      <c r="G30" s="55">
        <f t="shared" ref="G30:J30" si="27">G62</f>
        <v>451.3</v>
      </c>
      <c r="H30" s="55">
        <f t="shared" si="27"/>
        <v>39.200000000000003</v>
      </c>
      <c r="I30" s="71"/>
      <c r="J30" s="55">
        <f t="shared" si="27"/>
        <v>124.24260246331782</v>
      </c>
      <c r="K30" s="62"/>
      <c r="L30" s="67">
        <f t="shared" si="2"/>
        <v>-0.68448825746729136</v>
      </c>
    </row>
    <row r="31" spans="1:12" ht="12" customHeight="1" outlineLevel="1" x14ac:dyDescent="0.25">
      <c r="A31" s="70" t="str">
        <f t="shared" si="3"/>
        <v>EW</v>
      </c>
      <c r="B31" s="42" t="s">
        <v>361</v>
      </c>
      <c r="C31" s="46"/>
      <c r="D31" s="72"/>
      <c r="E31" s="72" t="str">
        <f t="shared" si="1"/>
        <v>Effective Tax Rate (%) (EW)</v>
      </c>
      <c r="F31" s="47">
        <f>F30/F28</f>
        <v>0.22821520531237299</v>
      </c>
      <c r="G31" s="47">
        <f>G30/G28</f>
        <v>0.43608078075176354</v>
      </c>
      <c r="H31" s="47">
        <f>H30/H28</f>
        <v>5.148410822169687E-2</v>
      </c>
      <c r="I31" s="71"/>
      <c r="J31" s="47">
        <f t="shared" ref="J31" si="28">J30/J28</f>
        <v>0.11894341370074631</v>
      </c>
      <c r="K31" s="62"/>
      <c r="L31" s="67">
        <f t="shared" si="2"/>
        <v>-0.56715461058459737</v>
      </c>
    </row>
    <row r="32" spans="1:12" ht="12" customHeight="1" outlineLevel="1" x14ac:dyDescent="0.25">
      <c r="A32" s="70" t="str">
        <f t="shared" si="3"/>
        <v>EW</v>
      </c>
      <c r="B32" s="42" t="s">
        <v>362</v>
      </c>
      <c r="C32" s="41"/>
      <c r="D32" s="40"/>
      <c r="E32" s="40" t="str">
        <f t="shared" si="1"/>
        <v>Noncontrolling Interest (EW)</v>
      </c>
      <c r="F32" s="52">
        <v>0</v>
      </c>
      <c r="G32" s="52">
        <v>0</v>
      </c>
      <c r="H32" s="52">
        <v>0</v>
      </c>
      <c r="I32" s="71"/>
      <c r="J32" s="52">
        <v>0</v>
      </c>
      <c r="K32" s="62"/>
      <c r="L32" s="67">
        <f t="shared" si="2"/>
        <v>0</v>
      </c>
    </row>
    <row r="33" spans="1:13" ht="12" customHeight="1" outlineLevel="1" thickBot="1" x14ac:dyDescent="0.3">
      <c r="A33" s="70" t="str">
        <f t="shared" si="3"/>
        <v>EW</v>
      </c>
      <c r="B33" s="43" t="s">
        <v>170</v>
      </c>
      <c r="C33" s="44"/>
      <c r="D33" s="44"/>
      <c r="E33" s="74" t="str">
        <f t="shared" si="1"/>
        <v>Net Income (EW)</v>
      </c>
      <c r="F33" s="56">
        <f>F28-SUM(F30,F32)</f>
        <v>569.49999999999989</v>
      </c>
      <c r="G33" s="56">
        <f>G28-SUM(G30,G32)</f>
        <v>583.59999999999991</v>
      </c>
      <c r="H33" s="56">
        <f>H28-SUM(H30,H32)</f>
        <v>722.2</v>
      </c>
      <c r="I33" s="71"/>
      <c r="J33" s="56">
        <f t="shared" ref="J33" si="29">J28-SUM(J30,J32)</f>
        <v>920.30958077823539</v>
      </c>
      <c r="K33" s="62"/>
      <c r="L33" s="67">
        <f t="shared" si="2"/>
        <v>-0.2152640643061754</v>
      </c>
    </row>
    <row r="34" spans="1:13" ht="12" customHeight="1" outlineLevel="1" thickTop="1" x14ac:dyDescent="0.25">
      <c r="A34" s="70" t="str">
        <f t="shared" si="3"/>
        <v>EW</v>
      </c>
      <c r="B34" s="42" t="s">
        <v>363</v>
      </c>
      <c r="C34" s="46"/>
      <c r="D34" s="72"/>
      <c r="E34" s="72" t="str">
        <f t="shared" si="1"/>
        <v>Net Profit Margin (%) (EW)</v>
      </c>
      <c r="F34" s="47">
        <f>F33/F7</f>
        <v>0.19215845058541686</v>
      </c>
      <c r="G34" s="47">
        <f>G33/G7</f>
        <v>0.16988327074782403</v>
      </c>
      <c r="H34" s="47">
        <f>H33/H7</f>
        <v>0.19399376813151392</v>
      </c>
      <c r="I34" s="71"/>
      <c r="J34" s="47">
        <f t="shared" ref="J34" si="30">J33/J7</f>
        <v>0.24899106858239067</v>
      </c>
      <c r="K34" s="62"/>
      <c r="L34" s="67">
        <f t="shared" si="2"/>
        <v>-0.22088061537307013</v>
      </c>
    </row>
    <row r="35" spans="1:13" ht="12" customHeight="1" outlineLevel="1" x14ac:dyDescent="0.25">
      <c r="A35" s="70" t="str">
        <f t="shared" si="3"/>
        <v>EW</v>
      </c>
      <c r="B35" s="42"/>
      <c r="C35" s="41"/>
      <c r="D35" s="40"/>
      <c r="E35" s="40" t="str">
        <f t="shared" si="1"/>
        <v xml:space="preserve"> (EW)</v>
      </c>
      <c r="F35" s="41"/>
      <c r="G35" s="41"/>
      <c r="H35" s="41"/>
      <c r="I35" s="71"/>
      <c r="J35" s="41"/>
      <c r="K35" s="62"/>
      <c r="L35" s="67"/>
    </row>
    <row r="36" spans="1:13" ht="12" customHeight="1" outlineLevel="1" x14ac:dyDescent="0.25">
      <c r="A36" s="70" t="str">
        <f t="shared" si="3"/>
        <v>EW</v>
      </c>
      <c r="B36" s="42"/>
      <c r="C36" s="41"/>
      <c r="D36" s="40"/>
      <c r="E36" s="40" t="str">
        <f t="shared" si="1"/>
        <v xml:space="preserve"> (EW)</v>
      </c>
      <c r="F36" s="41"/>
      <c r="G36" s="41"/>
      <c r="H36" s="41"/>
      <c r="I36" s="71"/>
      <c r="J36" s="41"/>
      <c r="K36" s="62"/>
      <c r="L36" s="67"/>
    </row>
    <row r="37" spans="1:13" ht="12" customHeight="1" outlineLevel="1" x14ac:dyDescent="0.25">
      <c r="A37" s="70" t="str">
        <f t="shared" si="3"/>
        <v>EW</v>
      </c>
      <c r="B37" s="42" t="s">
        <v>364</v>
      </c>
      <c r="C37" s="41"/>
      <c r="D37" s="40"/>
      <c r="E37" s="40" t="str">
        <f t="shared" si="1"/>
        <v>Earnings Per Share (EW)</v>
      </c>
      <c r="F37" s="41"/>
      <c r="G37" s="41"/>
      <c r="H37" s="41"/>
      <c r="I37" s="71"/>
      <c r="J37" s="41"/>
      <c r="K37" s="62"/>
      <c r="L37" s="67"/>
    </row>
    <row r="38" spans="1:13" ht="12" customHeight="1" outlineLevel="1" x14ac:dyDescent="0.25">
      <c r="A38" s="70" t="str">
        <f t="shared" si="3"/>
        <v>EW</v>
      </c>
      <c r="B38" s="42" t="s">
        <v>365</v>
      </c>
      <c r="C38" s="57"/>
      <c r="D38" s="73"/>
      <c r="E38" s="73" t="str">
        <f t="shared" si="1"/>
        <v>Basic (EW)</v>
      </c>
      <c r="F38" s="58">
        <f>F65</f>
        <v>2.67</v>
      </c>
      <c r="G38" s="58">
        <f t="shared" ref="G38:H38" si="31">G65</f>
        <v>2.77</v>
      </c>
      <c r="H38" s="58">
        <f t="shared" si="31"/>
        <v>3.45</v>
      </c>
      <c r="I38" s="71"/>
      <c r="J38" s="58">
        <f t="shared" ref="J38" si="32">J65</f>
        <v>4.3867122894201689</v>
      </c>
      <c r="K38" s="62"/>
      <c r="L38" s="67">
        <f t="shared" si="2"/>
        <v>-0.21353401536711736</v>
      </c>
    </row>
    <row r="39" spans="1:13" ht="12" customHeight="1" outlineLevel="1" x14ac:dyDescent="0.25">
      <c r="A39" s="70" t="str">
        <f t="shared" si="3"/>
        <v>EW</v>
      </c>
      <c r="B39" s="42" t="s">
        <v>366</v>
      </c>
      <c r="C39" s="57"/>
      <c r="D39" s="73"/>
      <c r="E39" s="73" t="str">
        <f t="shared" si="1"/>
        <v>Diluted (EW)</v>
      </c>
      <c r="F39" s="58">
        <f>F66</f>
        <v>2.61</v>
      </c>
      <c r="G39" s="58">
        <f t="shared" ref="G39:H39" si="33">G66</f>
        <v>2.7</v>
      </c>
      <c r="H39" s="58">
        <f t="shared" si="33"/>
        <v>3.38</v>
      </c>
      <c r="I39" s="71"/>
      <c r="J39" s="58">
        <f t="shared" ref="J39" si="34">J66</f>
        <v>4.3020524426746505</v>
      </c>
      <c r="K39" s="62"/>
      <c r="L39" s="67">
        <f t="shared" si="2"/>
        <v>-0.21432849900393047</v>
      </c>
    </row>
    <row r="40" spans="1:13" ht="12" customHeight="1" outlineLevel="1" x14ac:dyDescent="0.25">
      <c r="A40" s="70" t="str">
        <f t="shared" si="3"/>
        <v>EW</v>
      </c>
      <c r="B40" s="42"/>
      <c r="C40" s="41"/>
      <c r="D40" s="40"/>
      <c r="E40" s="40" t="str">
        <f t="shared" si="1"/>
        <v xml:space="preserve"> (EW)</v>
      </c>
      <c r="F40" s="41"/>
      <c r="G40" s="41"/>
      <c r="H40" s="41"/>
      <c r="I40" s="71"/>
      <c r="J40" s="41"/>
      <c r="K40" s="62"/>
      <c r="L40" s="67"/>
    </row>
    <row r="41" spans="1:13" ht="12" customHeight="1" outlineLevel="1" x14ac:dyDescent="0.25">
      <c r="A41" s="70" t="str">
        <f t="shared" si="3"/>
        <v>EW</v>
      </c>
      <c r="B41" s="42" t="s">
        <v>367</v>
      </c>
      <c r="C41" s="41"/>
      <c r="D41" s="40"/>
      <c r="E41" s="40" t="str">
        <f t="shared" si="1"/>
        <v>Avg. Common Shares Outstanding (EW)</v>
      </c>
      <c r="F41" s="41"/>
      <c r="G41" s="41"/>
      <c r="H41" s="41"/>
      <c r="I41" s="71"/>
      <c r="J41" s="41"/>
      <c r="K41" s="62"/>
      <c r="L41" s="67"/>
    </row>
    <row r="42" spans="1:13" ht="12" customHeight="1" outlineLevel="1" x14ac:dyDescent="0.25">
      <c r="A42" s="70" t="str">
        <f t="shared" si="3"/>
        <v>EW</v>
      </c>
      <c r="B42" s="42" t="s">
        <v>365</v>
      </c>
      <c r="C42" s="41"/>
      <c r="D42" s="40"/>
      <c r="E42" s="40" t="str">
        <f t="shared" si="1"/>
        <v>Basic (EW)</v>
      </c>
      <c r="F42" s="53">
        <f>F33/F38</f>
        <v>213.29588014981269</v>
      </c>
      <c r="G42" s="53">
        <f>G33/G38</f>
        <v>210.68592057761728</v>
      </c>
      <c r="H42" s="53">
        <f>H33/H38</f>
        <v>209.33333333333334</v>
      </c>
      <c r="I42" s="71"/>
      <c r="J42" s="53">
        <f t="shared" ref="J42" si="35">J33/J38</f>
        <v>209.79483496053052</v>
      </c>
      <c r="K42" s="62"/>
      <c r="L42" s="67">
        <f t="shared" si="2"/>
        <v>-2.1997759252938565E-3</v>
      </c>
    </row>
    <row r="43" spans="1:13" ht="12" customHeight="1" outlineLevel="1" x14ac:dyDescent="0.25">
      <c r="A43" s="70" t="str">
        <f t="shared" si="3"/>
        <v>EW</v>
      </c>
      <c r="B43" s="42" t="s">
        <v>366</v>
      </c>
      <c r="C43" s="41"/>
      <c r="D43" s="40"/>
      <c r="E43" s="40" t="str">
        <f t="shared" si="1"/>
        <v>Diluted (EW)</v>
      </c>
      <c r="F43" s="53">
        <f>F33/F39</f>
        <v>218.19923371647505</v>
      </c>
      <c r="G43" s="53">
        <f>G33/G39</f>
        <v>216.1481481481481</v>
      </c>
      <c r="H43" s="53">
        <f>H33/H39</f>
        <v>213.66863905325445</v>
      </c>
      <c r="I43" s="71"/>
      <c r="J43" s="53">
        <f t="shared" ref="J43" si="36">J33/J39</f>
        <v>213.92337565417151</v>
      </c>
      <c r="K43" s="62"/>
      <c r="L43" s="67">
        <f t="shared" si="2"/>
        <v>-1.1907843176935939E-3</v>
      </c>
    </row>
    <row r="44" spans="1:13" ht="12" customHeight="1" outlineLevel="1" x14ac:dyDescent="0.25">
      <c r="B44" s="62"/>
      <c r="C44" s="62"/>
      <c r="D44" s="62"/>
      <c r="E44" s="62"/>
      <c r="F44" s="62"/>
      <c r="G44" s="62"/>
      <c r="H44" s="62"/>
      <c r="I44" s="15"/>
      <c r="J44" s="62"/>
      <c r="K44" s="62"/>
      <c r="L44" s="62"/>
    </row>
    <row r="45" spans="1:13" ht="12" customHeight="1" outlineLevel="1" x14ac:dyDescent="0.25">
      <c r="B45" s="63" t="s">
        <v>371</v>
      </c>
      <c r="C45" s="63"/>
      <c r="D45" s="63"/>
      <c r="E45" s="63"/>
      <c r="F45" s="63"/>
      <c r="G45" s="63"/>
      <c r="H45" s="63"/>
      <c r="I45" s="63"/>
      <c r="J45" s="63"/>
      <c r="K45" s="63"/>
      <c r="L45" s="64"/>
      <c r="M45" s="64"/>
    </row>
    <row r="46" spans="1:13" ht="12" hidden="1" customHeight="1" outlineLevel="2" x14ac:dyDescent="0.25">
      <c r="B46" s="1"/>
    </row>
    <row r="47" spans="1:13" ht="12" hidden="1" customHeight="1" outlineLevel="2" x14ac:dyDescent="0.25">
      <c r="B47" s="8" t="s">
        <v>1</v>
      </c>
    </row>
    <row r="48" spans="1:13" ht="12" hidden="1" customHeight="1" outlineLevel="2" x14ac:dyDescent="0.25">
      <c r="B48" s="8" t="s">
        <v>230</v>
      </c>
      <c r="F48" s="3" t="s">
        <v>4</v>
      </c>
      <c r="G48" s="3" t="s">
        <v>3</v>
      </c>
      <c r="H48" s="3" t="s">
        <v>2</v>
      </c>
      <c r="J48" s="14" t="s">
        <v>2</v>
      </c>
      <c r="L48" s="36">
        <f>MEDIAN(L50:L72)</f>
        <v>-4.1067327081638072E-3</v>
      </c>
    </row>
    <row r="49" spans="2:12" ht="12" hidden="1" customHeight="1" outlineLevel="2" x14ac:dyDescent="0.25">
      <c r="B49" s="8" t="s">
        <v>5</v>
      </c>
      <c r="J49" s="15"/>
    </row>
    <row r="50" spans="2:12" ht="12" hidden="1" customHeight="1" outlineLevel="2" x14ac:dyDescent="0.25">
      <c r="B50" s="8" t="s">
        <v>6</v>
      </c>
      <c r="F50" s="4">
        <v>2963.7</v>
      </c>
      <c r="G50" s="4">
        <v>3435.3</v>
      </c>
      <c r="H50" s="4">
        <v>3722.8</v>
      </c>
      <c r="J50" s="14">
        <v>3696.1549906907871</v>
      </c>
      <c r="L50" s="36">
        <f>IF(ISERROR(H50/J50-1),0,(H50/J50-1))</f>
        <v>7.2088452395318026E-3</v>
      </c>
    </row>
    <row r="51" spans="2:12" ht="12" hidden="1" customHeight="1" outlineLevel="2" x14ac:dyDescent="0.25">
      <c r="B51" s="8" t="s">
        <v>7</v>
      </c>
      <c r="F51" s="5">
        <v>797.4</v>
      </c>
      <c r="G51" s="5">
        <v>875.3</v>
      </c>
      <c r="H51" s="5">
        <v>939.4</v>
      </c>
      <c r="J51" s="16">
        <v>954.97343186312833</v>
      </c>
      <c r="L51" s="36">
        <f t="shared" ref="L51:L72" si="37">IF(ISERROR(H51/J51-1),0,(H51/J51-1))</f>
        <v>-1.6307712176604761E-2</v>
      </c>
    </row>
    <row r="52" spans="2:12" ht="12" hidden="1" customHeight="1" outlineLevel="2" x14ac:dyDescent="0.25">
      <c r="B52" s="8" t="s">
        <v>8</v>
      </c>
      <c r="F52" s="9">
        <f>F50-F51</f>
        <v>2166.2999999999997</v>
      </c>
      <c r="G52" s="9">
        <f t="shared" ref="G52" si="38">G50-G51</f>
        <v>2560</v>
      </c>
      <c r="H52" s="9">
        <f t="shared" ref="H52" si="39">H50-H51</f>
        <v>2783.4</v>
      </c>
      <c r="J52" s="17">
        <v>2741.1815588276586</v>
      </c>
      <c r="L52" s="36">
        <f t="shared" si="37"/>
        <v>1.5401548662977715E-2</v>
      </c>
    </row>
    <row r="53" spans="2:12" ht="12" hidden="1" customHeight="1" outlineLevel="2" x14ac:dyDescent="0.25">
      <c r="B53" s="8" t="s">
        <v>9</v>
      </c>
      <c r="F53" s="2">
        <v>904.7</v>
      </c>
      <c r="G53" s="2">
        <v>990.8</v>
      </c>
      <c r="H53" s="2">
        <v>1088.5</v>
      </c>
      <c r="J53" s="18">
        <v>1071.177685119781</v>
      </c>
      <c r="L53" s="36">
        <f t="shared" si="37"/>
        <v>1.6171280564234225E-2</v>
      </c>
    </row>
    <row r="54" spans="2:12" ht="12" hidden="1" customHeight="1" outlineLevel="2" x14ac:dyDescent="0.25">
      <c r="B54" s="8" t="s">
        <v>10</v>
      </c>
      <c r="F54" s="3">
        <v>442.2</v>
      </c>
      <c r="G54" s="3">
        <v>552.6</v>
      </c>
      <c r="H54" s="3">
        <v>622.20000000000005</v>
      </c>
      <c r="J54" s="14">
        <v>604.89852549425223</v>
      </c>
      <c r="L54" s="36">
        <f t="shared" si="37"/>
        <v>2.8602275880257988E-2</v>
      </c>
    </row>
    <row r="55" spans="2:12" ht="12" hidden="1" customHeight="1" outlineLevel="2" x14ac:dyDescent="0.25">
      <c r="B55" s="8" t="s">
        <v>231</v>
      </c>
      <c r="F55" s="3">
        <v>32.6</v>
      </c>
      <c r="G55" s="3">
        <v>-73.3</v>
      </c>
      <c r="H55" s="3">
        <v>214</v>
      </c>
      <c r="J55" s="14">
        <v>19.100000000000001</v>
      </c>
      <c r="L55" s="36">
        <f t="shared" si="37"/>
        <v>10.204188481675391</v>
      </c>
    </row>
    <row r="56" spans="2:12" ht="12" hidden="1" customHeight="1" outlineLevel="2" x14ac:dyDescent="0.25">
      <c r="B56" s="8" t="s">
        <v>11</v>
      </c>
      <c r="F56" s="3">
        <v>1.1000000000000001</v>
      </c>
      <c r="G56" s="3">
        <v>-9.9</v>
      </c>
      <c r="H56" s="3">
        <v>-5.7</v>
      </c>
      <c r="J56" s="14">
        <v>8.2999999999999989</v>
      </c>
      <c r="L56" s="36">
        <f t="shared" si="37"/>
        <v>-1.6867469879518073</v>
      </c>
    </row>
    <row r="57" spans="2:12" ht="12" hidden="1" customHeight="1" outlineLevel="2" x14ac:dyDescent="0.25">
      <c r="B57" s="8" t="s">
        <v>232</v>
      </c>
      <c r="F57" s="3">
        <v>34.5</v>
      </c>
      <c r="G57" s="3">
        <v>60.6</v>
      </c>
      <c r="H57" s="3">
        <v>109.10000000000001</v>
      </c>
      <c r="J57" s="14">
        <v>-7.1</v>
      </c>
      <c r="L57" s="36">
        <f t="shared" si="37"/>
        <v>-16.366197183098592</v>
      </c>
    </row>
    <row r="58" spans="2:12" ht="12" hidden="1" customHeight="1" outlineLevel="2" x14ac:dyDescent="0.25">
      <c r="B58" s="8" t="s">
        <v>13</v>
      </c>
      <c r="F58" s="3">
        <v>19.2</v>
      </c>
      <c r="G58" s="3">
        <v>23.2</v>
      </c>
      <c r="H58" s="3">
        <v>29.9</v>
      </c>
      <c r="J58" s="14">
        <v>2.8531649720723622</v>
      </c>
      <c r="L58" s="36">
        <f t="shared" si="37"/>
        <v>9.4795903120465166</v>
      </c>
    </row>
    <row r="59" spans="2:12" ht="12" hidden="1" customHeight="1" outlineLevel="2" x14ac:dyDescent="0.25">
      <c r="B59" s="8" t="s">
        <v>14</v>
      </c>
      <c r="F59" s="3">
        <v>-10.8</v>
      </c>
      <c r="G59" s="3">
        <v>-20.3</v>
      </c>
      <c r="H59" s="3">
        <v>-32</v>
      </c>
      <c r="J59" s="14">
        <v>-0.30000000000000004</v>
      </c>
      <c r="L59" s="36">
        <f t="shared" si="37"/>
        <v>105.66666666666666</v>
      </c>
    </row>
    <row r="60" spans="2:12" ht="12" hidden="1" customHeight="1" outlineLevel="2" x14ac:dyDescent="0.25">
      <c r="B60" s="8" t="s">
        <v>233</v>
      </c>
      <c r="F60" s="3">
        <v>4.9000000000000004</v>
      </c>
      <c r="G60" s="3">
        <v>1.4</v>
      </c>
      <c r="H60" s="3">
        <v>-4</v>
      </c>
      <c r="J60" s="14">
        <v>-2.2999999999999998</v>
      </c>
      <c r="L60" s="36">
        <f t="shared" si="37"/>
        <v>0.73913043478260887</v>
      </c>
    </row>
    <row r="61" spans="2:12" ht="12" hidden="1" customHeight="1" outlineLevel="2" x14ac:dyDescent="0.25">
      <c r="B61" s="8" t="s">
        <v>15</v>
      </c>
      <c r="F61" s="9">
        <f t="shared" ref="F61:H61" si="40">F52-SUM(F53:F60)</f>
        <v>737.89999999999964</v>
      </c>
      <c r="G61" s="9">
        <f t="shared" si="40"/>
        <v>1034.8999999999999</v>
      </c>
      <c r="H61" s="9">
        <f t="shared" si="40"/>
        <v>761.40000000000009</v>
      </c>
      <c r="J61" s="17">
        <v>1044.5521832415529</v>
      </c>
      <c r="L61" s="36">
        <f t="shared" si="37"/>
        <v>-0.27107519163173666</v>
      </c>
    </row>
    <row r="62" spans="2:12" ht="12" hidden="1" customHeight="1" outlineLevel="2" x14ac:dyDescent="0.25">
      <c r="B62" s="8" t="s">
        <v>16</v>
      </c>
      <c r="F62" s="6">
        <v>168.4</v>
      </c>
      <c r="G62" s="6">
        <v>451.3</v>
      </c>
      <c r="H62" s="6">
        <v>39.200000000000003</v>
      </c>
      <c r="J62" s="14">
        <v>124.24260246331782</v>
      </c>
      <c r="L62" s="36">
        <f t="shared" si="37"/>
        <v>-0.68448825746729136</v>
      </c>
    </row>
    <row r="63" spans="2:12" ht="12" hidden="1" customHeight="1" outlineLevel="2" thickBot="1" x14ac:dyDescent="0.3">
      <c r="B63" s="8" t="s">
        <v>17</v>
      </c>
      <c r="F63" s="10">
        <f t="shared" ref="F63:H63" si="41">F61-F62</f>
        <v>569.49999999999966</v>
      </c>
      <c r="G63" s="10">
        <f t="shared" si="41"/>
        <v>583.59999999999991</v>
      </c>
      <c r="H63" s="10">
        <f t="shared" si="41"/>
        <v>722.2</v>
      </c>
      <c r="J63" s="19">
        <v>920.30958077823516</v>
      </c>
      <c r="L63" s="36">
        <f t="shared" si="37"/>
        <v>-0.21526406430617517</v>
      </c>
    </row>
    <row r="64" spans="2:12" ht="12" hidden="1" customHeight="1" outlineLevel="2" thickTop="1" x14ac:dyDescent="0.25">
      <c r="B64" s="8" t="s">
        <v>18</v>
      </c>
      <c r="J64" s="15"/>
      <c r="L64" s="35"/>
    </row>
    <row r="65" spans="1:13" ht="12" hidden="1" customHeight="1" outlineLevel="2" x14ac:dyDescent="0.25">
      <c r="B65" s="8" t="s">
        <v>19</v>
      </c>
      <c r="F65" s="11">
        <v>2.67</v>
      </c>
      <c r="G65" s="11">
        <v>2.77</v>
      </c>
      <c r="H65" s="11">
        <v>3.45</v>
      </c>
      <c r="J65" s="20">
        <v>4.3867122894201689</v>
      </c>
      <c r="L65" s="36">
        <f t="shared" si="37"/>
        <v>-0.21353401536711736</v>
      </c>
    </row>
    <row r="66" spans="1:13" ht="12" hidden="1" customHeight="1" outlineLevel="2" x14ac:dyDescent="0.25">
      <c r="B66" s="8" t="s">
        <v>20</v>
      </c>
      <c r="F66" s="11">
        <v>2.61</v>
      </c>
      <c r="G66" s="11">
        <v>2.7</v>
      </c>
      <c r="H66" s="11">
        <v>3.38</v>
      </c>
      <c r="J66" s="20">
        <v>4.3020524426746505</v>
      </c>
      <c r="L66" s="36">
        <f t="shared" si="37"/>
        <v>-0.21432849900393047</v>
      </c>
    </row>
    <row r="67" spans="1:13" ht="12" hidden="1" customHeight="1" outlineLevel="2" x14ac:dyDescent="0.25">
      <c r="B67" s="8" t="s">
        <v>21</v>
      </c>
      <c r="J67" s="15"/>
      <c r="L67" s="35"/>
    </row>
    <row r="68" spans="1:13" ht="12" hidden="1" customHeight="1" outlineLevel="2" x14ac:dyDescent="0.25">
      <c r="B68" s="8" t="s">
        <v>22</v>
      </c>
      <c r="F68" s="3">
        <v>213</v>
      </c>
      <c r="G68" s="3">
        <v>210.9</v>
      </c>
      <c r="H68" s="3">
        <v>209.2</v>
      </c>
      <c r="J68" s="14">
        <v>210</v>
      </c>
      <c r="L68" s="36">
        <f t="shared" si="37"/>
        <v>-3.8095238095238182E-3</v>
      </c>
    </row>
    <row r="69" spans="1:13" ht="12" hidden="1" customHeight="1" outlineLevel="2" x14ac:dyDescent="0.25">
      <c r="B69" s="8" t="s">
        <v>23</v>
      </c>
      <c r="F69" s="3">
        <v>217.8</v>
      </c>
      <c r="G69" s="3">
        <v>215.9</v>
      </c>
      <c r="H69" s="3">
        <v>213.6</v>
      </c>
      <c r="J69" s="14">
        <v>213.2</v>
      </c>
      <c r="L69" s="36">
        <f t="shared" si="37"/>
        <v>1.8761726078799779E-3</v>
      </c>
    </row>
    <row r="70" spans="1:13" ht="12" hidden="1" customHeight="1" outlineLevel="2" x14ac:dyDescent="0.25">
      <c r="J70" s="21"/>
      <c r="L70" s="35"/>
    </row>
    <row r="71" spans="1:13" ht="12" hidden="1" customHeight="1" outlineLevel="2" x14ac:dyDescent="0.25">
      <c r="B71" s="8" t="s">
        <v>24</v>
      </c>
      <c r="F71" s="3">
        <v>71.2</v>
      </c>
      <c r="G71" s="3">
        <v>81.900000000000006</v>
      </c>
      <c r="H71" s="3">
        <v>77.400000000000006</v>
      </c>
      <c r="J71" s="14">
        <v>77.742372870496041</v>
      </c>
      <c r="L71" s="36">
        <f t="shared" si="37"/>
        <v>-4.4039416068037962E-3</v>
      </c>
    </row>
    <row r="72" spans="1:13" ht="12" hidden="1" customHeight="1" outlineLevel="2" x14ac:dyDescent="0.25">
      <c r="B72" s="8" t="s">
        <v>26</v>
      </c>
      <c r="F72" s="3">
        <v>-176.1</v>
      </c>
      <c r="G72" s="3">
        <v>-168.1</v>
      </c>
      <c r="H72" s="3">
        <v>-238.7</v>
      </c>
      <c r="J72" s="14">
        <v>-251.32099061273419</v>
      </c>
      <c r="L72" s="36">
        <f t="shared" si="37"/>
        <v>-5.021860920555643E-2</v>
      </c>
    </row>
    <row r="73" spans="1:13" ht="12" customHeight="1" outlineLevel="1" collapsed="1" x14ac:dyDescent="0.25"/>
    <row r="74" spans="1:13" ht="12" customHeight="1" x14ac:dyDescent="0.25">
      <c r="B74" s="61" t="s">
        <v>372</v>
      </c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91" t="s">
        <v>27</v>
      </c>
    </row>
    <row r="75" spans="1:13" ht="12" customHeight="1" x14ac:dyDescent="0.25">
      <c r="B75" s="38"/>
      <c r="C75" s="15"/>
      <c r="D75" s="15"/>
      <c r="E75" s="15"/>
      <c r="F75" s="15"/>
      <c r="G75" s="15"/>
      <c r="H75" s="15"/>
      <c r="I75" s="15"/>
      <c r="J75" s="15"/>
      <c r="K75" s="62"/>
      <c r="L75" s="62"/>
    </row>
    <row r="76" spans="1:13" ht="12" customHeight="1" outlineLevel="1" x14ac:dyDescent="0.25">
      <c r="B76" s="85" t="s">
        <v>338</v>
      </c>
      <c r="C76" s="86"/>
      <c r="D76" s="86"/>
      <c r="E76" s="86"/>
      <c r="F76" s="65"/>
      <c r="G76" s="59" t="s">
        <v>369</v>
      </c>
      <c r="H76" s="59"/>
      <c r="I76" s="15"/>
      <c r="J76" s="82" t="s">
        <v>370</v>
      </c>
      <c r="K76" s="62"/>
      <c r="L76" s="68" t="s">
        <v>386</v>
      </c>
    </row>
    <row r="77" spans="1:13" ht="12" customHeight="1" outlineLevel="1" x14ac:dyDescent="0.25">
      <c r="B77" s="87"/>
      <c r="C77" s="88"/>
      <c r="D77" s="88"/>
      <c r="E77" s="88"/>
      <c r="F77" s="66"/>
      <c r="G77" s="83">
        <f>H77-1</f>
        <v>2018</v>
      </c>
      <c r="H77" s="83">
        <f>J77</f>
        <v>2019</v>
      </c>
      <c r="I77" s="15"/>
      <c r="J77" s="84">
        <v>2019</v>
      </c>
      <c r="K77" s="62"/>
      <c r="L77" s="68" t="s">
        <v>370</v>
      </c>
    </row>
    <row r="78" spans="1:13" ht="12" customHeight="1" outlineLevel="1" x14ac:dyDescent="0.25">
      <c r="B78" s="62"/>
      <c r="C78" s="62"/>
      <c r="D78" s="62"/>
      <c r="E78" s="62"/>
      <c r="F78" s="62"/>
      <c r="G78" s="40"/>
      <c r="H78" s="40"/>
      <c r="I78" s="15"/>
      <c r="J78" s="40"/>
      <c r="K78" s="62"/>
      <c r="L78" s="62"/>
    </row>
    <row r="79" spans="1:13" ht="12" customHeight="1" outlineLevel="1" x14ac:dyDescent="0.25">
      <c r="A79" s="70" t="str">
        <f>M74</f>
        <v>A</v>
      </c>
      <c r="B79" s="43" t="s">
        <v>340</v>
      </c>
      <c r="C79" s="44"/>
      <c r="D79" s="44"/>
      <c r="E79" s="74" t="str">
        <f>B79&amp;" ("&amp;A79&amp;")"</f>
        <v>Total Revenue (A)</v>
      </c>
      <c r="F79" s="44"/>
      <c r="G79" s="45">
        <f>G124</f>
        <v>1211</v>
      </c>
      <c r="H79" s="45">
        <f>H124</f>
        <v>1284</v>
      </c>
      <c r="I79" s="71"/>
      <c r="J79" s="45">
        <f>J124</f>
        <v>1217.3117266834008</v>
      </c>
      <c r="K79" s="62"/>
      <c r="L79" s="67">
        <f>IF(ISERROR(H79/J79-1),0,(H79/J79-1))</f>
        <v>5.4783234117273594E-2</v>
      </c>
    </row>
    <row r="80" spans="1:13" ht="12" customHeight="1" outlineLevel="1" x14ac:dyDescent="0.25">
      <c r="A80" s="70" t="str">
        <f>A79</f>
        <v>A</v>
      </c>
      <c r="B80" s="42" t="s">
        <v>341</v>
      </c>
      <c r="C80" s="46"/>
      <c r="D80" s="46"/>
      <c r="E80" s="72" t="str">
        <f t="shared" ref="E80:E115" si="42">B80&amp;" ("&amp;A80&amp;")"</f>
        <v>% Growth (A)</v>
      </c>
      <c r="F80" s="46"/>
      <c r="G80" s="47" t="s">
        <v>342</v>
      </c>
      <c r="H80" s="47">
        <f>H79/G79-1</f>
        <v>6.0280759702725062E-2</v>
      </c>
      <c r="I80" s="71"/>
      <c r="J80" s="47">
        <f>J79/G79-1</f>
        <v>5.211995609744724E-3</v>
      </c>
      <c r="K80" s="62"/>
      <c r="L80" s="67">
        <f t="shared" ref="L80:L115" si="43">IF(ISERROR(H80/J80-1),0,(H80/J80-1))</f>
        <v>10.565773307640512</v>
      </c>
    </row>
    <row r="81" spans="1:12" ht="12" customHeight="1" outlineLevel="1" x14ac:dyDescent="0.25">
      <c r="A81" s="70" t="str">
        <f t="shared" ref="A81:A115" si="44">A80</f>
        <v>A</v>
      </c>
      <c r="B81" s="42" t="s">
        <v>343</v>
      </c>
      <c r="C81" s="41"/>
      <c r="D81" s="41"/>
      <c r="E81" s="40" t="str">
        <f t="shared" si="42"/>
        <v>COGS (A)</v>
      </c>
      <c r="F81" s="41"/>
      <c r="G81" s="48">
        <f>G128</f>
        <v>541</v>
      </c>
      <c r="H81" s="48">
        <f>H128</f>
        <v>577</v>
      </c>
      <c r="I81" s="71"/>
      <c r="J81" s="48">
        <f>J128</f>
        <v>559.75711533171</v>
      </c>
      <c r="K81" s="62"/>
      <c r="L81" s="67">
        <f t="shared" si="43"/>
        <v>3.0804225968743548E-2</v>
      </c>
    </row>
    <row r="82" spans="1:12" ht="12" customHeight="1" outlineLevel="1" x14ac:dyDescent="0.25">
      <c r="A82" s="70" t="str">
        <f t="shared" si="44"/>
        <v>A</v>
      </c>
      <c r="B82" s="42" t="s">
        <v>344</v>
      </c>
      <c r="C82" s="41"/>
      <c r="D82" s="41"/>
      <c r="E82" s="40" t="str">
        <f t="shared" si="42"/>
        <v>Total Depreciation &amp; Amortization (A)</v>
      </c>
      <c r="F82" s="41"/>
      <c r="G82" s="48">
        <f>G154</f>
        <v>51</v>
      </c>
      <c r="H82" s="48">
        <f>H154</f>
        <v>54</v>
      </c>
      <c r="I82" s="71"/>
      <c r="J82" s="48">
        <f>J154</f>
        <v>48.692469067336035</v>
      </c>
      <c r="K82" s="62"/>
      <c r="L82" s="67">
        <f t="shared" si="43"/>
        <v>0.10900106390834829</v>
      </c>
    </row>
    <row r="83" spans="1:12" ht="12" customHeight="1" outlineLevel="1" x14ac:dyDescent="0.25">
      <c r="A83" s="70" t="str">
        <f t="shared" si="44"/>
        <v>A</v>
      </c>
      <c r="B83" s="42" t="s">
        <v>345</v>
      </c>
      <c r="C83" s="41"/>
      <c r="D83" s="41"/>
      <c r="E83" s="40" t="str">
        <f t="shared" si="42"/>
        <v>COGS (Exclusive of D&amp;A) (A)</v>
      </c>
      <c r="F83" s="41"/>
      <c r="G83" s="49">
        <f>G81-G82</f>
        <v>490</v>
      </c>
      <c r="H83" s="49">
        <f>H81-H82</f>
        <v>523</v>
      </c>
      <c r="I83" s="71"/>
      <c r="J83" s="49">
        <f t="shared" ref="J83" si="45">J81-J82</f>
        <v>511.06464626437395</v>
      </c>
      <c r="K83" s="62"/>
      <c r="L83" s="67">
        <f t="shared" si="43"/>
        <v>2.335390213912758E-2</v>
      </c>
    </row>
    <row r="84" spans="1:12" ht="12" customHeight="1" outlineLevel="1" x14ac:dyDescent="0.25">
      <c r="A84" s="70" t="str">
        <f t="shared" si="44"/>
        <v>A</v>
      </c>
      <c r="B84" s="42" t="s">
        <v>346</v>
      </c>
      <c r="C84" s="46"/>
      <c r="D84" s="46"/>
      <c r="E84" s="72" t="str">
        <f t="shared" si="42"/>
        <v>% Total Revenue (A)</v>
      </c>
      <c r="F84" s="46"/>
      <c r="G84" s="50">
        <f>G83/G79</f>
        <v>0.40462427745664742</v>
      </c>
      <c r="H84" s="50">
        <f>H83/H79</f>
        <v>0.40732087227414332</v>
      </c>
      <c r="I84" s="71"/>
      <c r="J84" s="50">
        <f t="shared" ref="J84" si="46">J83/J79</f>
        <v>0.41983054550602544</v>
      </c>
      <c r="K84" s="62"/>
      <c r="L84" s="67">
        <f t="shared" si="43"/>
        <v>-2.9796958238958338E-2</v>
      </c>
    </row>
    <row r="85" spans="1:12" ht="12" customHeight="1" outlineLevel="1" x14ac:dyDescent="0.25">
      <c r="A85" s="70" t="str">
        <f t="shared" si="44"/>
        <v>A</v>
      </c>
      <c r="B85" s="43" t="s">
        <v>347</v>
      </c>
      <c r="C85" s="44"/>
      <c r="D85" s="44"/>
      <c r="E85" s="74" t="str">
        <f t="shared" si="42"/>
        <v>Gross Profit (A)</v>
      </c>
      <c r="F85" s="44"/>
      <c r="G85" s="51">
        <f>G79-G83</f>
        <v>721</v>
      </c>
      <c r="H85" s="51">
        <f>H79-H83</f>
        <v>761</v>
      </c>
      <c r="I85" s="71"/>
      <c r="J85" s="51">
        <f t="shared" ref="J85" si="47">J79-J83</f>
        <v>706.24708041902682</v>
      </c>
      <c r="K85" s="62"/>
      <c r="L85" s="67">
        <f t="shared" si="43"/>
        <v>7.7526578302437033E-2</v>
      </c>
    </row>
    <row r="86" spans="1:12" ht="12" customHeight="1" outlineLevel="1" x14ac:dyDescent="0.25">
      <c r="A86" s="70" t="str">
        <f t="shared" si="44"/>
        <v>A</v>
      </c>
      <c r="B86" s="42" t="s">
        <v>348</v>
      </c>
      <c r="C86" s="46"/>
      <c r="D86" s="46"/>
      <c r="E86" s="72" t="str">
        <f t="shared" si="42"/>
        <v>Gross Profit Margin (%) (A)</v>
      </c>
      <c r="F86" s="46"/>
      <c r="G86" s="47">
        <f>G85/G79</f>
        <v>0.59537572254335258</v>
      </c>
      <c r="H86" s="47">
        <f>H85/H79</f>
        <v>0.59267912772585674</v>
      </c>
      <c r="I86" s="71"/>
      <c r="J86" s="47">
        <f t="shared" ref="J86" si="48">J85/J79</f>
        <v>0.5801694544939745</v>
      </c>
      <c r="K86" s="62"/>
      <c r="L86" s="67">
        <f t="shared" si="43"/>
        <v>2.1562102477099998E-2</v>
      </c>
    </row>
    <row r="87" spans="1:12" ht="12" customHeight="1" outlineLevel="1" x14ac:dyDescent="0.25">
      <c r="A87" s="70" t="str">
        <f t="shared" si="44"/>
        <v>A</v>
      </c>
      <c r="B87" s="42" t="s">
        <v>349</v>
      </c>
      <c r="C87" s="41"/>
      <c r="D87" s="41"/>
      <c r="E87" s="40" t="str">
        <f t="shared" si="42"/>
        <v>Operating expenses (A)</v>
      </c>
      <c r="F87" s="41"/>
      <c r="G87" s="48">
        <f>SUM(G129,G130)</f>
        <v>441</v>
      </c>
      <c r="H87" s="48">
        <f>SUM(H129,H130)</f>
        <v>457</v>
      </c>
      <c r="I87" s="71"/>
      <c r="J87" s="48">
        <f>SUM(J129,J130)</f>
        <v>451.21933887285832</v>
      </c>
      <c r="K87" s="62"/>
      <c r="L87" s="67">
        <f t="shared" si="43"/>
        <v>1.281119985145529E-2</v>
      </c>
    </row>
    <row r="88" spans="1:12" ht="12" customHeight="1" outlineLevel="1" x14ac:dyDescent="0.25">
      <c r="A88" s="70" t="str">
        <f t="shared" si="44"/>
        <v>A</v>
      </c>
      <c r="B88" s="42" t="s">
        <v>346</v>
      </c>
      <c r="C88" s="46"/>
      <c r="D88" s="46"/>
      <c r="E88" s="72" t="str">
        <f t="shared" si="42"/>
        <v>% Total Revenue (A)</v>
      </c>
      <c r="F88" s="46"/>
      <c r="G88" s="50">
        <f>G87/G79</f>
        <v>0.36416184971098264</v>
      </c>
      <c r="H88" s="50">
        <f>H87/H79</f>
        <v>0.35591900311526481</v>
      </c>
      <c r="I88" s="71"/>
      <c r="J88" s="50">
        <f t="shared" ref="J88" si="49">J87/J79</f>
        <v>0.37066868656742324</v>
      </c>
      <c r="K88" s="62"/>
      <c r="L88" s="67">
        <f t="shared" si="43"/>
        <v>-3.9792094629702457E-2</v>
      </c>
    </row>
    <row r="89" spans="1:12" ht="12" customHeight="1" outlineLevel="1" x14ac:dyDescent="0.25">
      <c r="A89" s="70" t="str">
        <f t="shared" si="44"/>
        <v>A</v>
      </c>
      <c r="B89" s="43" t="s">
        <v>350</v>
      </c>
      <c r="C89" s="44"/>
      <c r="D89" s="44"/>
      <c r="E89" s="74" t="str">
        <f t="shared" si="42"/>
        <v>Operating Profit (A)</v>
      </c>
      <c r="F89" s="44"/>
      <c r="G89" s="51">
        <f>G85-G87</f>
        <v>280</v>
      </c>
      <c r="H89" s="51">
        <f>H85-H87</f>
        <v>304</v>
      </c>
      <c r="I89" s="71"/>
      <c r="J89" s="51">
        <f t="shared" ref="J89" si="50">J85-J87</f>
        <v>255.0277415461685</v>
      </c>
      <c r="K89" s="62"/>
      <c r="L89" s="67">
        <f t="shared" si="43"/>
        <v>0.19202718165845467</v>
      </c>
    </row>
    <row r="90" spans="1:12" ht="12" customHeight="1" outlineLevel="1" x14ac:dyDescent="0.25">
      <c r="A90" s="70" t="str">
        <f t="shared" si="44"/>
        <v>A</v>
      </c>
      <c r="B90" s="42" t="s">
        <v>351</v>
      </c>
      <c r="C90" s="46"/>
      <c r="D90" s="46"/>
      <c r="E90" s="72" t="str">
        <f t="shared" si="42"/>
        <v>Operating Profit Margin (%) (A)</v>
      </c>
      <c r="F90" s="46"/>
      <c r="G90" s="47">
        <f>G89/G79</f>
        <v>0.23121387283236994</v>
      </c>
      <c r="H90" s="47">
        <f>H89/H79</f>
        <v>0.2367601246105919</v>
      </c>
      <c r="I90" s="71"/>
      <c r="J90" s="47">
        <f t="shared" ref="J90" si="51">J89/J79</f>
        <v>0.20950076792655123</v>
      </c>
      <c r="K90" s="62"/>
      <c r="L90" s="67">
        <f t="shared" si="43"/>
        <v>0.1301157840795959</v>
      </c>
    </row>
    <row r="91" spans="1:12" ht="12" customHeight="1" outlineLevel="1" x14ac:dyDescent="0.25">
      <c r="A91" s="70" t="str">
        <f t="shared" si="44"/>
        <v>A</v>
      </c>
      <c r="B91" s="42" t="s">
        <v>352</v>
      </c>
      <c r="C91" s="41"/>
      <c r="D91" s="41"/>
      <c r="E91" s="40" t="str">
        <f t="shared" si="42"/>
        <v>Total Other Expenses / (Income) (A)</v>
      </c>
      <c r="F91" s="41"/>
      <c r="G91" s="52">
        <f>-SUM(G135,G139)</f>
        <v>-15</v>
      </c>
      <c r="H91" s="52">
        <f>-SUM(H135,H139)</f>
        <v>-6</v>
      </c>
      <c r="I91" s="71"/>
      <c r="J91" s="52">
        <f>-SUM(J135,J139)</f>
        <v>0</v>
      </c>
      <c r="K91" s="62"/>
      <c r="L91" s="67">
        <f t="shared" si="43"/>
        <v>0</v>
      </c>
    </row>
    <row r="92" spans="1:12" ht="12" customHeight="1" outlineLevel="1" x14ac:dyDescent="0.25">
      <c r="A92" s="70" t="str">
        <f t="shared" si="44"/>
        <v>A</v>
      </c>
      <c r="B92" s="43" t="s">
        <v>353</v>
      </c>
      <c r="C92" s="44"/>
      <c r="D92" s="44"/>
      <c r="E92" s="74" t="str">
        <f t="shared" si="42"/>
        <v>EBITDA (A)</v>
      </c>
      <c r="F92" s="44"/>
      <c r="G92" s="51">
        <f>G89-G91</f>
        <v>295</v>
      </c>
      <c r="H92" s="51">
        <f>H89-H91</f>
        <v>310</v>
      </c>
      <c r="I92" s="71"/>
      <c r="J92" s="51">
        <f t="shared" ref="J92" si="52">J89-J91</f>
        <v>255.0277415461685</v>
      </c>
      <c r="K92" s="62"/>
      <c r="L92" s="67">
        <f t="shared" si="43"/>
        <v>0.2155540339280293</v>
      </c>
    </row>
    <row r="93" spans="1:12" ht="12" customHeight="1" outlineLevel="1" x14ac:dyDescent="0.25">
      <c r="A93" s="70" t="str">
        <f t="shared" si="44"/>
        <v>A</v>
      </c>
      <c r="B93" s="42" t="s">
        <v>354</v>
      </c>
      <c r="C93" s="46"/>
      <c r="D93" s="46"/>
      <c r="E93" s="72" t="str">
        <f t="shared" si="42"/>
        <v>EBITDA Margin (%) (A)</v>
      </c>
      <c r="F93" s="46"/>
      <c r="G93" s="47">
        <f>G92/G79</f>
        <v>0.24360033030553263</v>
      </c>
      <c r="H93" s="47">
        <f>H92/H79</f>
        <v>0.24143302180685358</v>
      </c>
      <c r="I93" s="71"/>
      <c r="J93" s="47">
        <f t="shared" ref="J93" si="53">J92/J79</f>
        <v>0.20950076792655123</v>
      </c>
      <c r="K93" s="62"/>
      <c r="L93" s="67">
        <f t="shared" si="43"/>
        <v>0.15242070087064064</v>
      </c>
    </row>
    <row r="94" spans="1:12" ht="12" customHeight="1" outlineLevel="1" x14ac:dyDescent="0.25">
      <c r="A94" s="70" t="str">
        <f t="shared" si="44"/>
        <v>A</v>
      </c>
      <c r="B94" s="42" t="s">
        <v>344</v>
      </c>
      <c r="C94" s="53"/>
      <c r="D94" s="53"/>
      <c r="E94" s="40" t="str">
        <f t="shared" si="42"/>
        <v>Total Depreciation &amp; Amortization (A)</v>
      </c>
      <c r="F94" s="53"/>
      <c r="G94" s="49">
        <f>G82</f>
        <v>51</v>
      </c>
      <c r="H94" s="49">
        <f>H82</f>
        <v>54</v>
      </c>
      <c r="I94" s="71"/>
      <c r="J94" s="49">
        <f t="shared" ref="J94" si="54">J82</f>
        <v>48.692469067336035</v>
      </c>
      <c r="K94" s="62"/>
      <c r="L94" s="67">
        <f t="shared" si="43"/>
        <v>0.10900106390834829</v>
      </c>
    </row>
    <row r="95" spans="1:12" ht="12" customHeight="1" outlineLevel="1" x14ac:dyDescent="0.25">
      <c r="A95" s="70" t="str">
        <f t="shared" si="44"/>
        <v>A</v>
      </c>
      <c r="B95" s="42" t="s">
        <v>346</v>
      </c>
      <c r="C95" s="46"/>
      <c r="D95" s="46"/>
      <c r="E95" s="72" t="str">
        <f t="shared" si="42"/>
        <v>% Total Revenue (A)</v>
      </c>
      <c r="F95" s="46"/>
      <c r="G95" s="47">
        <f>G94/G79</f>
        <v>4.2113955408753095E-2</v>
      </c>
      <c r="H95" s="47">
        <f>H94/H79</f>
        <v>4.2056074766355138E-2</v>
      </c>
      <c r="I95" s="71"/>
      <c r="J95" s="47">
        <f t="shared" ref="J95" si="55">J94/J79</f>
        <v>0.04</v>
      </c>
      <c r="K95" s="62"/>
      <c r="L95" s="67">
        <f t="shared" si="43"/>
        <v>5.1401869158878455E-2</v>
      </c>
    </row>
    <row r="96" spans="1:12" ht="12" customHeight="1" outlineLevel="1" x14ac:dyDescent="0.25">
      <c r="A96" s="70" t="str">
        <f t="shared" si="44"/>
        <v>A</v>
      </c>
      <c r="B96" s="43" t="s">
        <v>355</v>
      </c>
      <c r="C96" s="44"/>
      <c r="D96" s="44"/>
      <c r="E96" s="74" t="str">
        <f t="shared" si="42"/>
        <v>EBIT (A)</v>
      </c>
      <c r="F96" s="44"/>
      <c r="G96" s="54">
        <f>G92-G94</f>
        <v>244</v>
      </c>
      <c r="H96" s="54">
        <f>H92-H94</f>
        <v>256</v>
      </c>
      <c r="I96" s="71"/>
      <c r="J96" s="54">
        <f t="shared" ref="J96" si="56">J92-J94</f>
        <v>206.33527247883245</v>
      </c>
      <c r="K96" s="62"/>
      <c r="L96" s="67">
        <f t="shared" si="43"/>
        <v>0.24069916366947175</v>
      </c>
    </row>
    <row r="97" spans="1:12" ht="12" customHeight="1" outlineLevel="1" x14ac:dyDescent="0.25">
      <c r="A97" s="70" t="str">
        <f t="shared" si="44"/>
        <v>A</v>
      </c>
      <c r="B97" s="42" t="s">
        <v>356</v>
      </c>
      <c r="C97" s="46"/>
      <c r="D97" s="46"/>
      <c r="E97" s="72" t="str">
        <f t="shared" si="42"/>
        <v>EBIT Margin (%) (A)</v>
      </c>
      <c r="F97" s="46"/>
      <c r="G97" s="47">
        <f>G96/G79</f>
        <v>0.20148637489677951</v>
      </c>
      <c r="H97" s="47">
        <f>H96/H79</f>
        <v>0.19937694704049844</v>
      </c>
      <c r="I97" s="71"/>
      <c r="J97" s="47">
        <f t="shared" ref="J97" si="57">J96/J79</f>
        <v>0.16950076792655119</v>
      </c>
      <c r="K97" s="62"/>
      <c r="L97" s="67">
        <f t="shared" si="43"/>
        <v>0.17625984518780058</v>
      </c>
    </row>
    <row r="98" spans="1:12" ht="12" customHeight="1" outlineLevel="1" x14ac:dyDescent="0.25">
      <c r="A98" s="70" t="str">
        <f t="shared" si="44"/>
        <v>A</v>
      </c>
      <c r="B98" s="43" t="s">
        <v>357</v>
      </c>
      <c r="C98" s="44"/>
      <c r="D98" s="44"/>
      <c r="E98" s="74" t="str">
        <f t="shared" si="42"/>
        <v>Net Interest Expense (A)</v>
      </c>
      <c r="F98" s="44"/>
      <c r="G98" s="45">
        <f>-SUM(G133,G134)</f>
        <v>11</v>
      </c>
      <c r="H98" s="45">
        <f>-SUM(H133,H134)</f>
        <v>8</v>
      </c>
      <c r="I98" s="71"/>
      <c r="J98" s="45">
        <f>-SUM(J133,J134)</f>
        <v>18.43995835927506</v>
      </c>
      <c r="K98" s="62"/>
      <c r="L98" s="67">
        <f t="shared" si="43"/>
        <v>-0.56615954092021559</v>
      </c>
    </row>
    <row r="99" spans="1:12" ht="12" customHeight="1" outlineLevel="1" x14ac:dyDescent="0.25">
      <c r="A99" s="70" t="str">
        <f t="shared" si="44"/>
        <v>A</v>
      </c>
      <c r="B99" s="42" t="s">
        <v>346</v>
      </c>
      <c r="C99" s="46"/>
      <c r="D99" s="46"/>
      <c r="E99" s="72" t="str">
        <f t="shared" si="42"/>
        <v>% Total Revenue (A)</v>
      </c>
      <c r="F99" s="46"/>
      <c r="G99" s="47">
        <f>G98/G79</f>
        <v>9.0834021469859624E-3</v>
      </c>
      <c r="H99" s="47">
        <f>H98/H79</f>
        <v>6.2305295950155761E-3</v>
      </c>
      <c r="I99" s="71"/>
      <c r="J99" s="47">
        <f t="shared" ref="J99" si="58">J98/J79</f>
        <v>1.5148098843601247E-2</v>
      </c>
      <c r="K99" s="62"/>
      <c r="L99" s="67">
        <f t="shared" si="43"/>
        <v>-0.58869230658291927</v>
      </c>
    </row>
    <row r="100" spans="1:12" ht="12" customHeight="1" outlineLevel="1" x14ac:dyDescent="0.25">
      <c r="A100" s="70" t="str">
        <f t="shared" si="44"/>
        <v>A</v>
      </c>
      <c r="B100" s="43" t="s">
        <v>358</v>
      </c>
      <c r="C100" s="44"/>
      <c r="D100" s="44"/>
      <c r="E100" s="74" t="str">
        <f t="shared" si="42"/>
        <v>EBT (A)</v>
      </c>
      <c r="F100" s="44"/>
      <c r="G100" s="54">
        <f>G96-G98</f>
        <v>233</v>
      </c>
      <c r="H100" s="54">
        <f>H96-H98</f>
        <v>248</v>
      </c>
      <c r="I100" s="71"/>
      <c r="J100" s="54">
        <f t="shared" ref="J100" si="59">J96-J98</f>
        <v>187.89531411955738</v>
      </c>
      <c r="K100" s="62"/>
      <c r="L100" s="67">
        <f t="shared" si="43"/>
        <v>0.31988390004339395</v>
      </c>
    </row>
    <row r="101" spans="1:12" ht="12" customHeight="1" outlineLevel="1" x14ac:dyDescent="0.25">
      <c r="A101" s="70" t="str">
        <f t="shared" si="44"/>
        <v>A</v>
      </c>
      <c r="B101" s="42" t="s">
        <v>359</v>
      </c>
      <c r="C101" s="46"/>
      <c r="D101" s="46"/>
      <c r="E101" s="72" t="str">
        <f t="shared" si="42"/>
        <v>EBT Margin (%) (A)</v>
      </c>
      <c r="F101" s="46"/>
      <c r="G101" s="47">
        <f>G100/G79</f>
        <v>0.19240297274979357</v>
      </c>
      <c r="H101" s="47">
        <f>H100/H79</f>
        <v>0.19314641744548286</v>
      </c>
      <c r="I101" s="71"/>
      <c r="J101" s="47">
        <f t="shared" ref="J101" si="60">J100/J79</f>
        <v>0.15435266908294995</v>
      </c>
      <c r="K101" s="62"/>
      <c r="L101" s="67">
        <f t="shared" si="43"/>
        <v>0.25133189204318152</v>
      </c>
    </row>
    <row r="102" spans="1:12" ht="12" customHeight="1" outlineLevel="1" x14ac:dyDescent="0.25">
      <c r="A102" s="70" t="str">
        <f t="shared" si="44"/>
        <v>A</v>
      </c>
      <c r="B102" s="42" t="s">
        <v>360</v>
      </c>
      <c r="C102" s="41"/>
      <c r="D102" s="41"/>
      <c r="E102" s="40" t="str">
        <f t="shared" si="42"/>
        <v>Income Tax Expense (A)</v>
      </c>
      <c r="F102" s="41"/>
      <c r="G102" s="55">
        <f>G137</f>
        <v>553</v>
      </c>
      <c r="H102" s="55">
        <f>H137</f>
        <v>-256</v>
      </c>
      <c r="I102" s="71"/>
      <c r="J102" s="55">
        <f>J137</f>
        <v>31.942203400324786</v>
      </c>
      <c r="K102" s="62"/>
      <c r="L102" s="67">
        <f t="shared" si="43"/>
        <v>-9.0144752943811319</v>
      </c>
    </row>
    <row r="103" spans="1:12" ht="12" customHeight="1" outlineLevel="1" x14ac:dyDescent="0.25">
      <c r="A103" s="70" t="str">
        <f t="shared" si="44"/>
        <v>A</v>
      </c>
      <c r="B103" s="42" t="s">
        <v>361</v>
      </c>
      <c r="C103" s="46"/>
      <c r="D103" s="46"/>
      <c r="E103" s="72" t="str">
        <f t="shared" si="42"/>
        <v>Effective Tax Rate (%) (A)</v>
      </c>
      <c r="F103" s="46"/>
      <c r="G103" s="47">
        <f>G102/G100</f>
        <v>2.3733905579399144</v>
      </c>
      <c r="H103" s="47">
        <f>H102/H100</f>
        <v>-1.032258064516129</v>
      </c>
      <c r="I103" s="71"/>
      <c r="J103" s="47">
        <f t="shared" ref="J103" si="61">J102/J100</f>
        <v>0.17000000000000015</v>
      </c>
      <c r="K103" s="62"/>
      <c r="L103" s="67">
        <f t="shared" si="43"/>
        <v>-7.0721062618595774</v>
      </c>
    </row>
    <row r="104" spans="1:12" ht="12" customHeight="1" outlineLevel="1" x14ac:dyDescent="0.25">
      <c r="A104" s="70" t="str">
        <f t="shared" si="44"/>
        <v>A</v>
      </c>
      <c r="B104" s="42" t="s">
        <v>362</v>
      </c>
      <c r="C104" s="41"/>
      <c r="D104" s="41"/>
      <c r="E104" s="40" t="str">
        <f t="shared" si="42"/>
        <v>Noncontrolling Interest (A)</v>
      </c>
      <c r="F104" s="41"/>
      <c r="G104" s="52">
        <v>0</v>
      </c>
      <c r="H104" s="52">
        <v>0</v>
      </c>
      <c r="I104" s="71"/>
      <c r="J104" s="52">
        <v>0</v>
      </c>
      <c r="K104" s="62"/>
      <c r="L104" s="67">
        <f t="shared" si="43"/>
        <v>0</v>
      </c>
    </row>
    <row r="105" spans="1:12" ht="12" customHeight="1" outlineLevel="1" thickBot="1" x14ac:dyDescent="0.3">
      <c r="A105" s="70" t="str">
        <f t="shared" si="44"/>
        <v>A</v>
      </c>
      <c r="B105" s="43" t="s">
        <v>170</v>
      </c>
      <c r="C105" s="44"/>
      <c r="D105" s="44"/>
      <c r="E105" s="74" t="str">
        <f t="shared" si="42"/>
        <v>Net Income (A)</v>
      </c>
      <c r="F105" s="44"/>
      <c r="G105" s="56">
        <f>G100-SUM(G102,G104)</f>
        <v>-320</v>
      </c>
      <c r="H105" s="56">
        <f>H100-SUM(H102,H104)</f>
        <v>504</v>
      </c>
      <c r="I105" s="71"/>
      <c r="J105" s="56">
        <f t="shared" ref="J105" si="62">J100-SUM(J102,J104)</f>
        <v>155.9531107192326</v>
      </c>
      <c r="K105" s="62"/>
      <c r="L105" s="67">
        <f t="shared" si="43"/>
        <v>2.2317406025158895</v>
      </c>
    </row>
    <row r="106" spans="1:12" ht="12" customHeight="1" outlineLevel="1" thickTop="1" x14ac:dyDescent="0.25">
      <c r="A106" s="70" t="str">
        <f t="shared" si="44"/>
        <v>A</v>
      </c>
      <c r="B106" s="42" t="s">
        <v>363</v>
      </c>
      <c r="C106" s="46"/>
      <c r="D106" s="46"/>
      <c r="E106" s="72" t="str">
        <f t="shared" si="42"/>
        <v>Net Profit Margin (%) (A)</v>
      </c>
      <c r="F106" s="46"/>
      <c r="G106" s="47">
        <f>G105/G79</f>
        <v>-0.26424442609413706</v>
      </c>
      <c r="H106" s="47">
        <f>H105/H79</f>
        <v>0.3925233644859813</v>
      </c>
      <c r="I106" s="71"/>
      <c r="J106" s="47">
        <f t="shared" ref="J106" si="63">J105/J79</f>
        <v>0.12811271533884844</v>
      </c>
      <c r="K106" s="62"/>
      <c r="L106" s="67">
        <f t="shared" si="43"/>
        <v>2.0638907578204608</v>
      </c>
    </row>
    <row r="107" spans="1:12" ht="12" customHeight="1" outlineLevel="1" x14ac:dyDescent="0.25">
      <c r="A107" s="70" t="str">
        <f t="shared" si="44"/>
        <v>A</v>
      </c>
      <c r="B107" s="42"/>
      <c r="C107" s="41"/>
      <c r="D107" s="41"/>
      <c r="E107" s="40" t="str">
        <f t="shared" si="42"/>
        <v xml:space="preserve"> (A)</v>
      </c>
      <c r="F107" s="41"/>
      <c r="G107" s="41"/>
      <c r="H107" s="41"/>
      <c r="I107" s="71"/>
      <c r="J107" s="41"/>
      <c r="K107" s="62"/>
      <c r="L107" s="67"/>
    </row>
    <row r="108" spans="1:12" ht="12" customHeight="1" outlineLevel="1" x14ac:dyDescent="0.25">
      <c r="A108" s="70" t="str">
        <f t="shared" si="44"/>
        <v>A</v>
      </c>
      <c r="B108" s="42"/>
      <c r="C108" s="41"/>
      <c r="D108" s="41"/>
      <c r="E108" s="40" t="str">
        <f t="shared" si="42"/>
        <v xml:space="preserve"> (A)</v>
      </c>
      <c r="F108" s="41"/>
      <c r="G108" s="41">
        <f>G105-G140</f>
        <v>0</v>
      </c>
      <c r="H108" s="41">
        <f>H105-H140</f>
        <v>0</v>
      </c>
      <c r="I108" s="71"/>
      <c r="J108" s="41">
        <f>J105-J140</f>
        <v>0</v>
      </c>
      <c r="K108" s="62"/>
      <c r="L108" s="67"/>
    </row>
    <row r="109" spans="1:12" ht="12" customHeight="1" outlineLevel="1" x14ac:dyDescent="0.25">
      <c r="A109" s="70" t="str">
        <f t="shared" si="44"/>
        <v>A</v>
      </c>
      <c r="B109" s="42" t="s">
        <v>364</v>
      </c>
      <c r="C109" s="41"/>
      <c r="D109" s="41"/>
      <c r="E109" s="40" t="str">
        <f t="shared" si="42"/>
        <v>Earnings Per Share (A)</v>
      </c>
      <c r="F109" s="41"/>
      <c r="G109" s="41"/>
      <c r="H109" s="41"/>
      <c r="I109" s="71"/>
      <c r="J109" s="41"/>
      <c r="K109" s="62"/>
      <c r="L109" s="67"/>
    </row>
    <row r="110" spans="1:12" ht="12" customHeight="1" outlineLevel="1" x14ac:dyDescent="0.25">
      <c r="A110" s="70" t="str">
        <f t="shared" si="44"/>
        <v>A</v>
      </c>
      <c r="B110" s="42" t="s">
        <v>365</v>
      </c>
      <c r="C110" s="57"/>
      <c r="D110" s="57"/>
      <c r="E110" s="73" t="str">
        <f t="shared" si="42"/>
        <v>Basic (A)</v>
      </c>
      <c r="F110" s="57"/>
      <c r="G110" s="58">
        <f>G144</f>
        <v>-0.99</v>
      </c>
      <c r="H110" s="58">
        <f>H144</f>
        <v>1.58</v>
      </c>
      <c r="I110" s="71"/>
      <c r="J110" s="58">
        <f>J144</f>
        <v>0.48583523588546035</v>
      </c>
      <c r="K110" s="62"/>
      <c r="L110" s="67">
        <f t="shared" si="43"/>
        <v>2.2521313467936648</v>
      </c>
    </row>
    <row r="111" spans="1:12" ht="12" customHeight="1" outlineLevel="1" x14ac:dyDescent="0.25">
      <c r="A111" s="70" t="str">
        <f t="shared" si="44"/>
        <v>A</v>
      </c>
      <c r="B111" s="42" t="s">
        <v>366</v>
      </c>
      <c r="C111" s="57"/>
      <c r="D111" s="57"/>
      <c r="E111" s="73" t="str">
        <f t="shared" si="42"/>
        <v>Diluted (A)</v>
      </c>
      <c r="F111" s="57"/>
      <c r="G111" s="58">
        <f>G148</f>
        <v>-0.99</v>
      </c>
      <c r="H111" s="58">
        <f>H148</f>
        <v>1.57</v>
      </c>
      <c r="I111" s="71"/>
      <c r="J111" s="58">
        <f>J148</f>
        <v>0.47985572528994697</v>
      </c>
      <c r="K111" s="62"/>
      <c r="L111" s="67">
        <f t="shared" si="43"/>
        <v>2.2718167508605775</v>
      </c>
    </row>
    <row r="112" spans="1:12" ht="12" customHeight="1" outlineLevel="1" x14ac:dyDescent="0.25">
      <c r="A112" s="70" t="str">
        <f t="shared" si="44"/>
        <v>A</v>
      </c>
      <c r="B112" s="42"/>
      <c r="C112" s="41"/>
      <c r="D112" s="41"/>
      <c r="E112" s="40" t="str">
        <f t="shared" si="42"/>
        <v xml:space="preserve"> (A)</v>
      </c>
      <c r="F112" s="41"/>
      <c r="G112" s="41"/>
      <c r="H112" s="41"/>
      <c r="I112" s="71"/>
      <c r="J112" s="41"/>
      <c r="K112" s="62"/>
      <c r="L112" s="67"/>
    </row>
    <row r="113" spans="1:13" ht="12" customHeight="1" outlineLevel="1" x14ac:dyDescent="0.25">
      <c r="A113" s="70" t="str">
        <f t="shared" si="44"/>
        <v>A</v>
      </c>
      <c r="B113" s="42" t="s">
        <v>367</v>
      </c>
      <c r="C113" s="41"/>
      <c r="D113" s="41"/>
      <c r="E113" s="40" t="str">
        <f t="shared" si="42"/>
        <v>Avg. Common Shares Outstanding (A)</v>
      </c>
      <c r="F113" s="41"/>
      <c r="G113" s="41"/>
      <c r="H113" s="41"/>
      <c r="I113" s="71"/>
      <c r="J113" s="41"/>
      <c r="K113" s="62"/>
      <c r="L113" s="67"/>
    </row>
    <row r="114" spans="1:13" ht="12" customHeight="1" outlineLevel="1" x14ac:dyDescent="0.25">
      <c r="A114" s="70" t="str">
        <f t="shared" si="44"/>
        <v>A</v>
      </c>
      <c r="B114" s="42" t="s">
        <v>365</v>
      </c>
      <c r="C114" s="41"/>
      <c r="D114" s="41"/>
      <c r="E114" s="40" t="str">
        <f t="shared" si="42"/>
        <v>Basic (A)</v>
      </c>
      <c r="F114" s="41"/>
      <c r="G114" s="53">
        <f>G105/G110</f>
        <v>323.23232323232321</v>
      </c>
      <c r="H114" s="53">
        <f>H105/H110</f>
        <v>318.98734177215186</v>
      </c>
      <c r="I114" s="71"/>
      <c r="J114" s="53">
        <f t="shared" ref="J114" si="64">J105/J110</f>
        <v>320.99999999999966</v>
      </c>
      <c r="K114" s="62"/>
      <c r="L114" s="67">
        <f t="shared" si="43"/>
        <v>-6.2699633266286581E-3</v>
      </c>
    </row>
    <row r="115" spans="1:13" ht="12" customHeight="1" outlineLevel="1" x14ac:dyDescent="0.25">
      <c r="A115" s="70" t="str">
        <f t="shared" si="44"/>
        <v>A</v>
      </c>
      <c r="B115" s="42" t="s">
        <v>366</v>
      </c>
      <c r="C115" s="41"/>
      <c r="D115" s="41"/>
      <c r="E115" s="40" t="str">
        <f t="shared" si="42"/>
        <v>Diluted (A)</v>
      </c>
      <c r="F115" s="41"/>
      <c r="G115" s="53">
        <f>G105/G111</f>
        <v>323.23232323232321</v>
      </c>
      <c r="H115" s="53">
        <f>H105/H111</f>
        <v>321.01910828025478</v>
      </c>
      <c r="I115" s="71"/>
      <c r="J115" s="53">
        <f t="shared" ref="J115" si="65">J105/J111</f>
        <v>324.99999999999966</v>
      </c>
      <c r="K115" s="62"/>
      <c r="L115" s="67">
        <f t="shared" si="43"/>
        <v>-1.2248897599214992E-2</v>
      </c>
    </row>
    <row r="116" spans="1:13" ht="12" customHeight="1" outlineLevel="1" x14ac:dyDescent="0.25">
      <c r="B116" s="62"/>
      <c r="C116" s="62"/>
      <c r="D116" s="62"/>
      <c r="E116" s="62"/>
      <c r="F116" s="62"/>
      <c r="G116" s="62"/>
      <c r="H116" s="62"/>
      <c r="I116" s="15"/>
      <c r="J116" s="62"/>
      <c r="K116" s="62"/>
      <c r="L116" s="62"/>
    </row>
    <row r="117" spans="1:13" ht="12" customHeight="1" outlineLevel="1" x14ac:dyDescent="0.25">
      <c r="B117" s="63" t="s">
        <v>371</v>
      </c>
      <c r="C117" s="63"/>
      <c r="D117" s="63"/>
      <c r="E117" s="63"/>
      <c r="F117" s="63"/>
      <c r="G117" s="63"/>
      <c r="H117" s="63"/>
      <c r="I117" s="63"/>
      <c r="J117" s="63"/>
      <c r="K117" s="63"/>
      <c r="L117" s="64"/>
      <c r="M117" s="64"/>
    </row>
    <row r="118" spans="1:13" ht="12" hidden="1" customHeight="1" outlineLevel="2" x14ac:dyDescent="0.25">
      <c r="B118" s="1"/>
    </row>
    <row r="119" spans="1:13" ht="12" hidden="1" customHeight="1" outlineLevel="2" x14ac:dyDescent="0.25">
      <c r="B119" s="8" t="s">
        <v>234</v>
      </c>
      <c r="H119" s="1" t="s">
        <v>211</v>
      </c>
    </row>
    <row r="120" spans="1:13" ht="12" hidden="1" customHeight="1" outlineLevel="2" x14ac:dyDescent="0.25">
      <c r="B120" s="8" t="s">
        <v>230</v>
      </c>
      <c r="G120" s="3" t="s">
        <v>213</v>
      </c>
      <c r="H120" s="3" t="s">
        <v>212</v>
      </c>
      <c r="J120" s="22" t="s">
        <v>212</v>
      </c>
      <c r="L120" s="36">
        <f>MEDIAN(L122:L155)</f>
        <v>2.941342742492048E-2</v>
      </c>
    </row>
    <row r="121" spans="1:13" ht="12" hidden="1" customHeight="1" outlineLevel="2" x14ac:dyDescent="0.25">
      <c r="B121" s="8" t="s">
        <v>214</v>
      </c>
      <c r="J121" s="15"/>
    </row>
    <row r="122" spans="1:13" ht="12" hidden="1" customHeight="1" outlineLevel="2" x14ac:dyDescent="0.25">
      <c r="B122" s="8" t="s">
        <v>235</v>
      </c>
      <c r="G122" s="3">
        <v>930</v>
      </c>
      <c r="H122" s="3">
        <v>980</v>
      </c>
      <c r="J122" s="22">
        <v>921.99791796375303</v>
      </c>
      <c r="L122" s="36">
        <f t="shared" ref="L122:L155" si="66">IF(ISERROR(H122/J122-1),0,(H122/J122-1))</f>
        <v>6.2909124745471834E-2</v>
      </c>
    </row>
    <row r="123" spans="1:13" ht="12" hidden="1" customHeight="1" outlineLevel="2" x14ac:dyDescent="0.25">
      <c r="B123" s="8" t="s">
        <v>236</v>
      </c>
      <c r="G123" s="6">
        <v>281</v>
      </c>
      <c r="H123" s="6">
        <v>304</v>
      </c>
      <c r="J123" s="22">
        <v>295.3138087196478</v>
      </c>
      <c r="L123" s="36">
        <f t="shared" si="66"/>
        <v>2.941342742492048E-2</v>
      </c>
    </row>
    <row r="124" spans="1:13" ht="12" hidden="1" customHeight="1" outlineLevel="2" x14ac:dyDescent="0.25">
      <c r="B124" s="8" t="s">
        <v>237</v>
      </c>
      <c r="G124" s="9">
        <f>SUM(G122:G123)</f>
        <v>1211</v>
      </c>
      <c r="H124" s="9">
        <f t="shared" ref="H124" si="67">SUM(H122:H123)</f>
        <v>1284</v>
      </c>
      <c r="J124" s="17">
        <f t="shared" ref="J124" si="68">SUM(J122:J123)</f>
        <v>1217.3117266834008</v>
      </c>
      <c r="L124" s="36">
        <f t="shared" si="66"/>
        <v>5.4783234117273594E-2</v>
      </c>
    </row>
    <row r="125" spans="1:13" ht="12" hidden="1" customHeight="1" outlineLevel="2" x14ac:dyDescent="0.25">
      <c r="B125" s="8" t="s">
        <v>215</v>
      </c>
      <c r="J125" s="15"/>
      <c r="L125" s="35"/>
    </row>
    <row r="126" spans="1:13" ht="12" hidden="1" customHeight="1" outlineLevel="2" x14ac:dyDescent="0.25">
      <c r="B126" s="8" t="s">
        <v>238</v>
      </c>
      <c r="G126" s="3">
        <v>386</v>
      </c>
      <c r="H126" s="3">
        <v>414</v>
      </c>
      <c r="J126" s="22">
        <f>0.18*J122+233</f>
        <v>398.95962523347555</v>
      </c>
      <c r="L126" s="36">
        <f t="shared" si="66"/>
        <v>3.7698989610095657E-2</v>
      </c>
    </row>
    <row r="127" spans="1:13" ht="12" hidden="1" customHeight="1" outlineLevel="2" x14ac:dyDescent="0.25">
      <c r="B127" s="8" t="s">
        <v>239</v>
      </c>
      <c r="G127" s="3">
        <v>155</v>
      </c>
      <c r="H127" s="3">
        <v>163</v>
      </c>
      <c r="J127" s="22">
        <f>0.47*J123+22</f>
        <v>160.79749009823445</v>
      </c>
      <c r="L127" s="36">
        <f t="shared" si="66"/>
        <v>1.3697414682405817E-2</v>
      </c>
    </row>
    <row r="128" spans="1:13" ht="12" hidden="1" customHeight="1" outlineLevel="2" x14ac:dyDescent="0.25">
      <c r="B128" s="8" t="s">
        <v>240</v>
      </c>
      <c r="G128" s="9">
        <f>SUM(G126:G127)</f>
        <v>541</v>
      </c>
      <c r="H128" s="9">
        <f t="shared" ref="H128" si="69">SUM(H126:H127)</f>
        <v>577</v>
      </c>
      <c r="J128" s="17">
        <f t="shared" ref="J128" si="70">SUM(J126:J127)</f>
        <v>559.75711533171</v>
      </c>
      <c r="L128" s="36">
        <f t="shared" si="66"/>
        <v>3.0804225968743548E-2</v>
      </c>
    </row>
    <row r="129" spans="2:12" ht="12" hidden="1" customHeight="1" outlineLevel="2" x14ac:dyDescent="0.25">
      <c r="B129" s="8" t="s">
        <v>45</v>
      </c>
      <c r="G129" s="3">
        <v>94</v>
      </c>
      <c r="H129" s="3">
        <v>102</v>
      </c>
      <c r="J129" s="22">
        <f>0.1296*J124-51.885</f>
        <v>105.87859977816873</v>
      </c>
      <c r="L129" s="36">
        <f t="shared" si="66"/>
        <v>-3.6632518623168187E-2</v>
      </c>
    </row>
    <row r="130" spans="2:12" ht="12" hidden="1" customHeight="1" outlineLevel="2" x14ac:dyDescent="0.25">
      <c r="B130" s="8" t="s">
        <v>75</v>
      </c>
      <c r="G130" s="3">
        <v>347</v>
      </c>
      <c r="H130" s="3">
        <v>355</v>
      </c>
      <c r="J130" s="22">
        <f>0.2404*J124+52.699</f>
        <v>345.34073909468958</v>
      </c>
      <c r="L130" s="36">
        <f t="shared" si="66"/>
        <v>2.7970232908611337E-2</v>
      </c>
    </row>
    <row r="131" spans="2:12" ht="12" hidden="1" customHeight="1" outlineLevel="2" x14ac:dyDescent="0.25">
      <c r="B131" s="8" t="s">
        <v>216</v>
      </c>
      <c r="G131" s="9">
        <f>SUM(G128:G130)</f>
        <v>982</v>
      </c>
      <c r="H131" s="9">
        <f t="shared" ref="H131" si="71">SUM(H128:H130)</f>
        <v>1034</v>
      </c>
      <c r="J131" s="17">
        <f t="shared" ref="J131" si="72">SUM(J128:J130)</f>
        <v>1010.9764542045682</v>
      </c>
      <c r="L131" s="36">
        <f t="shared" si="66"/>
        <v>2.2773572717424528E-2</v>
      </c>
    </row>
    <row r="132" spans="2:12" ht="12" hidden="1" customHeight="1" outlineLevel="2" x14ac:dyDescent="0.25">
      <c r="B132" s="8" t="s">
        <v>48</v>
      </c>
      <c r="G132" s="9">
        <f>G124-G131</f>
        <v>229</v>
      </c>
      <c r="H132" s="9">
        <f t="shared" ref="H132" si="73">H124-H131</f>
        <v>250</v>
      </c>
      <c r="J132" s="17">
        <f t="shared" ref="J132" si="74">J124-J131</f>
        <v>206.33527247883262</v>
      </c>
      <c r="L132" s="36">
        <f t="shared" si="66"/>
        <v>0.21162027702096764</v>
      </c>
    </row>
    <row r="133" spans="2:12" ht="12" hidden="1" customHeight="1" outlineLevel="2" x14ac:dyDescent="0.25">
      <c r="B133" s="8" t="s">
        <v>14</v>
      </c>
      <c r="G133" s="3">
        <v>9</v>
      </c>
      <c r="H133" s="3">
        <v>10</v>
      </c>
      <c r="J133" s="22">
        <f>0.01*J122</f>
        <v>9.2199791796375301</v>
      </c>
      <c r="L133" s="36">
        <f t="shared" si="66"/>
        <v>8.4601147699461032E-2</v>
      </c>
    </row>
    <row r="134" spans="2:12" ht="12" hidden="1" customHeight="1" outlineLevel="2" x14ac:dyDescent="0.25">
      <c r="B134" s="8" t="s">
        <v>13</v>
      </c>
      <c r="G134" s="3">
        <v>-20</v>
      </c>
      <c r="H134" s="3">
        <v>-18</v>
      </c>
      <c r="J134" s="22">
        <f>-0.03*J122</f>
        <v>-27.65993753891259</v>
      </c>
      <c r="L134" s="36">
        <f t="shared" si="66"/>
        <v>-0.34923931138032338</v>
      </c>
    </row>
    <row r="135" spans="2:12" ht="12" hidden="1" customHeight="1" outlineLevel="2" x14ac:dyDescent="0.25">
      <c r="B135" s="8" t="s">
        <v>50</v>
      </c>
      <c r="G135" s="3">
        <v>15</v>
      </c>
      <c r="H135" s="3">
        <v>6</v>
      </c>
      <c r="J135" s="22">
        <v>0</v>
      </c>
      <c r="L135" s="36">
        <f t="shared" si="66"/>
        <v>0</v>
      </c>
    </row>
    <row r="136" spans="2:12" ht="12" hidden="1" customHeight="1" outlineLevel="2" thickBot="1" x14ac:dyDescent="0.3">
      <c r="B136" s="8" t="s">
        <v>241</v>
      </c>
      <c r="G136" s="10">
        <f>SUM(G132:G135)</f>
        <v>233</v>
      </c>
      <c r="H136" s="10">
        <f t="shared" ref="H136" si="75">SUM(H132:H135)</f>
        <v>248</v>
      </c>
      <c r="J136" s="17">
        <f t="shared" ref="J136" si="76">SUM(J132:J135)</f>
        <v>187.89531411955755</v>
      </c>
      <c r="L136" s="36">
        <f t="shared" si="66"/>
        <v>0.31988390004339284</v>
      </c>
    </row>
    <row r="137" spans="2:12" ht="12" hidden="1" customHeight="1" outlineLevel="2" thickTop="1" x14ac:dyDescent="0.25">
      <c r="B137" s="8" t="s">
        <v>217</v>
      </c>
      <c r="G137" s="2">
        <v>553</v>
      </c>
      <c r="H137" s="2">
        <v>-256</v>
      </c>
      <c r="J137" s="23">
        <f>0.17*J136</f>
        <v>31.942203400324786</v>
      </c>
      <c r="L137" s="36">
        <f t="shared" si="66"/>
        <v>-9.0144752943811319</v>
      </c>
    </row>
    <row r="138" spans="2:12" ht="12" hidden="1" customHeight="1" outlineLevel="2" thickBot="1" x14ac:dyDescent="0.3">
      <c r="B138" s="8" t="s">
        <v>242</v>
      </c>
      <c r="G138" s="10">
        <f>G136-G137</f>
        <v>-320</v>
      </c>
      <c r="H138" s="10">
        <f t="shared" ref="H138" si="77">H136-H137</f>
        <v>504</v>
      </c>
      <c r="J138" s="19">
        <f t="shared" ref="J138" si="78">J136-J137</f>
        <v>155.95311071923277</v>
      </c>
      <c r="L138" s="36">
        <f t="shared" si="66"/>
        <v>2.2317406025158859</v>
      </c>
    </row>
    <row r="139" spans="2:12" ht="12" hidden="1" customHeight="1" outlineLevel="2" thickTop="1" x14ac:dyDescent="0.25">
      <c r="B139" s="8" t="s">
        <v>243</v>
      </c>
      <c r="G139" s="3">
        <v>0</v>
      </c>
      <c r="H139" s="3">
        <v>0</v>
      </c>
      <c r="J139" s="22">
        <v>0</v>
      </c>
      <c r="L139" s="36">
        <f t="shared" si="66"/>
        <v>0</v>
      </c>
    </row>
    <row r="140" spans="2:12" ht="12" hidden="1" customHeight="1" outlineLevel="2" thickBot="1" x14ac:dyDescent="0.3">
      <c r="B140" s="8" t="s">
        <v>17</v>
      </c>
      <c r="G140" s="10">
        <f>SUM(G138:G139)</f>
        <v>-320</v>
      </c>
      <c r="H140" s="10">
        <f t="shared" ref="H140" si="79">SUM(H138:H139)</f>
        <v>504</v>
      </c>
      <c r="J140" s="19">
        <f t="shared" ref="J140" si="80">SUM(J138:J139)</f>
        <v>155.95311071923277</v>
      </c>
      <c r="L140" s="36">
        <f t="shared" si="66"/>
        <v>2.2317406025158859</v>
      </c>
    </row>
    <row r="141" spans="2:12" ht="12" hidden="1" customHeight="1" outlineLevel="2" thickTop="1" x14ac:dyDescent="0.25">
      <c r="B141" s="8" t="s">
        <v>244</v>
      </c>
      <c r="J141" s="15"/>
      <c r="L141" s="35"/>
    </row>
    <row r="142" spans="2:12" ht="12" hidden="1" customHeight="1" outlineLevel="2" x14ac:dyDescent="0.25">
      <c r="B142" s="8" t="s">
        <v>242</v>
      </c>
      <c r="G142" s="11">
        <v>-0.99</v>
      </c>
      <c r="H142" s="11">
        <v>1.58</v>
      </c>
      <c r="J142" s="24">
        <f>J140/J150</f>
        <v>0.48583523588546035</v>
      </c>
      <c r="L142" s="36">
        <f t="shared" si="66"/>
        <v>2.2521313467936648</v>
      </c>
    </row>
    <row r="143" spans="2:12" ht="12" hidden="1" customHeight="1" outlineLevel="2" x14ac:dyDescent="0.25">
      <c r="B143" s="8" t="s">
        <v>245</v>
      </c>
      <c r="G143" s="12">
        <v>0</v>
      </c>
      <c r="H143" s="12">
        <v>0</v>
      </c>
      <c r="J143" s="25">
        <v>0</v>
      </c>
      <c r="L143" s="36">
        <f t="shared" si="66"/>
        <v>0</v>
      </c>
    </row>
    <row r="144" spans="2:12" ht="12" hidden="1" customHeight="1" outlineLevel="2" x14ac:dyDescent="0.25">
      <c r="B144" s="8" t="s">
        <v>246</v>
      </c>
      <c r="G144" s="13">
        <f>SUM(G142,G143)</f>
        <v>-0.99</v>
      </c>
      <c r="H144" s="13">
        <f t="shared" ref="H144" si="81">SUM(H142,H143)</f>
        <v>1.58</v>
      </c>
      <c r="J144" s="26">
        <f t="shared" ref="J144" si="82">SUM(J142,J143)</f>
        <v>0.48583523588546035</v>
      </c>
      <c r="L144" s="36">
        <f t="shared" si="66"/>
        <v>2.2521313467936648</v>
      </c>
    </row>
    <row r="145" spans="2:13" ht="12" hidden="1" customHeight="1" outlineLevel="2" x14ac:dyDescent="0.25">
      <c r="B145" s="8" t="s">
        <v>247</v>
      </c>
      <c r="J145" s="15"/>
      <c r="L145" s="35"/>
    </row>
    <row r="146" spans="2:13" ht="12" hidden="1" customHeight="1" outlineLevel="2" x14ac:dyDescent="0.25">
      <c r="B146" s="8" t="s">
        <v>242</v>
      </c>
      <c r="G146" s="11">
        <v>-0.99</v>
      </c>
      <c r="H146" s="11">
        <v>1.57</v>
      </c>
      <c r="J146" s="24">
        <f>J140/J151</f>
        <v>0.47985572528994697</v>
      </c>
      <c r="L146" s="36">
        <f t="shared" si="66"/>
        <v>2.2718167508605775</v>
      </c>
    </row>
    <row r="147" spans="2:13" ht="12" hidden="1" customHeight="1" outlineLevel="2" x14ac:dyDescent="0.25">
      <c r="B147" s="8" t="s">
        <v>245</v>
      </c>
      <c r="G147" s="12">
        <v>0</v>
      </c>
      <c r="H147" s="12">
        <v>0</v>
      </c>
      <c r="J147" s="25">
        <v>0</v>
      </c>
      <c r="L147" s="36">
        <f t="shared" si="66"/>
        <v>0</v>
      </c>
    </row>
    <row r="148" spans="2:13" ht="12" hidden="1" customHeight="1" outlineLevel="2" x14ac:dyDescent="0.25">
      <c r="B148" s="8" t="s">
        <v>248</v>
      </c>
      <c r="G148" s="13">
        <f>SUM(G146:G147)</f>
        <v>-0.99</v>
      </c>
      <c r="H148" s="13">
        <f t="shared" ref="H148" si="83">SUM(H146:H147)</f>
        <v>1.57</v>
      </c>
      <c r="J148" s="26">
        <f t="shared" ref="J148" si="84">SUM(J146:J147)</f>
        <v>0.47985572528994697</v>
      </c>
      <c r="L148" s="36">
        <f t="shared" si="66"/>
        <v>2.2718167508605775</v>
      </c>
    </row>
    <row r="149" spans="2:13" ht="12" hidden="1" customHeight="1" outlineLevel="2" x14ac:dyDescent="0.25">
      <c r="B149" s="8" t="s">
        <v>249</v>
      </c>
      <c r="J149" s="15"/>
      <c r="L149" s="35"/>
    </row>
    <row r="150" spans="2:13" ht="12" hidden="1" customHeight="1" outlineLevel="2" x14ac:dyDescent="0.25">
      <c r="B150" s="8" t="s">
        <v>22</v>
      </c>
      <c r="G150" s="3">
        <v>323</v>
      </c>
      <c r="H150" s="3">
        <v>318</v>
      </c>
      <c r="J150" s="22">
        <v>321</v>
      </c>
      <c r="L150" s="36">
        <f t="shared" si="66"/>
        <v>-9.3457943925233655E-3</v>
      </c>
    </row>
    <row r="151" spans="2:13" ht="12" hidden="1" customHeight="1" outlineLevel="2" x14ac:dyDescent="0.25">
      <c r="B151" s="8" t="s">
        <v>23</v>
      </c>
      <c r="G151" s="3">
        <v>323</v>
      </c>
      <c r="H151" s="3">
        <v>322</v>
      </c>
      <c r="J151" s="22">
        <v>325</v>
      </c>
      <c r="L151" s="36">
        <f t="shared" si="66"/>
        <v>-9.2307692307692646E-3</v>
      </c>
    </row>
    <row r="152" spans="2:13" ht="12" hidden="1" customHeight="1" outlineLevel="2" x14ac:dyDescent="0.25">
      <c r="B152" s="8" t="s">
        <v>250</v>
      </c>
      <c r="G152" s="3">
        <v>0</v>
      </c>
      <c r="H152" s="3">
        <v>0</v>
      </c>
      <c r="J152" s="27">
        <f>(0.04*J124)/J150</f>
        <v>0.15168993478920884</v>
      </c>
      <c r="L152" s="36">
        <f t="shared" si="66"/>
        <v>-1</v>
      </c>
    </row>
    <row r="153" spans="2:13" ht="12" hidden="1" customHeight="1" outlineLevel="2" x14ac:dyDescent="0.25">
      <c r="J153" s="28"/>
      <c r="L153" s="35"/>
    </row>
    <row r="154" spans="2:13" ht="12" hidden="1" customHeight="1" outlineLevel="2" x14ac:dyDescent="0.25">
      <c r="B154" s="8" t="s">
        <v>24</v>
      </c>
      <c r="G154" s="3">
        <v>51</v>
      </c>
      <c r="H154" s="3">
        <v>54</v>
      </c>
      <c r="J154" s="22">
        <f>0.04*J124</f>
        <v>48.692469067336035</v>
      </c>
      <c r="L154" s="36">
        <f t="shared" si="66"/>
        <v>0.10900106390834829</v>
      </c>
    </row>
    <row r="155" spans="2:13" ht="12" hidden="1" customHeight="1" outlineLevel="2" x14ac:dyDescent="0.25">
      <c r="B155" s="8" t="s">
        <v>218</v>
      </c>
      <c r="G155" s="3">
        <v>-60</v>
      </c>
      <c r="H155" s="3">
        <v>-39</v>
      </c>
      <c r="J155" s="22">
        <f>-0.04*J124</f>
        <v>-48.692469067336035</v>
      </c>
      <c r="L155" s="36">
        <f t="shared" si="66"/>
        <v>-0.19905478717730407</v>
      </c>
    </row>
    <row r="156" spans="2:13" ht="12" customHeight="1" outlineLevel="1" collapsed="1" x14ac:dyDescent="0.25"/>
    <row r="157" spans="2:13" ht="12" customHeight="1" x14ac:dyDescent="0.25">
      <c r="B157" s="61" t="s">
        <v>373</v>
      </c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91" t="s">
        <v>28</v>
      </c>
    </row>
    <row r="158" spans="2:13" ht="12" customHeight="1" x14ac:dyDescent="0.25">
      <c r="B158" s="38"/>
      <c r="C158" s="15"/>
      <c r="D158" s="15"/>
      <c r="E158" s="15"/>
      <c r="F158" s="15"/>
      <c r="G158" s="15"/>
      <c r="H158" s="15"/>
      <c r="I158" s="15"/>
      <c r="J158" s="15"/>
      <c r="K158" s="62"/>
      <c r="L158" s="62"/>
    </row>
    <row r="159" spans="2:13" ht="12" customHeight="1" outlineLevel="1" x14ac:dyDescent="0.25">
      <c r="B159" s="85" t="s">
        <v>338</v>
      </c>
      <c r="C159" s="86"/>
      <c r="D159" s="86"/>
      <c r="E159" s="86"/>
      <c r="F159" s="89" t="s">
        <v>369</v>
      </c>
      <c r="G159" s="89"/>
      <c r="H159" s="90"/>
      <c r="I159" s="15"/>
      <c r="J159" s="82" t="s">
        <v>370</v>
      </c>
      <c r="K159" s="62"/>
      <c r="L159" s="68" t="s">
        <v>386</v>
      </c>
    </row>
    <row r="160" spans="2:13" ht="12" customHeight="1" outlineLevel="1" x14ac:dyDescent="0.25">
      <c r="B160" s="87"/>
      <c r="C160" s="88"/>
      <c r="D160" s="88"/>
      <c r="E160" s="88"/>
      <c r="F160" s="39">
        <f>G160-1</f>
        <v>2016</v>
      </c>
      <c r="G160" s="39">
        <f>H160-1</f>
        <v>2017</v>
      </c>
      <c r="H160" s="60">
        <f>J160</f>
        <v>2018</v>
      </c>
      <c r="I160" s="15"/>
      <c r="J160" s="81">
        <v>2018</v>
      </c>
      <c r="K160" s="62"/>
      <c r="L160" s="68" t="s">
        <v>370</v>
      </c>
    </row>
    <row r="161" spans="1:12" ht="12" customHeight="1" outlineLevel="1" x14ac:dyDescent="0.25">
      <c r="B161" s="62"/>
      <c r="C161" s="62"/>
      <c r="D161" s="62"/>
      <c r="E161" s="62"/>
      <c r="F161" s="40"/>
      <c r="G161" s="40"/>
      <c r="H161" s="40"/>
      <c r="I161" s="15"/>
      <c r="J161" s="40"/>
      <c r="K161" s="62"/>
      <c r="L161" s="62"/>
    </row>
    <row r="162" spans="1:12" ht="12" customHeight="1" outlineLevel="1" x14ac:dyDescent="0.25">
      <c r="A162" s="70" t="str">
        <f>M157</f>
        <v>REGN</v>
      </c>
      <c r="B162" s="43" t="s">
        <v>340</v>
      </c>
      <c r="C162" s="44"/>
      <c r="D162" s="44"/>
      <c r="E162" s="74" t="str">
        <f>B162&amp;" ("&amp;A162&amp;")"</f>
        <v>Total Revenue (REGN)</v>
      </c>
      <c r="F162" s="45">
        <f>F209</f>
        <v>4860.4000000000005</v>
      </c>
      <c r="G162" s="45">
        <f t="shared" ref="G162:J162" si="85">G209</f>
        <v>5872.2</v>
      </c>
      <c r="H162" s="45">
        <f t="shared" si="85"/>
        <v>6710.7999999999993</v>
      </c>
      <c r="I162" s="71"/>
      <c r="J162" s="45">
        <f t="shared" si="85"/>
        <v>6508.8569486316137</v>
      </c>
      <c r="K162" s="62"/>
      <c r="L162" s="67">
        <f>IF(ISERROR(H162/J162-1),0,(H162/J162-1))</f>
        <v>3.1025885645073359E-2</v>
      </c>
    </row>
    <row r="163" spans="1:12" ht="12" customHeight="1" outlineLevel="1" x14ac:dyDescent="0.25">
      <c r="A163" s="70" t="str">
        <f>A162</f>
        <v>REGN</v>
      </c>
      <c r="B163" s="42" t="s">
        <v>341</v>
      </c>
      <c r="C163" s="46"/>
      <c r="D163" s="46"/>
      <c r="E163" s="72" t="str">
        <f t="shared" ref="E163:E198" si="86">B163&amp;" ("&amp;A163&amp;")"</f>
        <v>% Growth (REGN)</v>
      </c>
      <c r="F163" s="47" t="s">
        <v>342</v>
      </c>
      <c r="G163" s="47">
        <f>G162/F162-1</f>
        <v>0.20817216689984352</v>
      </c>
      <c r="H163" s="47">
        <f>H162/G162-1</f>
        <v>0.14280848744933738</v>
      </c>
      <c r="I163" s="71"/>
      <c r="J163" s="47">
        <f>J162/G162-1</f>
        <v>0.10841881213712301</v>
      </c>
      <c r="K163" s="62"/>
      <c r="L163" s="67">
        <f t="shared" ref="L163:L194" si="87">IF(ISERROR(H163/J163-1),0,(H163/J163-1))</f>
        <v>0.31719288040824445</v>
      </c>
    </row>
    <row r="164" spans="1:12" ht="12" customHeight="1" outlineLevel="1" x14ac:dyDescent="0.25">
      <c r="A164" s="70" t="str">
        <f t="shared" ref="A164:A198" si="88">A163</f>
        <v>REGN</v>
      </c>
      <c r="B164" s="42" t="s">
        <v>343</v>
      </c>
      <c r="C164" s="41"/>
      <c r="D164" s="41"/>
      <c r="E164" s="40" t="str">
        <f t="shared" si="86"/>
        <v>COGS (REGN)</v>
      </c>
      <c r="F164" s="48">
        <f>SUM(F213,F214)</f>
        <v>299.7</v>
      </c>
      <c r="G164" s="48">
        <f t="shared" ref="G164:H164" si="89">SUM(G213,G214)</f>
        <v>397.1</v>
      </c>
      <c r="H164" s="48">
        <f t="shared" si="89"/>
        <v>434.1</v>
      </c>
      <c r="I164" s="71"/>
      <c r="J164" s="48">
        <f t="shared" ref="J164" si="90">SUM(J213,J214)</f>
        <v>440.36382960463135</v>
      </c>
      <c r="K164" s="62"/>
      <c r="L164" s="67">
        <f t="shared" si="87"/>
        <v>-1.4224214577875594E-2</v>
      </c>
    </row>
    <row r="165" spans="1:12" ht="12" customHeight="1" outlineLevel="1" x14ac:dyDescent="0.25">
      <c r="A165" s="70" t="str">
        <f t="shared" si="88"/>
        <v>REGN</v>
      </c>
      <c r="B165" s="42" t="s">
        <v>344</v>
      </c>
      <c r="C165" s="41"/>
      <c r="D165" s="41"/>
      <c r="E165" s="40" t="str">
        <f t="shared" si="86"/>
        <v>Total Depreciation &amp; Amortization (REGN)</v>
      </c>
      <c r="F165" s="48">
        <f>F230</f>
        <v>104.7</v>
      </c>
      <c r="G165" s="48">
        <f t="shared" ref="G165:H165" si="91">G230</f>
        <v>145.5</v>
      </c>
      <c r="H165" s="48">
        <f t="shared" si="91"/>
        <v>148.19999999999999</v>
      </c>
      <c r="I165" s="71"/>
      <c r="J165" s="48">
        <f t="shared" ref="J165" si="92">J230</f>
        <v>144.1119886014788</v>
      </c>
      <c r="K165" s="62"/>
      <c r="L165" s="67">
        <f t="shared" si="87"/>
        <v>2.8366907140709774E-2</v>
      </c>
    </row>
    <row r="166" spans="1:12" ht="12" customHeight="1" outlineLevel="1" x14ac:dyDescent="0.25">
      <c r="A166" s="70" t="str">
        <f t="shared" si="88"/>
        <v>REGN</v>
      </c>
      <c r="B166" s="42" t="s">
        <v>345</v>
      </c>
      <c r="C166" s="41"/>
      <c r="D166" s="41"/>
      <c r="E166" s="40" t="str">
        <f t="shared" si="86"/>
        <v>COGS (Exclusive of D&amp;A) (REGN)</v>
      </c>
      <c r="F166" s="49">
        <f>F164-F165</f>
        <v>195</v>
      </c>
      <c r="G166" s="49">
        <f>G164-G165</f>
        <v>251.60000000000002</v>
      </c>
      <c r="H166" s="49">
        <f>H164-H165</f>
        <v>285.90000000000003</v>
      </c>
      <c r="I166" s="71"/>
      <c r="J166" s="49">
        <f t="shared" ref="J166" si="93">J164-J165</f>
        <v>296.25184100315255</v>
      </c>
      <c r="K166" s="62"/>
      <c r="L166" s="67">
        <f t="shared" si="87"/>
        <v>-3.4942706070955176E-2</v>
      </c>
    </row>
    <row r="167" spans="1:12" ht="12" customHeight="1" outlineLevel="1" x14ac:dyDescent="0.25">
      <c r="A167" s="70" t="str">
        <f t="shared" si="88"/>
        <v>REGN</v>
      </c>
      <c r="B167" s="42" t="s">
        <v>346</v>
      </c>
      <c r="C167" s="46"/>
      <c r="D167" s="46"/>
      <c r="E167" s="72" t="str">
        <f t="shared" si="86"/>
        <v>% Total Revenue (REGN)</v>
      </c>
      <c r="F167" s="50">
        <f>F166/F162</f>
        <v>4.0120154719776147E-2</v>
      </c>
      <c r="G167" s="50">
        <f>G166/G162</f>
        <v>4.2845952113347643E-2</v>
      </c>
      <c r="H167" s="50">
        <f>H166/H162</f>
        <v>4.2602968349526149E-2</v>
      </c>
      <c r="I167" s="71"/>
      <c r="J167" s="50">
        <f t="shared" ref="J167" si="94">J166/J162</f>
        <v>4.5515186973871795E-2</v>
      </c>
      <c r="K167" s="62"/>
      <c r="L167" s="67">
        <f t="shared" si="87"/>
        <v>-6.3983448557893841E-2</v>
      </c>
    </row>
    <row r="168" spans="1:12" ht="12" customHeight="1" outlineLevel="1" x14ac:dyDescent="0.25">
      <c r="A168" s="70" t="str">
        <f t="shared" si="88"/>
        <v>REGN</v>
      </c>
      <c r="B168" s="43" t="s">
        <v>347</v>
      </c>
      <c r="C168" s="44"/>
      <c r="D168" s="44"/>
      <c r="E168" s="74" t="str">
        <f t="shared" si="86"/>
        <v>Gross Profit (REGN)</v>
      </c>
      <c r="F168" s="51">
        <f>F162-F166</f>
        <v>4665.4000000000005</v>
      </c>
      <c r="G168" s="51">
        <f>G162-G166</f>
        <v>5620.5999999999995</v>
      </c>
      <c r="H168" s="51">
        <f>H162-H166</f>
        <v>6424.9</v>
      </c>
      <c r="I168" s="71"/>
      <c r="J168" s="51">
        <f t="shared" ref="J168" si="95">J162-J166</f>
        <v>6212.6051076284612</v>
      </c>
      <c r="K168" s="62"/>
      <c r="L168" s="67">
        <f t="shared" si="87"/>
        <v>3.4171637935084931E-2</v>
      </c>
    </row>
    <row r="169" spans="1:12" ht="12" customHeight="1" outlineLevel="1" x14ac:dyDescent="0.25">
      <c r="A169" s="70" t="str">
        <f t="shared" si="88"/>
        <v>REGN</v>
      </c>
      <c r="B169" s="42" t="s">
        <v>348</v>
      </c>
      <c r="C169" s="46"/>
      <c r="D169" s="46"/>
      <c r="E169" s="72" t="str">
        <f t="shared" si="86"/>
        <v>Gross Profit Margin (%) (REGN)</v>
      </c>
      <c r="F169" s="47">
        <f>F168/F162</f>
        <v>0.95987984528022385</v>
      </c>
      <c r="G169" s="47">
        <f>G168/G162</f>
        <v>0.95715404788665226</v>
      </c>
      <c r="H169" s="47">
        <f>H168/H162</f>
        <v>0.95739703165047396</v>
      </c>
      <c r="I169" s="71"/>
      <c r="J169" s="47">
        <f t="shared" ref="J169" si="96">J168/J162</f>
        <v>0.9544848130261282</v>
      </c>
      <c r="K169" s="62"/>
      <c r="L169" s="67">
        <f t="shared" si="87"/>
        <v>3.0510895350055467E-3</v>
      </c>
    </row>
    <row r="170" spans="1:12" ht="12" customHeight="1" outlineLevel="1" x14ac:dyDescent="0.25">
      <c r="A170" s="70" t="str">
        <f t="shared" si="88"/>
        <v>REGN</v>
      </c>
      <c r="B170" s="42" t="s">
        <v>349</v>
      </c>
      <c r="C170" s="41"/>
      <c r="D170" s="41"/>
      <c r="E170" s="40" t="str">
        <f t="shared" si="86"/>
        <v>Operating expenses (REGN)</v>
      </c>
      <c r="F170" s="48">
        <f>SUM(F211,F212)</f>
        <v>3230</v>
      </c>
      <c r="G170" s="48">
        <f t="shared" ref="G170:J170" si="97">SUM(G211,G212)</f>
        <v>3395.5</v>
      </c>
      <c r="H170" s="48">
        <f t="shared" si="97"/>
        <v>3742.3</v>
      </c>
      <c r="I170" s="71"/>
      <c r="J170" s="48">
        <f t="shared" si="97"/>
        <v>3665.3866541453672</v>
      </c>
      <c r="K170" s="62"/>
      <c r="L170" s="67">
        <f t="shared" si="87"/>
        <v>2.0983692339155535E-2</v>
      </c>
    </row>
    <row r="171" spans="1:12" ht="12" customHeight="1" outlineLevel="1" x14ac:dyDescent="0.25">
      <c r="A171" s="70" t="str">
        <f t="shared" si="88"/>
        <v>REGN</v>
      </c>
      <c r="B171" s="42" t="s">
        <v>346</v>
      </c>
      <c r="C171" s="46"/>
      <c r="D171" s="46"/>
      <c r="E171" s="72" t="str">
        <f t="shared" si="86"/>
        <v>% Total Revenue (REGN)</v>
      </c>
      <c r="F171" s="50">
        <f>F170/F162</f>
        <v>0.66455435766603566</v>
      </c>
      <c r="G171" s="50">
        <f>G170/G162</f>
        <v>0.57823303021014272</v>
      </c>
      <c r="H171" s="50">
        <f>H170/H162</f>
        <v>0.55765333492281111</v>
      </c>
      <c r="I171" s="71"/>
      <c r="J171" s="50">
        <f t="shared" ref="J171" si="98">J170/J162</f>
        <v>0.56313830263483633</v>
      </c>
      <c r="K171" s="62"/>
      <c r="L171" s="67">
        <f t="shared" si="87"/>
        <v>-9.7400011442339007E-3</v>
      </c>
    </row>
    <row r="172" spans="1:12" ht="12" customHeight="1" outlineLevel="1" x14ac:dyDescent="0.25">
      <c r="A172" s="70" t="str">
        <f t="shared" si="88"/>
        <v>REGN</v>
      </c>
      <c r="B172" s="43" t="s">
        <v>350</v>
      </c>
      <c r="C172" s="44"/>
      <c r="D172" s="44"/>
      <c r="E172" s="74" t="str">
        <f t="shared" si="86"/>
        <v>Operating Profit (REGN)</v>
      </c>
      <c r="F172" s="51">
        <f>F168-F170</f>
        <v>1435.4000000000005</v>
      </c>
      <c r="G172" s="51">
        <f>G168-G170</f>
        <v>2225.0999999999995</v>
      </c>
      <c r="H172" s="51">
        <f>H168-H170</f>
        <v>2682.5999999999995</v>
      </c>
      <c r="I172" s="71"/>
      <c r="J172" s="51">
        <f t="shared" ref="J172" si="99">J168-J170</f>
        <v>2547.218453483094</v>
      </c>
      <c r="K172" s="62"/>
      <c r="L172" s="67">
        <f t="shared" si="87"/>
        <v>5.3148777377842515E-2</v>
      </c>
    </row>
    <row r="173" spans="1:12" ht="12" customHeight="1" outlineLevel="1" x14ac:dyDescent="0.25">
      <c r="A173" s="70" t="str">
        <f t="shared" si="88"/>
        <v>REGN</v>
      </c>
      <c r="B173" s="42" t="s">
        <v>351</v>
      </c>
      <c r="C173" s="46"/>
      <c r="D173" s="46"/>
      <c r="E173" s="72" t="str">
        <f t="shared" si="86"/>
        <v>Operating Profit Margin (%) (REGN)</v>
      </c>
      <c r="F173" s="47">
        <f>F172/F162</f>
        <v>0.2953254876141882</v>
      </c>
      <c r="G173" s="47">
        <f>G172/G162</f>
        <v>0.3789210176765096</v>
      </c>
      <c r="H173" s="47">
        <f>H172/H162</f>
        <v>0.39974369672766286</v>
      </c>
      <c r="I173" s="71"/>
      <c r="J173" s="47">
        <f t="shared" ref="J173" si="100">J172/J162</f>
        <v>0.39134651039129187</v>
      </c>
      <c r="K173" s="62"/>
      <c r="L173" s="67">
        <f t="shared" si="87"/>
        <v>2.1457164209730539E-2</v>
      </c>
    </row>
    <row r="174" spans="1:12" ht="12" customHeight="1" outlineLevel="1" x14ac:dyDescent="0.25">
      <c r="A174" s="70" t="str">
        <f t="shared" si="88"/>
        <v>REGN</v>
      </c>
      <c r="B174" s="42" t="s">
        <v>352</v>
      </c>
      <c r="C174" s="41"/>
      <c r="D174" s="41"/>
      <c r="E174" s="40" t="str">
        <f t="shared" si="86"/>
        <v>Total Other Expenses / (Income) (REGN)</v>
      </c>
      <c r="F174" s="52">
        <f>SUM(-F218,F220)</f>
        <v>-6.3</v>
      </c>
      <c r="G174" s="52">
        <f t="shared" ref="G174:J174" si="101">SUM(-G218,G220)</f>
        <v>-24</v>
      </c>
      <c r="H174" s="52">
        <f t="shared" si="101"/>
        <v>-47.3</v>
      </c>
      <c r="I174" s="71"/>
      <c r="J174" s="52">
        <f t="shared" si="101"/>
        <v>-106.0039552808426</v>
      </c>
      <c r="K174" s="62"/>
      <c r="L174" s="67">
        <f t="shared" si="87"/>
        <v>-0.55379023476354927</v>
      </c>
    </row>
    <row r="175" spans="1:12" ht="12" customHeight="1" outlineLevel="1" x14ac:dyDescent="0.25">
      <c r="A175" s="70" t="str">
        <f t="shared" si="88"/>
        <v>REGN</v>
      </c>
      <c r="B175" s="43" t="s">
        <v>353</v>
      </c>
      <c r="C175" s="44"/>
      <c r="D175" s="44"/>
      <c r="E175" s="74" t="str">
        <f t="shared" si="86"/>
        <v>EBITDA (REGN)</v>
      </c>
      <c r="F175" s="51">
        <f>F172-F174</f>
        <v>1441.7000000000005</v>
      </c>
      <c r="G175" s="51">
        <f>G172-G174</f>
        <v>2249.0999999999995</v>
      </c>
      <c r="H175" s="51">
        <f>H172-H174</f>
        <v>2729.8999999999996</v>
      </c>
      <c r="I175" s="71"/>
      <c r="J175" s="51">
        <f t="shared" ref="J175" si="102">J172-J174</f>
        <v>2653.2224087639365</v>
      </c>
      <c r="K175" s="62"/>
      <c r="L175" s="67">
        <f t="shared" si="87"/>
        <v>2.8899797839331942E-2</v>
      </c>
    </row>
    <row r="176" spans="1:12" ht="12" customHeight="1" outlineLevel="1" x14ac:dyDescent="0.25">
      <c r="A176" s="70" t="str">
        <f t="shared" si="88"/>
        <v>REGN</v>
      </c>
      <c r="B176" s="42" t="s">
        <v>354</v>
      </c>
      <c r="C176" s="46"/>
      <c r="D176" s="46"/>
      <c r="E176" s="72" t="str">
        <f t="shared" si="86"/>
        <v>EBITDA Margin (%) (REGN)</v>
      </c>
      <c r="F176" s="47">
        <f>F175/F162</f>
        <v>0.29662167722821176</v>
      </c>
      <c r="G176" s="47">
        <f>G175/G162</f>
        <v>0.3830080719321548</v>
      </c>
      <c r="H176" s="47">
        <f>H175/H162</f>
        <v>0.40679203671693387</v>
      </c>
      <c r="I176" s="71"/>
      <c r="J176" s="47">
        <f t="shared" ref="J176" si="103">J175/J162</f>
        <v>0.40763261962943209</v>
      </c>
      <c r="K176" s="62"/>
      <c r="L176" s="67">
        <f t="shared" si="87"/>
        <v>-2.0621090462837888E-3</v>
      </c>
    </row>
    <row r="177" spans="1:12" ht="12" customHeight="1" outlineLevel="1" x14ac:dyDescent="0.25">
      <c r="A177" s="70" t="str">
        <f t="shared" si="88"/>
        <v>REGN</v>
      </c>
      <c r="B177" s="42" t="s">
        <v>344</v>
      </c>
      <c r="C177" s="53"/>
      <c r="D177" s="53"/>
      <c r="E177" s="40" t="str">
        <f t="shared" si="86"/>
        <v>Total Depreciation &amp; Amortization (REGN)</v>
      </c>
      <c r="F177" s="49">
        <f>F165</f>
        <v>104.7</v>
      </c>
      <c r="G177" s="49">
        <f>G165</f>
        <v>145.5</v>
      </c>
      <c r="H177" s="49">
        <f>H165</f>
        <v>148.19999999999999</v>
      </c>
      <c r="I177" s="71"/>
      <c r="J177" s="49">
        <f t="shared" ref="J177" si="104">J165</f>
        <v>144.1119886014788</v>
      </c>
      <c r="K177" s="62"/>
      <c r="L177" s="67">
        <f t="shared" si="87"/>
        <v>2.8366907140709774E-2</v>
      </c>
    </row>
    <row r="178" spans="1:12" ht="12" customHeight="1" outlineLevel="1" x14ac:dyDescent="0.25">
      <c r="A178" s="70" t="str">
        <f t="shared" si="88"/>
        <v>REGN</v>
      </c>
      <c r="B178" s="42" t="s">
        <v>346</v>
      </c>
      <c r="C178" s="46"/>
      <c r="D178" s="46"/>
      <c r="E178" s="72" t="str">
        <f t="shared" si="86"/>
        <v>% Total Revenue (REGN)</v>
      </c>
      <c r="F178" s="47">
        <f>F177/F162</f>
        <v>2.1541436918772115E-2</v>
      </c>
      <c r="G178" s="47">
        <f>G177/G162</f>
        <v>2.4777766424849291E-2</v>
      </c>
      <c r="H178" s="47">
        <f>H177/H162</f>
        <v>2.2083805209513023E-2</v>
      </c>
      <c r="I178" s="71"/>
      <c r="J178" s="47">
        <f t="shared" ref="J178" si="105">J177/J162</f>
        <v>2.2140905805554095E-2</v>
      </c>
      <c r="K178" s="62"/>
      <c r="L178" s="67">
        <f t="shared" si="87"/>
        <v>-2.5789638663630265E-3</v>
      </c>
    </row>
    <row r="179" spans="1:12" ht="12" customHeight="1" outlineLevel="1" x14ac:dyDescent="0.25">
      <c r="A179" s="70" t="str">
        <f t="shared" si="88"/>
        <v>REGN</v>
      </c>
      <c r="B179" s="43" t="s">
        <v>355</v>
      </c>
      <c r="C179" s="44"/>
      <c r="D179" s="44"/>
      <c r="E179" s="74" t="str">
        <f t="shared" si="86"/>
        <v>EBIT (REGN)</v>
      </c>
      <c r="F179" s="54">
        <f>F175-F177</f>
        <v>1337.0000000000005</v>
      </c>
      <c r="G179" s="54">
        <f>G175-G177</f>
        <v>2103.5999999999995</v>
      </c>
      <c r="H179" s="54">
        <f>H175-H177</f>
        <v>2581.6999999999998</v>
      </c>
      <c r="I179" s="71"/>
      <c r="J179" s="54">
        <f t="shared" ref="J179" si="106">J175-J177</f>
        <v>2509.1104201624576</v>
      </c>
      <c r="K179" s="62"/>
      <c r="L179" s="67">
        <f t="shared" si="87"/>
        <v>2.8930404678181532E-2</v>
      </c>
    </row>
    <row r="180" spans="1:12" ht="12" customHeight="1" outlineLevel="1" x14ac:dyDescent="0.25">
      <c r="A180" s="70" t="str">
        <f t="shared" si="88"/>
        <v>REGN</v>
      </c>
      <c r="B180" s="42" t="s">
        <v>356</v>
      </c>
      <c r="C180" s="46"/>
      <c r="D180" s="46"/>
      <c r="E180" s="72" t="str">
        <f t="shared" si="86"/>
        <v>EBIT Margin (%) (REGN)</v>
      </c>
      <c r="F180" s="47">
        <f>F179/F162</f>
        <v>0.27508024030943962</v>
      </c>
      <c r="G180" s="47">
        <f>G179/G162</f>
        <v>0.3582303055073055</v>
      </c>
      <c r="H180" s="47">
        <f>H179/H162</f>
        <v>0.38470823150742089</v>
      </c>
      <c r="I180" s="71"/>
      <c r="J180" s="47">
        <f t="shared" ref="J180" si="107">J179/J162</f>
        <v>0.38549171382387798</v>
      </c>
      <c r="K180" s="62"/>
      <c r="L180" s="67">
        <f t="shared" si="87"/>
        <v>-2.0324232359895111E-3</v>
      </c>
    </row>
    <row r="181" spans="1:12" ht="12" customHeight="1" outlineLevel="1" x14ac:dyDescent="0.25">
      <c r="A181" s="70" t="str">
        <f t="shared" si="88"/>
        <v>REGN</v>
      </c>
      <c r="B181" s="43" t="s">
        <v>357</v>
      </c>
      <c r="C181" s="44"/>
      <c r="D181" s="44"/>
      <c r="E181" s="74" t="str">
        <f t="shared" si="86"/>
        <v>Net Interest Expense (REGN)</v>
      </c>
      <c r="F181" s="45">
        <f>-F219</f>
        <v>7.2</v>
      </c>
      <c r="G181" s="45">
        <f t="shared" ref="G181:J181" si="108">-G219</f>
        <v>25.1</v>
      </c>
      <c r="H181" s="45">
        <f t="shared" si="108"/>
        <v>28.2</v>
      </c>
      <c r="I181" s="71"/>
      <c r="J181" s="45">
        <f t="shared" si="108"/>
        <v>28.617342768842263</v>
      </c>
      <c r="K181" s="62"/>
      <c r="L181" s="67">
        <f t="shared" si="87"/>
        <v>-1.4583561171747084E-2</v>
      </c>
    </row>
    <row r="182" spans="1:12" ht="12" customHeight="1" outlineLevel="1" x14ac:dyDescent="0.25">
      <c r="A182" s="70" t="str">
        <f t="shared" si="88"/>
        <v>REGN</v>
      </c>
      <c r="B182" s="42" t="s">
        <v>346</v>
      </c>
      <c r="C182" s="46"/>
      <c r="D182" s="46"/>
      <c r="E182" s="72" t="str">
        <f t="shared" si="86"/>
        <v>% Total Revenue (REGN)</v>
      </c>
      <c r="F182" s="47">
        <f>F181/F162</f>
        <v>1.4813595588840424E-3</v>
      </c>
      <c r="G182" s="47">
        <f>G181/G162</f>
        <v>4.2743775756956511E-3</v>
      </c>
      <c r="H182" s="47">
        <f>H181/H162</f>
        <v>4.2021815580854747E-3</v>
      </c>
      <c r="I182" s="71"/>
      <c r="J182" s="47">
        <f t="shared" ref="J182" si="109">J181/J162</f>
        <v>4.3966771730723957E-3</v>
      </c>
      <c r="K182" s="62"/>
      <c r="L182" s="67">
        <f t="shared" si="87"/>
        <v>-4.4236956076310618E-2</v>
      </c>
    </row>
    <row r="183" spans="1:12" ht="12" customHeight="1" outlineLevel="1" x14ac:dyDescent="0.25">
      <c r="A183" s="70" t="str">
        <f t="shared" si="88"/>
        <v>REGN</v>
      </c>
      <c r="B183" s="43" t="s">
        <v>358</v>
      </c>
      <c r="C183" s="44"/>
      <c r="D183" s="44"/>
      <c r="E183" s="74" t="str">
        <f t="shared" si="86"/>
        <v>EBT (REGN)</v>
      </c>
      <c r="F183" s="54">
        <f>F179-F181</f>
        <v>1329.8000000000004</v>
      </c>
      <c r="G183" s="54">
        <f>G179-G181</f>
        <v>2078.4999999999995</v>
      </c>
      <c r="H183" s="54">
        <f>H179-H181</f>
        <v>2553.5</v>
      </c>
      <c r="I183" s="71"/>
      <c r="J183" s="54">
        <f t="shared" ref="J183" si="110">J179-J181</f>
        <v>2480.4930773936153</v>
      </c>
      <c r="K183" s="62"/>
      <c r="L183" s="67">
        <f t="shared" si="87"/>
        <v>2.9432423445058253E-2</v>
      </c>
    </row>
    <row r="184" spans="1:12" ht="12" customHeight="1" outlineLevel="1" x14ac:dyDescent="0.25">
      <c r="A184" s="70" t="str">
        <f t="shared" si="88"/>
        <v>REGN</v>
      </c>
      <c r="B184" s="42" t="s">
        <v>359</v>
      </c>
      <c r="C184" s="46"/>
      <c r="D184" s="46"/>
      <c r="E184" s="72" t="str">
        <f t="shared" si="86"/>
        <v>EBT Margin (%) (REGN)</v>
      </c>
      <c r="F184" s="47">
        <f>F183/F162</f>
        <v>0.27359888075055555</v>
      </c>
      <c r="G184" s="47">
        <f>G183/G162</f>
        <v>0.3539559279316099</v>
      </c>
      <c r="H184" s="47">
        <f>H183/H162</f>
        <v>0.38050604994933546</v>
      </c>
      <c r="I184" s="71"/>
      <c r="J184" s="47">
        <f t="shared" ref="J184" si="111">J183/J162</f>
        <v>0.38109503665080557</v>
      </c>
      <c r="K184" s="62"/>
      <c r="L184" s="67">
        <f t="shared" si="87"/>
        <v>-1.545511341859318E-3</v>
      </c>
    </row>
    <row r="185" spans="1:12" ht="12" customHeight="1" outlineLevel="1" x14ac:dyDescent="0.25">
      <c r="A185" s="70" t="str">
        <f t="shared" si="88"/>
        <v>REGN</v>
      </c>
      <c r="B185" s="42" t="s">
        <v>360</v>
      </c>
      <c r="C185" s="41"/>
      <c r="D185" s="41"/>
      <c r="E185" s="40" t="str">
        <f t="shared" si="86"/>
        <v>Income Tax Expense (REGN)</v>
      </c>
      <c r="F185" s="55">
        <f>-F223</f>
        <v>434.3</v>
      </c>
      <c r="G185" s="55">
        <f t="shared" ref="G185:J185" si="112">-G223</f>
        <v>880</v>
      </c>
      <c r="H185" s="55">
        <f t="shared" si="112"/>
        <v>109.1</v>
      </c>
      <c r="I185" s="71"/>
      <c r="J185" s="55">
        <f t="shared" si="112"/>
        <v>404.07601934840392</v>
      </c>
      <c r="K185" s="62"/>
      <c r="L185" s="67">
        <f t="shared" si="87"/>
        <v>-0.73000129981499495</v>
      </c>
    </row>
    <row r="186" spans="1:12" ht="12" customHeight="1" outlineLevel="1" x14ac:dyDescent="0.25">
      <c r="A186" s="70" t="str">
        <f t="shared" si="88"/>
        <v>REGN</v>
      </c>
      <c r="B186" s="42" t="s">
        <v>361</v>
      </c>
      <c r="C186" s="46"/>
      <c r="D186" s="46"/>
      <c r="E186" s="72" t="str">
        <f t="shared" si="86"/>
        <v>Effective Tax Rate (%) (REGN)</v>
      </c>
      <c r="F186" s="47">
        <f>F185/F183</f>
        <v>0.32659046473153847</v>
      </c>
      <c r="G186" s="47">
        <f>G185/G183</f>
        <v>0.42338224681260533</v>
      </c>
      <c r="H186" s="47">
        <f>H185/H183</f>
        <v>4.2725670648130015E-2</v>
      </c>
      <c r="I186" s="71"/>
      <c r="J186" s="47">
        <f t="shared" ref="J186" si="113">J185/J183</f>
        <v>0.1629014904459995</v>
      </c>
      <c r="K186" s="62"/>
      <c r="L186" s="67">
        <f t="shared" si="87"/>
        <v>-0.73772081193883721</v>
      </c>
    </row>
    <row r="187" spans="1:12" ht="12" customHeight="1" outlineLevel="1" x14ac:dyDescent="0.25">
      <c r="A187" s="70" t="str">
        <f t="shared" si="88"/>
        <v>REGN</v>
      </c>
      <c r="B187" s="42" t="s">
        <v>362</v>
      </c>
      <c r="C187" s="41"/>
      <c r="D187" s="41"/>
      <c r="E187" s="40" t="str">
        <f t="shared" si="86"/>
        <v>Noncontrolling Interest (REGN)</v>
      </c>
      <c r="F187" s="52">
        <v>0</v>
      </c>
      <c r="G187" s="52">
        <v>0</v>
      </c>
      <c r="H187" s="52">
        <v>0</v>
      </c>
      <c r="I187" s="71"/>
      <c r="J187" s="52">
        <v>0</v>
      </c>
      <c r="K187" s="62"/>
      <c r="L187" s="67">
        <f t="shared" si="87"/>
        <v>0</v>
      </c>
    </row>
    <row r="188" spans="1:12" ht="12" customHeight="1" outlineLevel="1" thickBot="1" x14ac:dyDescent="0.3">
      <c r="A188" s="70" t="str">
        <f t="shared" si="88"/>
        <v>REGN</v>
      </c>
      <c r="B188" s="43" t="s">
        <v>170</v>
      </c>
      <c r="C188" s="44"/>
      <c r="D188" s="44"/>
      <c r="E188" s="74" t="str">
        <f t="shared" si="86"/>
        <v>Net Income (REGN)</v>
      </c>
      <c r="F188" s="56">
        <f>F183-SUM(F185,F187)</f>
        <v>895.50000000000045</v>
      </c>
      <c r="G188" s="56">
        <f>G183-SUM(G185,G187)</f>
        <v>1198.4999999999995</v>
      </c>
      <c r="H188" s="56">
        <f>H183-SUM(H185,H187)</f>
        <v>2444.4</v>
      </c>
      <c r="I188" s="71"/>
      <c r="J188" s="56">
        <f t="shared" ref="J188" si="114">J183-SUM(J185,J187)</f>
        <v>2076.4170580452114</v>
      </c>
      <c r="K188" s="62"/>
      <c r="L188" s="67">
        <f t="shared" si="87"/>
        <v>0.17722014974256495</v>
      </c>
    </row>
    <row r="189" spans="1:12" ht="12" customHeight="1" outlineLevel="1" thickTop="1" x14ac:dyDescent="0.25">
      <c r="A189" s="70" t="str">
        <f t="shared" si="88"/>
        <v>REGN</v>
      </c>
      <c r="B189" s="42" t="s">
        <v>363</v>
      </c>
      <c r="C189" s="46"/>
      <c r="D189" s="46"/>
      <c r="E189" s="72" t="str">
        <f t="shared" si="86"/>
        <v>Net Profit Margin (%) (REGN)</v>
      </c>
      <c r="F189" s="47">
        <f>F188/F162</f>
        <v>0.18424409513620285</v>
      </c>
      <c r="G189" s="47">
        <f>G188/G162</f>
        <v>0.20409727189128429</v>
      </c>
      <c r="H189" s="47">
        <f>H188/H162</f>
        <v>0.36424867377957926</v>
      </c>
      <c r="I189" s="71"/>
      <c r="J189" s="47">
        <f t="shared" ref="J189" si="115">J188/J162</f>
        <v>0.31901408717881652</v>
      </c>
      <c r="K189" s="62"/>
      <c r="L189" s="67">
        <f t="shared" si="87"/>
        <v>0.14179495018791277</v>
      </c>
    </row>
    <row r="190" spans="1:12" ht="12" customHeight="1" outlineLevel="1" x14ac:dyDescent="0.25">
      <c r="A190" s="70" t="str">
        <f t="shared" si="88"/>
        <v>REGN</v>
      </c>
      <c r="B190" s="42"/>
      <c r="C190" s="41"/>
      <c r="D190" s="41"/>
      <c r="E190" s="40" t="str">
        <f t="shared" si="86"/>
        <v xml:space="preserve"> (REGN)</v>
      </c>
      <c r="F190" s="41"/>
      <c r="G190" s="41"/>
      <c r="H190" s="41"/>
      <c r="I190" s="71"/>
      <c r="J190" s="41"/>
      <c r="K190" s="62"/>
      <c r="L190" s="67"/>
    </row>
    <row r="191" spans="1:12" ht="12" customHeight="1" outlineLevel="1" x14ac:dyDescent="0.25">
      <c r="A191" s="70" t="str">
        <f t="shared" si="88"/>
        <v>REGN</v>
      </c>
      <c r="B191" s="42"/>
      <c r="C191" s="41"/>
      <c r="D191" s="41"/>
      <c r="E191" s="40" t="str">
        <f t="shared" si="86"/>
        <v xml:space="preserve"> (REGN)</v>
      </c>
      <c r="F191" s="41"/>
      <c r="G191" s="41"/>
      <c r="H191" s="41"/>
      <c r="I191" s="71"/>
      <c r="J191" s="41"/>
      <c r="K191" s="62"/>
      <c r="L191" s="67"/>
    </row>
    <row r="192" spans="1:12" ht="12" customHeight="1" outlineLevel="1" x14ac:dyDescent="0.25">
      <c r="A192" s="70" t="str">
        <f t="shared" si="88"/>
        <v>REGN</v>
      </c>
      <c r="B192" s="42" t="s">
        <v>364</v>
      </c>
      <c r="C192" s="41"/>
      <c r="D192" s="41"/>
      <c r="E192" s="40" t="str">
        <f t="shared" si="86"/>
        <v>Earnings Per Share (REGN)</v>
      </c>
      <c r="F192" s="41"/>
      <c r="G192" s="41"/>
      <c r="H192" s="41"/>
      <c r="I192" s="71"/>
      <c r="J192" s="41"/>
      <c r="K192" s="62"/>
      <c r="L192" s="67"/>
    </row>
    <row r="193" spans="1:13" ht="12" customHeight="1" outlineLevel="1" x14ac:dyDescent="0.25">
      <c r="A193" s="70" t="str">
        <f t="shared" si="88"/>
        <v>REGN</v>
      </c>
      <c r="B193" s="42" t="s">
        <v>365</v>
      </c>
      <c r="C193" s="57"/>
      <c r="D193" s="57"/>
      <c r="E193" s="73" t="str">
        <f t="shared" si="86"/>
        <v>Basic (REGN)</v>
      </c>
      <c r="F193" s="58">
        <f>F225</f>
        <v>8.5500000000000007</v>
      </c>
      <c r="G193" s="58">
        <f t="shared" ref="G193:H193" si="116">G225</f>
        <v>11.27</v>
      </c>
      <c r="H193" s="58">
        <f t="shared" si="116"/>
        <v>22.65</v>
      </c>
      <c r="I193" s="71"/>
      <c r="J193" s="58">
        <f t="shared" ref="J193" si="117">J225</f>
        <v>19.247332185954402</v>
      </c>
      <c r="K193" s="62"/>
      <c r="L193" s="67">
        <f t="shared" si="87"/>
        <v>0.17678646480308924</v>
      </c>
    </row>
    <row r="194" spans="1:13" ht="12" customHeight="1" outlineLevel="1" x14ac:dyDescent="0.25">
      <c r="A194" s="70" t="str">
        <f t="shared" si="88"/>
        <v>REGN</v>
      </c>
      <c r="B194" s="42" t="s">
        <v>366</v>
      </c>
      <c r="C194" s="57"/>
      <c r="D194" s="57"/>
      <c r="E194" s="73" t="str">
        <f t="shared" si="86"/>
        <v>Diluted (REGN)</v>
      </c>
      <c r="F194" s="58">
        <f>F226</f>
        <v>7.7</v>
      </c>
      <c r="G194" s="58">
        <f t="shared" ref="G194:H194" si="118">G226</f>
        <v>10.34</v>
      </c>
      <c r="H194" s="58">
        <f t="shared" si="118"/>
        <v>21.29</v>
      </c>
      <c r="I194" s="71"/>
      <c r="J194" s="58">
        <f t="shared" ref="J194" si="119">J226</f>
        <v>18.08064488083216</v>
      </c>
      <c r="K194" s="62"/>
      <c r="L194" s="67">
        <f t="shared" si="87"/>
        <v>0.17750224841649165</v>
      </c>
    </row>
    <row r="195" spans="1:13" ht="12" customHeight="1" outlineLevel="1" x14ac:dyDescent="0.25">
      <c r="A195" s="70" t="str">
        <f t="shared" si="88"/>
        <v>REGN</v>
      </c>
      <c r="B195" s="42"/>
      <c r="C195" s="41"/>
      <c r="D195" s="41"/>
      <c r="E195" s="40" t="str">
        <f t="shared" si="86"/>
        <v xml:space="preserve"> (REGN)</v>
      </c>
      <c r="F195" s="41"/>
      <c r="G195" s="41"/>
      <c r="H195" s="41"/>
      <c r="I195" s="71"/>
      <c r="J195" s="41"/>
      <c r="K195" s="62"/>
      <c r="L195" s="62"/>
    </row>
    <row r="196" spans="1:13" ht="12" customHeight="1" outlineLevel="1" x14ac:dyDescent="0.25">
      <c r="A196" s="70" t="str">
        <f t="shared" si="88"/>
        <v>REGN</v>
      </c>
      <c r="B196" s="42" t="s">
        <v>367</v>
      </c>
      <c r="C196" s="41"/>
      <c r="D196" s="41"/>
      <c r="E196" s="40" t="str">
        <f t="shared" si="86"/>
        <v>Avg. Common Shares Outstanding (REGN)</v>
      </c>
      <c r="F196" s="41"/>
      <c r="G196" s="41"/>
      <c r="H196" s="41"/>
      <c r="I196" s="71"/>
      <c r="J196" s="41"/>
      <c r="K196" s="62"/>
      <c r="L196" s="62"/>
    </row>
    <row r="197" spans="1:13" ht="12" customHeight="1" outlineLevel="1" x14ac:dyDescent="0.25">
      <c r="A197" s="70" t="str">
        <f t="shared" si="88"/>
        <v>REGN</v>
      </c>
      <c r="B197" s="42" t="s">
        <v>365</v>
      </c>
      <c r="C197" s="41"/>
      <c r="D197" s="41"/>
      <c r="E197" s="40" t="str">
        <f t="shared" si="86"/>
        <v>Basic (REGN)</v>
      </c>
      <c r="F197" s="53">
        <f>F188/F193</f>
        <v>104.73684210526321</v>
      </c>
      <c r="G197" s="53">
        <f>G188/G193</f>
        <v>106.34427684117121</v>
      </c>
      <c r="H197" s="53">
        <f>H188/H193</f>
        <v>107.92052980132452</v>
      </c>
      <c r="I197" s="71"/>
      <c r="J197" s="53">
        <f t="shared" ref="J197" si="120">J188/J193</f>
        <v>107.8807721498391</v>
      </c>
      <c r="K197" s="62"/>
      <c r="L197" s="67">
        <f t="shared" ref="L197:L198" si="121">IF(ISERROR(H197/J197-1),0,(H197/J197-1))</f>
        <v>3.6853324918917352E-4</v>
      </c>
    </row>
    <row r="198" spans="1:13" ht="12" customHeight="1" outlineLevel="1" x14ac:dyDescent="0.25">
      <c r="A198" s="70" t="str">
        <f t="shared" si="88"/>
        <v>REGN</v>
      </c>
      <c r="B198" s="42" t="s">
        <v>366</v>
      </c>
      <c r="C198" s="41"/>
      <c r="D198" s="41"/>
      <c r="E198" s="40" t="str">
        <f t="shared" si="86"/>
        <v>Diluted (REGN)</v>
      </c>
      <c r="F198" s="53">
        <f>F188/F194</f>
        <v>116.29870129870136</v>
      </c>
      <c r="G198" s="53">
        <f>G188/G194</f>
        <v>115.90909090909086</v>
      </c>
      <c r="H198" s="53">
        <f>H188/H194</f>
        <v>114.81446688586192</v>
      </c>
      <c r="I198" s="71"/>
      <c r="J198" s="53">
        <f t="shared" ref="J198" si="122">J188/J194</f>
        <v>114.84198001402505</v>
      </c>
      <c r="K198" s="62"/>
      <c r="L198" s="67">
        <f t="shared" si="121"/>
        <v>-2.3957378791084061E-4</v>
      </c>
    </row>
    <row r="199" spans="1:13" ht="12" customHeight="1" outlineLevel="1" x14ac:dyDescent="0.25">
      <c r="B199" s="62"/>
      <c r="C199" s="62"/>
      <c r="D199" s="62"/>
      <c r="E199" s="62"/>
      <c r="F199" s="62"/>
      <c r="G199" s="62"/>
      <c r="H199" s="62"/>
      <c r="I199" s="15"/>
      <c r="J199" s="62"/>
      <c r="K199" s="62"/>
      <c r="L199" s="62"/>
    </row>
    <row r="200" spans="1:13" ht="12" customHeight="1" outlineLevel="1" x14ac:dyDescent="0.25">
      <c r="B200" s="63" t="s">
        <v>371</v>
      </c>
      <c r="C200" s="63"/>
      <c r="D200" s="63"/>
      <c r="E200" s="63"/>
      <c r="F200" s="63"/>
      <c r="G200" s="63"/>
      <c r="H200" s="63"/>
      <c r="I200" s="63"/>
      <c r="J200" s="63"/>
      <c r="K200" s="63"/>
      <c r="L200" s="64"/>
      <c r="M200" s="64"/>
    </row>
    <row r="201" spans="1:13" ht="12" hidden="1" customHeight="1" outlineLevel="2" x14ac:dyDescent="0.25">
      <c r="B201" s="1"/>
    </row>
    <row r="202" spans="1:13" ht="12" hidden="1" customHeight="1" outlineLevel="2" x14ac:dyDescent="0.25">
      <c r="B202" s="8" t="s">
        <v>41</v>
      </c>
    </row>
    <row r="203" spans="1:13" ht="12" hidden="1" customHeight="1" outlineLevel="2" x14ac:dyDescent="0.25">
      <c r="B203" s="8" t="s">
        <v>230</v>
      </c>
      <c r="F203" s="3" t="s">
        <v>4</v>
      </c>
      <c r="G203" s="3" t="s">
        <v>3</v>
      </c>
      <c r="H203" s="3" t="s">
        <v>2</v>
      </c>
      <c r="J203" s="14" t="s">
        <v>2</v>
      </c>
      <c r="L203" s="36">
        <f>MEDIAN(L205:L231)</f>
        <v>9.9677100088879644E-3</v>
      </c>
    </row>
    <row r="204" spans="1:13" ht="12" hidden="1" customHeight="1" outlineLevel="2" x14ac:dyDescent="0.25">
      <c r="B204" s="8" t="s">
        <v>42</v>
      </c>
      <c r="J204" s="15"/>
    </row>
    <row r="205" spans="1:13" ht="12" hidden="1" customHeight="1" outlineLevel="2" x14ac:dyDescent="0.25">
      <c r="B205" s="8" t="s">
        <v>251</v>
      </c>
      <c r="F205" s="3">
        <v>3338.4</v>
      </c>
      <c r="G205" s="3">
        <v>3718.5</v>
      </c>
      <c r="H205" s="3">
        <v>4106.2</v>
      </c>
      <c r="J205" s="14">
        <v>4148.7451722685173</v>
      </c>
      <c r="L205" s="36">
        <f t="shared" ref="L205:L231" si="123">IF(ISERROR(H205/J205-1),0,(H205/J205-1))</f>
        <v>-1.0254949509288402E-2</v>
      </c>
    </row>
    <row r="206" spans="1:13" ht="12" hidden="1" customHeight="1" outlineLevel="2" x14ac:dyDescent="0.25">
      <c r="B206" s="8" t="s">
        <v>252</v>
      </c>
      <c r="F206" s="3">
        <v>658.7</v>
      </c>
      <c r="G206" s="3">
        <v>877.2</v>
      </c>
      <c r="H206" s="3">
        <v>1111.0999999999999</v>
      </c>
      <c r="J206" s="14">
        <v>892.08238146339158</v>
      </c>
      <c r="L206" s="36">
        <f t="shared" si="123"/>
        <v>0.24551277223671542</v>
      </c>
    </row>
    <row r="207" spans="1:13" ht="12" hidden="1" customHeight="1" outlineLevel="2" x14ac:dyDescent="0.25">
      <c r="B207" s="8" t="s">
        <v>253</v>
      </c>
      <c r="F207" s="3">
        <v>744.3</v>
      </c>
      <c r="G207" s="3">
        <v>938.1</v>
      </c>
      <c r="H207" s="3">
        <v>1076.7</v>
      </c>
      <c r="J207" s="14">
        <v>1073.7707907306121</v>
      </c>
      <c r="L207" s="36">
        <f t="shared" si="123"/>
        <v>2.7279651250289305E-3</v>
      </c>
    </row>
    <row r="208" spans="1:13" ht="12" hidden="1" customHeight="1" outlineLevel="2" x14ac:dyDescent="0.25">
      <c r="B208" s="8" t="s">
        <v>254</v>
      </c>
      <c r="F208" s="6">
        <v>119</v>
      </c>
      <c r="G208" s="6">
        <v>338.4</v>
      </c>
      <c r="H208" s="6">
        <v>416.8</v>
      </c>
      <c r="J208" s="14">
        <v>394.25860416909336</v>
      </c>
      <c r="L208" s="36">
        <f t="shared" si="123"/>
        <v>5.7174137970718464E-2</v>
      </c>
    </row>
    <row r="209" spans="2:12" ht="12" hidden="1" customHeight="1" outlineLevel="2" x14ac:dyDescent="0.25">
      <c r="B209" s="8" t="s">
        <v>101</v>
      </c>
      <c r="F209" s="9">
        <f>SUM(F205:F208)</f>
        <v>4860.4000000000005</v>
      </c>
      <c r="G209" s="9">
        <f>SUM(G205:G208)</f>
        <v>5872.2</v>
      </c>
      <c r="H209" s="9">
        <f>SUM(H205:H208)</f>
        <v>6710.7999999999993</v>
      </c>
      <c r="J209" s="17">
        <v>6508.8569486316137</v>
      </c>
      <c r="L209" s="36">
        <f t="shared" si="123"/>
        <v>3.1025885645073359E-2</v>
      </c>
    </row>
    <row r="210" spans="2:12" ht="12" hidden="1" customHeight="1" outlineLevel="2" x14ac:dyDescent="0.25">
      <c r="B210" s="8" t="s">
        <v>44</v>
      </c>
      <c r="J210" s="15"/>
      <c r="L210" s="35"/>
    </row>
    <row r="211" spans="2:12" ht="12" hidden="1" customHeight="1" outlineLevel="2" x14ac:dyDescent="0.25">
      <c r="B211" s="8" t="s">
        <v>45</v>
      </c>
      <c r="F211" s="3">
        <v>2052.3000000000002</v>
      </c>
      <c r="G211" s="3">
        <v>2075.1</v>
      </c>
      <c r="H211" s="3">
        <v>2186.1</v>
      </c>
      <c r="J211" s="14">
        <v>2201.6976286905374</v>
      </c>
      <c r="L211" s="36">
        <f t="shared" si="123"/>
        <v>-7.0843645772622477E-3</v>
      </c>
    </row>
    <row r="212" spans="2:12" ht="12" hidden="1" customHeight="1" outlineLevel="2" x14ac:dyDescent="0.25">
      <c r="B212" s="8" t="s">
        <v>46</v>
      </c>
      <c r="F212" s="3">
        <v>1177.7</v>
      </c>
      <c r="G212" s="3">
        <v>1320.4</v>
      </c>
      <c r="H212" s="3">
        <v>1556.2</v>
      </c>
      <c r="J212" s="14">
        <v>1463.68902545483</v>
      </c>
      <c r="L212" s="36">
        <f t="shared" si="123"/>
        <v>6.320398181329745E-2</v>
      </c>
    </row>
    <row r="213" spans="2:12" ht="12" hidden="1" customHeight="1" outlineLevel="2" x14ac:dyDescent="0.25">
      <c r="B213" s="8" t="s">
        <v>56</v>
      </c>
      <c r="F213" s="3">
        <v>194.6</v>
      </c>
      <c r="G213" s="3">
        <v>202.5</v>
      </c>
      <c r="H213" s="3">
        <v>180</v>
      </c>
      <c r="J213" s="14">
        <v>197.31819632296975</v>
      </c>
      <c r="L213" s="36">
        <f t="shared" si="123"/>
        <v>-8.7767862496692328E-2</v>
      </c>
    </row>
    <row r="214" spans="2:12" ht="12" hidden="1" customHeight="1" outlineLevel="2" x14ac:dyDescent="0.25">
      <c r="B214" s="8" t="s">
        <v>255</v>
      </c>
      <c r="F214" s="3">
        <v>105.1</v>
      </c>
      <c r="G214" s="3">
        <v>194.6</v>
      </c>
      <c r="H214" s="3">
        <v>254.1</v>
      </c>
      <c r="J214" s="14">
        <v>243.04563328166159</v>
      </c>
      <c r="L214" s="36">
        <f t="shared" si="123"/>
        <v>4.5482679812344884E-2</v>
      </c>
    </row>
    <row r="215" spans="2:12" ht="12" hidden="1" customHeight="1" outlineLevel="2" x14ac:dyDescent="0.25">
      <c r="B215" s="8" t="s">
        <v>47</v>
      </c>
      <c r="F215" s="9">
        <f>SUM(F211:F214)</f>
        <v>3529.7</v>
      </c>
      <c r="G215" s="9">
        <f>SUM(G211:G214)</f>
        <v>3792.6</v>
      </c>
      <c r="H215" s="9">
        <f>SUM(H211:H214)</f>
        <v>4176.4000000000005</v>
      </c>
      <c r="J215" s="17">
        <v>4105.7504837499982</v>
      </c>
      <c r="L215" s="36">
        <f t="shared" si="123"/>
        <v>1.7207454892746998E-2</v>
      </c>
    </row>
    <row r="216" spans="2:12" ht="12" hidden="1" customHeight="1" outlineLevel="2" x14ac:dyDescent="0.25">
      <c r="B216" s="8" t="s">
        <v>256</v>
      </c>
      <c r="F216" s="9">
        <f>F209-F215</f>
        <v>1330.7000000000007</v>
      </c>
      <c r="G216" s="9">
        <f t="shared" ref="G216:H216" si="124">G209-G215</f>
        <v>2079.6</v>
      </c>
      <c r="H216" s="9">
        <f t="shared" si="124"/>
        <v>2534.3999999999987</v>
      </c>
      <c r="J216" s="17">
        <v>2403.1064648816155</v>
      </c>
      <c r="L216" s="36">
        <f t="shared" si="123"/>
        <v>5.46349223544913E-2</v>
      </c>
    </row>
    <row r="217" spans="2:12" ht="12" hidden="1" customHeight="1" outlineLevel="2" x14ac:dyDescent="0.25">
      <c r="B217" s="8" t="s">
        <v>49</v>
      </c>
      <c r="J217" s="15"/>
      <c r="L217" s="35"/>
    </row>
    <row r="218" spans="2:12" ht="12" hidden="1" customHeight="1" outlineLevel="2" x14ac:dyDescent="0.25">
      <c r="B218" s="8" t="s">
        <v>257</v>
      </c>
      <c r="F218" s="3">
        <v>6.3</v>
      </c>
      <c r="G218" s="3">
        <v>24</v>
      </c>
      <c r="H218" s="3">
        <v>47.3</v>
      </c>
      <c r="J218" s="14">
        <v>106.0039552808426</v>
      </c>
      <c r="L218" s="36">
        <f t="shared" si="123"/>
        <v>-0.55379023476354927</v>
      </c>
    </row>
    <row r="219" spans="2:12" ht="12" hidden="1" customHeight="1" outlineLevel="2" x14ac:dyDescent="0.25">
      <c r="B219" s="8" t="s">
        <v>152</v>
      </c>
      <c r="F219" s="3">
        <v>-7.2</v>
      </c>
      <c r="G219" s="3">
        <v>-25.1</v>
      </c>
      <c r="H219" s="3">
        <v>-28.2</v>
      </c>
      <c r="J219" s="14">
        <v>-28.617342768842263</v>
      </c>
      <c r="L219" s="36">
        <f t="shared" si="123"/>
        <v>-1.4583561171747084E-2</v>
      </c>
    </row>
    <row r="220" spans="2:12" ht="12" hidden="1" customHeight="1" outlineLevel="2" x14ac:dyDescent="0.25">
      <c r="B220" s="8" t="s">
        <v>258</v>
      </c>
      <c r="F220" s="3"/>
      <c r="G220" s="3"/>
      <c r="H220" s="3"/>
      <c r="J220" s="14">
        <v>0</v>
      </c>
      <c r="L220" s="36">
        <f t="shared" si="123"/>
        <v>0</v>
      </c>
    </row>
    <row r="221" spans="2:12" ht="12" hidden="1" customHeight="1" outlineLevel="2" x14ac:dyDescent="0.25">
      <c r="B221" s="8" t="s">
        <v>51</v>
      </c>
      <c r="F221" s="9">
        <f>SUM(F218:F220)</f>
        <v>-0.90000000000000036</v>
      </c>
      <c r="G221" s="9">
        <f t="shared" ref="G221:H221" si="125">SUM(G218:G220)</f>
        <v>-1.1000000000000014</v>
      </c>
      <c r="H221" s="9">
        <f t="shared" si="125"/>
        <v>19.099999999999998</v>
      </c>
      <c r="J221" s="17">
        <v>77.38661251200034</v>
      </c>
      <c r="L221" s="36">
        <f t="shared" si="123"/>
        <v>-0.75318728420838732</v>
      </c>
    </row>
    <row r="222" spans="2:12" ht="12" hidden="1" customHeight="1" outlineLevel="2" thickBot="1" x14ac:dyDescent="0.3">
      <c r="B222" s="8" t="s">
        <v>259</v>
      </c>
      <c r="F222" s="10">
        <f>SUM(F216,F221)</f>
        <v>1329.8000000000006</v>
      </c>
      <c r="G222" s="10">
        <f t="shared" ref="G222:H222" si="126">SUM(G216,G221)</f>
        <v>2078.5</v>
      </c>
      <c r="H222" s="10">
        <f t="shared" si="126"/>
        <v>2553.4999999999986</v>
      </c>
      <c r="J222" s="17">
        <v>2480.4930773936157</v>
      </c>
      <c r="L222" s="36">
        <f t="shared" si="123"/>
        <v>2.9432423445057587E-2</v>
      </c>
    </row>
    <row r="223" spans="2:12" ht="12" hidden="1" customHeight="1" outlineLevel="2" thickTop="1" x14ac:dyDescent="0.25">
      <c r="B223" s="8" t="s">
        <v>260</v>
      </c>
      <c r="F223" s="2">
        <v>-434.3</v>
      </c>
      <c r="G223" s="2">
        <v>-880</v>
      </c>
      <c r="H223" s="2">
        <v>-109.1</v>
      </c>
      <c r="J223" s="14">
        <v>-404.07601934840392</v>
      </c>
      <c r="L223" s="36">
        <f t="shared" si="123"/>
        <v>-0.73000129981499495</v>
      </c>
    </row>
    <row r="224" spans="2:12" ht="12" hidden="1" customHeight="1" outlineLevel="2" thickBot="1" x14ac:dyDescent="0.3">
      <c r="B224" s="8" t="s">
        <v>62</v>
      </c>
      <c r="F224" s="10">
        <f>SUM(F222:F223)</f>
        <v>895.50000000000068</v>
      </c>
      <c r="G224" s="10">
        <f t="shared" ref="G224:H224" si="127">SUM(G222:G223)</f>
        <v>1198.5</v>
      </c>
      <c r="H224" s="10">
        <f t="shared" si="127"/>
        <v>2444.3999999999987</v>
      </c>
      <c r="J224" s="19">
        <v>2076.4170580452119</v>
      </c>
      <c r="L224" s="36">
        <f t="shared" si="123"/>
        <v>0.17722014974256406</v>
      </c>
    </row>
    <row r="225" spans="1:13" ht="12" hidden="1" customHeight="1" outlineLevel="2" thickTop="1" x14ac:dyDescent="0.25">
      <c r="B225" s="8" t="s">
        <v>261</v>
      </c>
      <c r="F225" s="11">
        <v>8.5500000000000007</v>
      </c>
      <c r="G225" s="11">
        <v>11.27</v>
      </c>
      <c r="H225" s="11">
        <v>22.65</v>
      </c>
      <c r="J225" s="20">
        <v>19.247332185954402</v>
      </c>
      <c r="L225" s="36">
        <f t="shared" si="123"/>
        <v>0.17678646480308924</v>
      </c>
    </row>
    <row r="226" spans="1:13" ht="12" hidden="1" customHeight="1" outlineLevel="2" x14ac:dyDescent="0.25">
      <c r="B226" s="8" t="s">
        <v>262</v>
      </c>
      <c r="F226" s="11">
        <v>7.7</v>
      </c>
      <c r="G226" s="11">
        <v>10.34</v>
      </c>
      <c r="H226" s="11">
        <v>21.29</v>
      </c>
      <c r="J226" s="20">
        <v>18.08064488083216</v>
      </c>
      <c r="L226" s="36">
        <f t="shared" si="123"/>
        <v>0.17750224841649165</v>
      </c>
    </row>
    <row r="227" spans="1:13" ht="12" hidden="1" customHeight="1" outlineLevel="2" x14ac:dyDescent="0.25">
      <c r="B227" s="8" t="s">
        <v>263</v>
      </c>
      <c r="F227" s="3">
        <v>104.7</v>
      </c>
      <c r="G227" s="3">
        <v>106.3</v>
      </c>
      <c r="H227" s="3">
        <v>107.9</v>
      </c>
      <c r="J227" s="14">
        <v>108.033</v>
      </c>
      <c r="L227" s="36">
        <f t="shared" si="123"/>
        <v>-1.231105310414371E-3</v>
      </c>
    </row>
    <row r="228" spans="1:13" ht="12" hidden="1" customHeight="1" outlineLevel="2" x14ac:dyDescent="0.25">
      <c r="B228" s="8" t="s">
        <v>264</v>
      </c>
      <c r="F228" s="3">
        <v>116.3</v>
      </c>
      <c r="G228" s="3">
        <v>115.9</v>
      </c>
      <c r="H228" s="3">
        <v>114.8</v>
      </c>
      <c r="J228" s="14">
        <v>115.08799999999999</v>
      </c>
      <c r="L228" s="36">
        <f t="shared" si="123"/>
        <v>-2.5024329208952478E-3</v>
      </c>
    </row>
    <row r="229" spans="1:13" ht="12" hidden="1" customHeight="1" outlineLevel="2" x14ac:dyDescent="0.25">
      <c r="J229" s="21"/>
      <c r="L229" s="35"/>
    </row>
    <row r="230" spans="1:13" ht="12" hidden="1" customHeight="1" outlineLevel="2" x14ac:dyDescent="0.25">
      <c r="B230" s="8" t="s">
        <v>24</v>
      </c>
      <c r="F230" s="3">
        <v>104.7</v>
      </c>
      <c r="G230" s="3">
        <v>145.5</v>
      </c>
      <c r="H230" s="3">
        <v>148.19999999999999</v>
      </c>
      <c r="J230" s="14">
        <v>144.1119886014788</v>
      </c>
      <c r="L230" s="36">
        <f t="shared" si="123"/>
        <v>2.8366907140709774E-2</v>
      </c>
    </row>
    <row r="231" spans="1:13" ht="12" hidden="1" customHeight="1" outlineLevel="2" x14ac:dyDescent="0.25">
      <c r="B231" s="8" t="s">
        <v>26</v>
      </c>
      <c r="F231" s="3">
        <v>-511.9</v>
      </c>
      <c r="G231" s="3">
        <v>-272.60000000000002</v>
      </c>
      <c r="H231" s="3">
        <v>-383.1</v>
      </c>
      <c r="J231" s="14">
        <v>-404.76502907989152</v>
      </c>
      <c r="L231" s="36">
        <f t="shared" si="123"/>
        <v>-5.352495280815206E-2</v>
      </c>
    </row>
    <row r="232" spans="1:13" ht="12" customHeight="1" outlineLevel="1" collapsed="1" x14ac:dyDescent="0.25"/>
    <row r="233" spans="1:13" ht="12" customHeight="1" x14ac:dyDescent="0.25">
      <c r="B233" s="61" t="s">
        <v>374</v>
      </c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91" t="s">
        <v>29</v>
      </c>
    </row>
    <row r="234" spans="1:13" ht="12" customHeight="1" x14ac:dyDescent="0.25">
      <c r="B234" s="38"/>
      <c r="C234" s="15"/>
      <c r="D234" s="15"/>
      <c r="E234" s="15"/>
      <c r="F234" s="15"/>
      <c r="G234" s="15"/>
      <c r="H234" s="15"/>
      <c r="I234" s="15"/>
      <c r="J234" s="15"/>
      <c r="K234" s="62"/>
      <c r="L234" s="62"/>
    </row>
    <row r="235" spans="1:13" ht="12" customHeight="1" outlineLevel="1" x14ac:dyDescent="0.25">
      <c r="B235" s="85" t="s">
        <v>338</v>
      </c>
      <c r="C235" s="86"/>
      <c r="D235" s="86"/>
      <c r="E235" s="86"/>
      <c r="F235" s="89" t="s">
        <v>369</v>
      </c>
      <c r="G235" s="89"/>
      <c r="H235" s="90"/>
      <c r="I235" s="15"/>
      <c r="J235" s="82" t="s">
        <v>370</v>
      </c>
      <c r="K235" s="62"/>
      <c r="L235" s="68" t="s">
        <v>386</v>
      </c>
    </row>
    <row r="236" spans="1:13" ht="12" customHeight="1" outlineLevel="1" x14ac:dyDescent="0.25">
      <c r="B236" s="87"/>
      <c r="C236" s="88"/>
      <c r="D236" s="88"/>
      <c r="E236" s="88"/>
      <c r="F236" s="39">
        <f>G236-1</f>
        <v>2016</v>
      </c>
      <c r="G236" s="39">
        <f>H236-1</f>
        <v>2017</v>
      </c>
      <c r="H236" s="60">
        <f>J236</f>
        <v>2018</v>
      </c>
      <c r="I236" s="15"/>
      <c r="J236" s="81">
        <v>2018</v>
      </c>
      <c r="K236" s="62"/>
      <c r="L236" s="68" t="s">
        <v>370</v>
      </c>
    </row>
    <row r="237" spans="1:13" ht="12" customHeight="1" outlineLevel="1" x14ac:dyDescent="0.25">
      <c r="B237" s="62"/>
      <c r="C237" s="62"/>
      <c r="D237" s="62"/>
      <c r="E237" s="62"/>
      <c r="F237" s="40"/>
      <c r="G237" s="40"/>
      <c r="H237" s="40"/>
      <c r="I237" s="15"/>
      <c r="J237" s="40"/>
      <c r="K237" s="62"/>
      <c r="L237" s="62"/>
    </row>
    <row r="238" spans="1:13" ht="12" customHeight="1" outlineLevel="1" x14ac:dyDescent="0.25">
      <c r="A238" s="70" t="str">
        <f>M233</f>
        <v>UHS</v>
      </c>
      <c r="B238" s="43" t="s">
        <v>340</v>
      </c>
      <c r="C238" s="44"/>
      <c r="D238" s="44"/>
      <c r="E238" s="74" t="str">
        <f>B238&amp;" ("&amp;A238&amp;")"</f>
        <v>Total Revenue (UHS)</v>
      </c>
      <c r="F238" s="45">
        <f>F283</f>
        <v>9766.2100000000009</v>
      </c>
      <c r="G238" s="45">
        <f t="shared" ref="G238:J238" si="128">G283</f>
        <v>10409.865</v>
      </c>
      <c r="H238" s="45">
        <f t="shared" si="128"/>
        <v>10772.278</v>
      </c>
      <c r="I238" s="71"/>
      <c r="J238" s="45">
        <f t="shared" si="128"/>
        <v>10828.886312470189</v>
      </c>
      <c r="K238" s="62"/>
      <c r="L238" s="67">
        <f>IF(ISERROR(H238/J238-1),0,(H238/J238-1))</f>
        <v>-5.2275285598852861E-3</v>
      </c>
    </row>
    <row r="239" spans="1:13" ht="12" customHeight="1" outlineLevel="1" x14ac:dyDescent="0.25">
      <c r="A239" s="70" t="str">
        <f>A238</f>
        <v>UHS</v>
      </c>
      <c r="B239" s="42" t="s">
        <v>341</v>
      </c>
      <c r="C239" s="46"/>
      <c r="D239" s="46"/>
      <c r="E239" s="72" t="str">
        <f t="shared" ref="E239:E274" si="129">B239&amp;" ("&amp;A239&amp;")"</f>
        <v>% Growth (UHS)</v>
      </c>
      <c r="F239" s="47" t="s">
        <v>342</v>
      </c>
      <c r="G239" s="47">
        <f>G238/F238-1</f>
        <v>6.5906323947570122E-2</v>
      </c>
      <c r="H239" s="47">
        <f>H238/G238-1</f>
        <v>3.4814380397824696E-2</v>
      </c>
      <c r="I239" s="71"/>
      <c r="J239" s="47">
        <f>J238/G238-1</f>
        <v>4.0252329157985267E-2</v>
      </c>
      <c r="K239" s="62"/>
      <c r="L239" s="67">
        <f t="shared" ref="L239:L274" si="130">IF(ISERROR(H239/J239-1),0,(H239/J239-1))</f>
        <v>-0.13509649935578427</v>
      </c>
    </row>
    <row r="240" spans="1:13" ht="12" customHeight="1" outlineLevel="1" x14ac:dyDescent="0.25">
      <c r="A240" s="70" t="str">
        <f t="shared" ref="A240:A274" si="131">A239</f>
        <v>UHS</v>
      </c>
      <c r="B240" s="42" t="s">
        <v>343</v>
      </c>
      <c r="C240" s="41"/>
      <c r="D240" s="41"/>
      <c r="E240" s="40" t="str">
        <f t="shared" si="129"/>
        <v>COGS (UHS)</v>
      </c>
      <c r="F240" s="48">
        <f>SUM(F287,F288,F289)</f>
        <v>1545.269</v>
      </c>
      <c r="G240" s="48">
        <f t="shared" ref="G240:H240" si="132">SUM(G287,G288,G289)</f>
        <v>1655.9879999999998</v>
      </c>
      <c r="H240" s="48">
        <f t="shared" si="132"/>
        <v>1727.7930000000001</v>
      </c>
      <c r="I240" s="71"/>
      <c r="J240" s="48">
        <f t="shared" ref="J240" si="133">SUM(J287,J288,J289)</f>
        <v>1727.5493605835029</v>
      </c>
      <c r="K240" s="62"/>
      <c r="L240" s="67">
        <f t="shared" si="130"/>
        <v>1.4103181191593706E-4</v>
      </c>
    </row>
    <row r="241" spans="1:12" ht="12" customHeight="1" outlineLevel="1" x14ac:dyDescent="0.25">
      <c r="A241" s="70" t="str">
        <f t="shared" si="131"/>
        <v>UHS</v>
      </c>
      <c r="B241" s="42" t="s">
        <v>344</v>
      </c>
      <c r="C241" s="41"/>
      <c r="D241" s="41"/>
      <c r="E241" s="40" t="str">
        <f t="shared" si="129"/>
        <v>Total Depreciation &amp; Amortization (UHS)</v>
      </c>
      <c r="F241" s="48">
        <f>F307</f>
        <v>416.608</v>
      </c>
      <c r="G241" s="48">
        <f t="shared" ref="G241:H241" si="134">G307</f>
        <v>447.88299999999998</v>
      </c>
      <c r="H241" s="48">
        <f t="shared" si="134"/>
        <v>453.07600000000002</v>
      </c>
      <c r="I241" s="71"/>
      <c r="J241" s="48">
        <f t="shared" ref="J241" si="135">J307</f>
        <v>453.77474913014993</v>
      </c>
      <c r="K241" s="62"/>
      <c r="L241" s="67">
        <f t="shared" si="130"/>
        <v>-1.5398589971993282E-3</v>
      </c>
    </row>
    <row r="242" spans="1:12" ht="12" customHeight="1" outlineLevel="1" x14ac:dyDescent="0.25">
      <c r="A242" s="70" t="str">
        <f t="shared" si="131"/>
        <v>UHS</v>
      </c>
      <c r="B242" s="42" t="s">
        <v>345</v>
      </c>
      <c r="C242" s="41"/>
      <c r="D242" s="41"/>
      <c r="E242" s="40" t="str">
        <f t="shared" si="129"/>
        <v>COGS (Exclusive of D&amp;A) (UHS)</v>
      </c>
      <c r="F242" s="49">
        <f>F240-F241</f>
        <v>1128.6610000000001</v>
      </c>
      <c r="G242" s="49">
        <f>G240-G241</f>
        <v>1208.1049999999998</v>
      </c>
      <c r="H242" s="49">
        <f>H240-H241</f>
        <v>1274.7170000000001</v>
      </c>
      <c r="I242" s="71"/>
      <c r="J242" s="49">
        <f t="shared" ref="J242" si="136">J240-J241</f>
        <v>1273.7746114533529</v>
      </c>
      <c r="K242" s="62"/>
      <c r="L242" s="67">
        <f t="shared" si="130"/>
        <v>7.3983932335708325E-4</v>
      </c>
    </row>
    <row r="243" spans="1:12" ht="12" customHeight="1" outlineLevel="1" x14ac:dyDescent="0.25">
      <c r="A243" s="70" t="str">
        <f t="shared" si="131"/>
        <v>UHS</v>
      </c>
      <c r="B243" s="42" t="s">
        <v>346</v>
      </c>
      <c r="C243" s="46"/>
      <c r="D243" s="46"/>
      <c r="E243" s="72" t="str">
        <f t="shared" si="129"/>
        <v>% Total Revenue (UHS)</v>
      </c>
      <c r="F243" s="50">
        <f>F242/F238</f>
        <v>0.11556796341671947</v>
      </c>
      <c r="G243" s="50">
        <f>G242/G238</f>
        <v>0.11605385852746408</v>
      </c>
      <c r="H243" s="50">
        <f>H242/H238</f>
        <v>0.1183330953768553</v>
      </c>
      <c r="I243" s="71"/>
      <c r="J243" s="50">
        <f t="shared" ref="J243" si="137">J242/J238</f>
        <v>0.11762748030575554</v>
      </c>
      <c r="K243" s="62"/>
      <c r="L243" s="67">
        <f t="shared" si="130"/>
        <v>5.9987263968046545E-3</v>
      </c>
    </row>
    <row r="244" spans="1:12" ht="12" customHeight="1" outlineLevel="1" x14ac:dyDescent="0.25">
      <c r="A244" s="70" t="str">
        <f t="shared" si="131"/>
        <v>UHS</v>
      </c>
      <c r="B244" s="43" t="s">
        <v>347</v>
      </c>
      <c r="C244" s="44"/>
      <c r="D244" s="44"/>
      <c r="E244" s="74" t="str">
        <f t="shared" si="129"/>
        <v>Gross Profit (UHS)</v>
      </c>
      <c r="F244" s="51">
        <f>F238-F242</f>
        <v>8637.5490000000009</v>
      </c>
      <c r="G244" s="51">
        <f>G238-G242</f>
        <v>9201.76</v>
      </c>
      <c r="H244" s="51">
        <f>H238-H242</f>
        <v>9497.5609999999997</v>
      </c>
      <c r="I244" s="71"/>
      <c r="J244" s="51">
        <f t="shared" ref="J244" si="138">J238-J242</f>
        <v>9555.1117010168364</v>
      </c>
      <c r="K244" s="62"/>
      <c r="L244" s="67">
        <f t="shared" si="130"/>
        <v>-6.0230275498205366E-3</v>
      </c>
    </row>
    <row r="245" spans="1:12" ht="12" customHeight="1" outlineLevel="1" x14ac:dyDescent="0.25">
      <c r="A245" s="70" t="str">
        <f t="shared" si="131"/>
        <v>UHS</v>
      </c>
      <c r="B245" s="42" t="s">
        <v>348</v>
      </c>
      <c r="C245" s="46"/>
      <c r="D245" s="46"/>
      <c r="E245" s="72" t="str">
        <f t="shared" si="129"/>
        <v>Gross Profit Margin (%) (UHS)</v>
      </c>
      <c r="F245" s="47">
        <f>F244/F238</f>
        <v>0.88443203658328051</v>
      </c>
      <c r="G245" s="47">
        <f>G244/G238</f>
        <v>0.88394614147253592</v>
      </c>
      <c r="H245" s="47">
        <f>H244/H238</f>
        <v>0.88166690462314468</v>
      </c>
      <c r="I245" s="71"/>
      <c r="J245" s="47">
        <f t="shared" ref="J245" si="139">J244/J238</f>
        <v>0.88237251969424446</v>
      </c>
      <c r="K245" s="62"/>
      <c r="L245" s="67">
        <f t="shared" si="130"/>
        <v>-7.9967933650548773E-4</v>
      </c>
    </row>
    <row r="246" spans="1:12" ht="12" customHeight="1" outlineLevel="1" x14ac:dyDescent="0.25">
      <c r="A246" s="70" t="str">
        <f t="shared" si="131"/>
        <v>UHS</v>
      </c>
      <c r="B246" s="42" t="s">
        <v>349</v>
      </c>
      <c r="C246" s="41"/>
      <c r="D246" s="41"/>
      <c r="E246" s="40" t="str">
        <f t="shared" si="129"/>
        <v>Operating expenses (UHS)</v>
      </c>
      <c r="F246" s="48">
        <f>SUM(F285,F286)</f>
        <v>6944.8689999999997</v>
      </c>
      <c r="G246" s="48">
        <f t="shared" ref="G246:J246" si="140">SUM(G285,G286)</f>
        <v>7473.6989999999996</v>
      </c>
      <c r="H246" s="48">
        <f t="shared" si="140"/>
        <v>7855.0039999999999</v>
      </c>
      <c r="I246" s="71"/>
      <c r="J246" s="48">
        <f t="shared" si="140"/>
        <v>7814.6533203101026</v>
      </c>
      <c r="K246" s="62"/>
      <c r="L246" s="67">
        <f t="shared" si="130"/>
        <v>5.1634638205928507E-3</v>
      </c>
    </row>
    <row r="247" spans="1:12" ht="12" customHeight="1" outlineLevel="1" x14ac:dyDescent="0.25">
      <c r="A247" s="70" t="str">
        <f t="shared" si="131"/>
        <v>UHS</v>
      </c>
      <c r="B247" s="42" t="s">
        <v>346</v>
      </c>
      <c r="C247" s="46"/>
      <c r="D247" s="46"/>
      <c r="E247" s="72" t="str">
        <f t="shared" si="129"/>
        <v>% Total Revenue (UHS)</v>
      </c>
      <c r="F247" s="50">
        <f>F246/F238</f>
        <v>0.71111198714752177</v>
      </c>
      <c r="G247" s="50">
        <f>G246/G238</f>
        <v>0.71794389264414094</v>
      </c>
      <c r="H247" s="50">
        <f>H246/H238</f>
        <v>0.72918689992961561</v>
      </c>
      <c r="I247" s="71"/>
      <c r="J247" s="50">
        <f t="shared" ref="J247" si="141">J246/J238</f>
        <v>0.72164884687273934</v>
      </c>
      <c r="K247" s="62"/>
      <c r="L247" s="67">
        <f t="shared" si="130"/>
        <v>1.0445597037315846E-2</v>
      </c>
    </row>
    <row r="248" spans="1:12" ht="12" customHeight="1" outlineLevel="1" x14ac:dyDescent="0.25">
      <c r="A248" s="70" t="str">
        <f t="shared" si="131"/>
        <v>UHS</v>
      </c>
      <c r="B248" s="43" t="s">
        <v>350</v>
      </c>
      <c r="C248" s="44"/>
      <c r="D248" s="44"/>
      <c r="E248" s="74" t="str">
        <f t="shared" si="129"/>
        <v>Operating Profit (UHS)</v>
      </c>
      <c r="F248" s="51">
        <f>F244-F246</f>
        <v>1692.6800000000012</v>
      </c>
      <c r="G248" s="51">
        <f>G244-G246</f>
        <v>1728.0610000000006</v>
      </c>
      <c r="H248" s="51">
        <f>H244-H246</f>
        <v>1642.5569999999998</v>
      </c>
      <c r="I248" s="71"/>
      <c r="J248" s="51">
        <f t="shared" ref="J248" si="142">J244-J246</f>
        <v>1740.4583807067338</v>
      </c>
      <c r="K248" s="62"/>
      <c r="L248" s="67">
        <f t="shared" si="130"/>
        <v>-5.6250342893565786E-2</v>
      </c>
    </row>
    <row r="249" spans="1:12" ht="12" customHeight="1" outlineLevel="1" x14ac:dyDescent="0.25">
      <c r="A249" s="70" t="str">
        <f t="shared" si="131"/>
        <v>UHS</v>
      </c>
      <c r="B249" s="42" t="s">
        <v>351</v>
      </c>
      <c r="C249" s="46"/>
      <c r="D249" s="46"/>
      <c r="E249" s="72" t="str">
        <f t="shared" si="129"/>
        <v>Operating Profit Margin (%) (UHS)</v>
      </c>
      <c r="F249" s="47">
        <f>F248/F238</f>
        <v>0.17332004943575871</v>
      </c>
      <c r="G249" s="47">
        <f>G248/G238</f>
        <v>0.16600224882839504</v>
      </c>
      <c r="H249" s="47">
        <f>H248/H238</f>
        <v>0.15248000469352904</v>
      </c>
      <c r="I249" s="71"/>
      <c r="J249" s="47">
        <f t="shared" ref="J249" si="143">J248/J238</f>
        <v>0.16072367282150513</v>
      </c>
      <c r="K249" s="62"/>
      <c r="L249" s="67">
        <f t="shared" si="130"/>
        <v>-5.1290939183123663E-2</v>
      </c>
    </row>
    <row r="250" spans="1:12" ht="12" customHeight="1" outlineLevel="1" x14ac:dyDescent="0.25">
      <c r="A250" s="70" t="str">
        <f t="shared" si="131"/>
        <v>UHS</v>
      </c>
      <c r="B250" s="42" t="s">
        <v>352</v>
      </c>
      <c r="C250" s="41"/>
      <c r="D250" s="41"/>
      <c r="E250" s="40" t="str">
        <f t="shared" si="129"/>
        <v>Total Other Expenses / (Income) (UHS)</v>
      </c>
      <c r="F250" s="52">
        <f>SUM(F290,F291,F292)</f>
        <v>-5.3390000000000004</v>
      </c>
      <c r="G250" s="52">
        <f t="shared" ref="G250:J250" si="144">SUM(G290,G291,G292)</f>
        <v>0</v>
      </c>
      <c r="H250" s="52">
        <f t="shared" si="144"/>
        <v>0</v>
      </c>
      <c r="I250" s="71"/>
      <c r="J250" s="52">
        <f t="shared" si="144"/>
        <v>0</v>
      </c>
      <c r="K250" s="62"/>
      <c r="L250" s="67">
        <f t="shared" si="130"/>
        <v>0</v>
      </c>
    </row>
    <row r="251" spans="1:12" ht="12" customHeight="1" outlineLevel="1" x14ac:dyDescent="0.25">
      <c r="A251" s="70" t="str">
        <f t="shared" si="131"/>
        <v>UHS</v>
      </c>
      <c r="B251" s="43" t="s">
        <v>353</v>
      </c>
      <c r="C251" s="44"/>
      <c r="D251" s="44"/>
      <c r="E251" s="74" t="str">
        <f t="shared" si="129"/>
        <v>EBITDA (UHS)</v>
      </c>
      <c r="F251" s="51">
        <f>F248-F250</f>
        <v>1698.0190000000011</v>
      </c>
      <c r="G251" s="51">
        <f>G248-G250</f>
        <v>1728.0610000000006</v>
      </c>
      <c r="H251" s="51">
        <f>H248-H250</f>
        <v>1642.5569999999998</v>
      </c>
      <c r="I251" s="71"/>
      <c r="J251" s="51">
        <f t="shared" ref="J251" si="145">J248-J250</f>
        <v>1740.4583807067338</v>
      </c>
      <c r="K251" s="62"/>
      <c r="L251" s="67">
        <f t="shared" si="130"/>
        <v>-5.6250342893565786E-2</v>
      </c>
    </row>
    <row r="252" spans="1:12" ht="12" customHeight="1" outlineLevel="1" x14ac:dyDescent="0.25">
      <c r="A252" s="70" t="str">
        <f t="shared" si="131"/>
        <v>UHS</v>
      </c>
      <c r="B252" s="42" t="s">
        <v>354</v>
      </c>
      <c r="C252" s="46"/>
      <c r="D252" s="46"/>
      <c r="E252" s="72" t="str">
        <f t="shared" si="129"/>
        <v>EBITDA Margin (%) (UHS)</v>
      </c>
      <c r="F252" s="47">
        <f>F251/F238</f>
        <v>0.17386673028738897</v>
      </c>
      <c r="G252" s="47">
        <f>G251/G238</f>
        <v>0.16600224882839504</v>
      </c>
      <c r="H252" s="47">
        <f>H251/H238</f>
        <v>0.15248000469352904</v>
      </c>
      <c r="I252" s="71"/>
      <c r="J252" s="47">
        <f t="shared" ref="J252" si="146">J251/J238</f>
        <v>0.16072367282150513</v>
      </c>
      <c r="K252" s="62"/>
      <c r="L252" s="67">
        <f t="shared" si="130"/>
        <v>-5.1290939183123663E-2</v>
      </c>
    </row>
    <row r="253" spans="1:12" ht="12" customHeight="1" outlineLevel="1" x14ac:dyDescent="0.25">
      <c r="A253" s="70" t="str">
        <f t="shared" si="131"/>
        <v>UHS</v>
      </c>
      <c r="B253" s="42" t="s">
        <v>344</v>
      </c>
      <c r="C253" s="53"/>
      <c r="D253" s="53"/>
      <c r="E253" s="40" t="str">
        <f t="shared" si="129"/>
        <v>Total Depreciation &amp; Amortization (UHS)</v>
      </c>
      <c r="F253" s="49">
        <f>F241</f>
        <v>416.608</v>
      </c>
      <c r="G253" s="49">
        <f>G241</f>
        <v>447.88299999999998</v>
      </c>
      <c r="H253" s="49">
        <f>H241</f>
        <v>453.07600000000002</v>
      </c>
      <c r="I253" s="71"/>
      <c r="J253" s="49">
        <f t="shared" ref="J253" si="147">J241</f>
        <v>453.77474913014993</v>
      </c>
      <c r="K253" s="62"/>
      <c r="L253" s="67">
        <f t="shared" si="130"/>
        <v>-1.5398589971993282E-3</v>
      </c>
    </row>
    <row r="254" spans="1:12" ht="12" customHeight="1" outlineLevel="1" x14ac:dyDescent="0.25">
      <c r="A254" s="70" t="str">
        <f t="shared" si="131"/>
        <v>UHS</v>
      </c>
      <c r="B254" s="42" t="s">
        <v>346</v>
      </c>
      <c r="C254" s="46"/>
      <c r="D254" s="46"/>
      <c r="E254" s="72" t="str">
        <f t="shared" si="129"/>
        <v>% Total Revenue (UHS)</v>
      </c>
      <c r="F254" s="47">
        <f>F253/F238</f>
        <v>4.2658103808949424E-2</v>
      </c>
      <c r="G254" s="47">
        <f>G253/G238</f>
        <v>4.3024861513573903E-2</v>
      </c>
      <c r="H254" s="47">
        <f>H253/H238</f>
        <v>4.2059441837650313E-2</v>
      </c>
      <c r="I254" s="71"/>
      <c r="J254" s="47">
        <f t="shared" ref="J254" si="148">J253/J238</f>
        <v>4.1904101311655464E-2</v>
      </c>
      <c r="K254" s="62"/>
      <c r="L254" s="67">
        <f t="shared" si="130"/>
        <v>3.7070482633556612E-3</v>
      </c>
    </row>
    <row r="255" spans="1:12" ht="12" customHeight="1" outlineLevel="1" x14ac:dyDescent="0.25">
      <c r="A255" s="70" t="str">
        <f t="shared" si="131"/>
        <v>UHS</v>
      </c>
      <c r="B255" s="43" t="s">
        <v>355</v>
      </c>
      <c r="C255" s="44"/>
      <c r="D255" s="44"/>
      <c r="E255" s="74" t="str">
        <f t="shared" si="129"/>
        <v>EBIT (UHS)</v>
      </c>
      <c r="F255" s="54">
        <f>F251-F253</f>
        <v>1281.4110000000012</v>
      </c>
      <c r="G255" s="54">
        <f>G251-G253</f>
        <v>1280.1780000000006</v>
      </c>
      <c r="H255" s="54">
        <f>H251-H253</f>
        <v>1189.4809999999998</v>
      </c>
      <c r="I255" s="71"/>
      <c r="J255" s="54">
        <f t="shared" ref="J255" si="149">J251-J253</f>
        <v>1286.6836315765838</v>
      </c>
      <c r="K255" s="62"/>
      <c r="L255" s="67">
        <f t="shared" si="130"/>
        <v>-7.5545090643207247E-2</v>
      </c>
    </row>
    <row r="256" spans="1:12" ht="12" customHeight="1" outlineLevel="1" x14ac:dyDescent="0.25">
      <c r="A256" s="70" t="str">
        <f t="shared" si="131"/>
        <v>UHS</v>
      </c>
      <c r="B256" s="42" t="s">
        <v>356</v>
      </c>
      <c r="C256" s="46"/>
      <c r="D256" s="46"/>
      <c r="E256" s="72" t="str">
        <f t="shared" si="129"/>
        <v>EBIT Margin (%) (UHS)</v>
      </c>
      <c r="F256" s="47">
        <f>F255/F238</f>
        <v>0.13120862647843953</v>
      </c>
      <c r="G256" s="47">
        <f>G255/G238</f>
        <v>0.12297738731482115</v>
      </c>
      <c r="H256" s="47">
        <f>H255/H238</f>
        <v>0.11042056285587874</v>
      </c>
      <c r="I256" s="71"/>
      <c r="J256" s="47">
        <f t="shared" ref="J256" si="150">J255/J238</f>
        <v>0.11881957150984966</v>
      </c>
      <c r="K256" s="62"/>
      <c r="L256" s="67">
        <f t="shared" si="130"/>
        <v>-7.0687080817108283E-2</v>
      </c>
    </row>
    <row r="257" spans="1:12" ht="12" customHeight="1" outlineLevel="1" x14ac:dyDescent="0.25">
      <c r="A257" s="70" t="str">
        <f t="shared" si="131"/>
        <v>UHS</v>
      </c>
      <c r="B257" s="43" t="s">
        <v>357</v>
      </c>
      <c r="C257" s="44"/>
      <c r="D257" s="44"/>
      <c r="E257" s="74" t="str">
        <f t="shared" si="129"/>
        <v>Net Interest Expense (UHS)</v>
      </c>
      <c r="F257" s="45">
        <f>F295</f>
        <v>125.053</v>
      </c>
      <c r="G257" s="45">
        <f t="shared" ref="G257:J257" si="151">G295</f>
        <v>145.16900000000001</v>
      </c>
      <c r="H257" s="45">
        <f t="shared" si="151"/>
        <v>154.95599999999999</v>
      </c>
      <c r="I257" s="71"/>
      <c r="J257" s="45">
        <f t="shared" si="151"/>
        <v>155.57983387864866</v>
      </c>
      <c r="K257" s="62"/>
      <c r="L257" s="67">
        <f t="shared" si="130"/>
        <v>-4.0097348293561819E-3</v>
      </c>
    </row>
    <row r="258" spans="1:12" ht="12" customHeight="1" outlineLevel="1" x14ac:dyDescent="0.25">
      <c r="A258" s="70" t="str">
        <f t="shared" si="131"/>
        <v>UHS</v>
      </c>
      <c r="B258" s="42" t="s">
        <v>346</v>
      </c>
      <c r="C258" s="46"/>
      <c r="D258" s="46"/>
      <c r="E258" s="72" t="str">
        <f t="shared" si="129"/>
        <v>% Total Revenue (UHS)</v>
      </c>
      <c r="F258" s="47">
        <f>F257/F238</f>
        <v>1.2804660149638394E-2</v>
      </c>
      <c r="G258" s="47">
        <f>G257/G238</f>
        <v>1.394532974250867E-2</v>
      </c>
      <c r="H258" s="47">
        <f>H257/H238</f>
        <v>1.43847011746262E-2</v>
      </c>
      <c r="I258" s="71"/>
      <c r="J258" s="47">
        <f t="shared" ref="J258" si="152">J257/J238</f>
        <v>1.436711305201238E-2</v>
      </c>
      <c r="K258" s="62"/>
      <c r="L258" s="67">
        <f t="shared" si="130"/>
        <v>1.2241932356311658E-3</v>
      </c>
    </row>
    <row r="259" spans="1:12" ht="12" customHeight="1" outlineLevel="1" x14ac:dyDescent="0.25">
      <c r="A259" s="70" t="str">
        <f t="shared" si="131"/>
        <v>UHS</v>
      </c>
      <c r="B259" s="43" t="s">
        <v>358</v>
      </c>
      <c r="C259" s="44"/>
      <c r="D259" s="44"/>
      <c r="E259" s="74" t="str">
        <f t="shared" si="129"/>
        <v>EBT (UHS)</v>
      </c>
      <c r="F259" s="54">
        <f>F255-F257</f>
        <v>1156.3580000000011</v>
      </c>
      <c r="G259" s="54">
        <f>G255-G257</f>
        <v>1135.0090000000005</v>
      </c>
      <c r="H259" s="54">
        <f>H255-H257</f>
        <v>1034.5249999999999</v>
      </c>
      <c r="I259" s="71"/>
      <c r="J259" s="54">
        <f t="shared" ref="J259" si="153">J255-J257</f>
        <v>1131.1037976979351</v>
      </c>
      <c r="K259" s="62"/>
      <c r="L259" s="67">
        <f t="shared" si="130"/>
        <v>-8.5384557893356972E-2</v>
      </c>
    </row>
    <row r="260" spans="1:12" ht="12" customHeight="1" outlineLevel="1" x14ac:dyDescent="0.25">
      <c r="A260" s="70" t="str">
        <f t="shared" si="131"/>
        <v>UHS</v>
      </c>
      <c r="B260" s="42" t="s">
        <v>359</v>
      </c>
      <c r="C260" s="46"/>
      <c r="D260" s="46"/>
      <c r="E260" s="72" t="str">
        <f t="shared" si="129"/>
        <v>EBT Margin (%) (UHS)</v>
      </c>
      <c r="F260" s="47">
        <f>F259/F238</f>
        <v>0.11840396632880114</v>
      </c>
      <c r="G260" s="47">
        <f>G259/G238</f>
        <v>0.10903205757231246</v>
      </c>
      <c r="H260" s="47">
        <f>H259/H238</f>
        <v>9.6035861681252555E-2</v>
      </c>
      <c r="I260" s="71"/>
      <c r="J260" s="47">
        <f t="shared" ref="J260" si="154">J259/J238</f>
        <v>0.10445245845783727</v>
      </c>
      <c r="K260" s="62"/>
      <c r="L260" s="67">
        <f t="shared" si="130"/>
        <v>-8.0578254459966692E-2</v>
      </c>
    </row>
    <row r="261" spans="1:12" ht="12" customHeight="1" outlineLevel="1" x14ac:dyDescent="0.25">
      <c r="A261" s="70" t="str">
        <f t="shared" si="131"/>
        <v>UHS</v>
      </c>
      <c r="B261" s="42" t="s">
        <v>360</v>
      </c>
      <c r="C261" s="41"/>
      <c r="D261" s="41"/>
      <c r="E261" s="40" t="str">
        <f t="shared" si="129"/>
        <v>Income Tax Expense (UHS)</v>
      </c>
      <c r="F261" s="55">
        <f>F297</f>
        <v>409.18700000000001</v>
      </c>
      <c r="G261" s="55">
        <f t="shared" ref="G261:J261" si="155">G297</f>
        <v>363.697</v>
      </c>
      <c r="H261" s="55">
        <f t="shared" si="155"/>
        <v>236.642</v>
      </c>
      <c r="I261" s="71"/>
      <c r="J261" s="55">
        <f t="shared" si="155"/>
        <v>268.5171706267854</v>
      </c>
      <c r="K261" s="62"/>
      <c r="L261" s="67">
        <f t="shared" si="130"/>
        <v>-0.11870812787272</v>
      </c>
    </row>
    <row r="262" spans="1:12" ht="12" customHeight="1" outlineLevel="1" x14ac:dyDescent="0.25">
      <c r="A262" s="70" t="str">
        <f t="shared" si="131"/>
        <v>UHS</v>
      </c>
      <c r="B262" s="42" t="s">
        <v>361</v>
      </c>
      <c r="C262" s="46"/>
      <c r="D262" s="46"/>
      <c r="E262" s="72" t="str">
        <f t="shared" si="129"/>
        <v>Effective Tax Rate (%) (UHS)</v>
      </c>
      <c r="F262" s="47">
        <f>F261/F259</f>
        <v>0.35385840717148115</v>
      </c>
      <c r="G262" s="47">
        <f>G261/G259</f>
        <v>0.32043534456554956</v>
      </c>
      <c r="H262" s="47">
        <f>H261/H259</f>
        <v>0.22874459292912208</v>
      </c>
      <c r="I262" s="71"/>
      <c r="J262" s="47">
        <f t="shared" ref="J262" si="156">J261/J259</f>
        <v>0.237393925449885</v>
      </c>
      <c r="K262" s="62"/>
      <c r="L262" s="67">
        <f t="shared" si="130"/>
        <v>-3.6434514928600503E-2</v>
      </c>
    </row>
    <row r="263" spans="1:12" ht="12" customHeight="1" outlineLevel="1" x14ac:dyDescent="0.25">
      <c r="A263" s="70" t="str">
        <f t="shared" si="131"/>
        <v>UHS</v>
      </c>
      <c r="B263" s="42" t="s">
        <v>362</v>
      </c>
      <c r="C263" s="41"/>
      <c r="D263" s="41"/>
      <c r="E263" s="40" t="str">
        <f t="shared" si="129"/>
        <v>Noncontrolling Interest (UHS)</v>
      </c>
      <c r="F263" s="52">
        <f>F299</f>
        <v>44.762</v>
      </c>
      <c r="G263" s="52">
        <f t="shared" ref="G263:J263" si="157">G299</f>
        <v>19.009</v>
      </c>
      <c r="H263" s="52">
        <f t="shared" si="157"/>
        <v>18.178000000000001</v>
      </c>
      <c r="I263" s="71"/>
      <c r="J263" s="52">
        <f t="shared" si="157"/>
        <v>17.690987762446333</v>
      </c>
      <c r="K263" s="62"/>
      <c r="L263" s="67">
        <f t="shared" si="130"/>
        <v>2.7528832425483651E-2</v>
      </c>
    </row>
    <row r="264" spans="1:12" ht="12" customHeight="1" outlineLevel="1" thickBot="1" x14ac:dyDescent="0.3">
      <c r="A264" s="70" t="str">
        <f t="shared" si="131"/>
        <v>UHS</v>
      </c>
      <c r="B264" s="43" t="s">
        <v>170</v>
      </c>
      <c r="C264" s="44"/>
      <c r="D264" s="44"/>
      <c r="E264" s="74" t="str">
        <f t="shared" si="129"/>
        <v>Net Income (UHS)</v>
      </c>
      <c r="F264" s="56">
        <f>F259-SUM(F261,F263)</f>
        <v>702.40900000000101</v>
      </c>
      <c r="G264" s="56">
        <f>G259-SUM(G261,G263)</f>
        <v>752.30300000000045</v>
      </c>
      <c r="H264" s="56">
        <f>H259-SUM(H261,H263)</f>
        <v>779.70499999999993</v>
      </c>
      <c r="I264" s="71"/>
      <c r="J264" s="56">
        <f t="shared" ref="J264" si="158">J259-SUM(J261,J263)</f>
        <v>844.89563930870327</v>
      </c>
      <c r="K264" s="62"/>
      <c r="L264" s="67">
        <f t="shared" si="130"/>
        <v>-7.7158214903372602E-2</v>
      </c>
    </row>
    <row r="265" spans="1:12" ht="12" customHeight="1" outlineLevel="1" thickTop="1" x14ac:dyDescent="0.25">
      <c r="A265" s="70" t="str">
        <f t="shared" si="131"/>
        <v>UHS</v>
      </c>
      <c r="B265" s="42" t="s">
        <v>363</v>
      </c>
      <c r="C265" s="46"/>
      <c r="D265" s="46"/>
      <c r="E265" s="72" t="str">
        <f t="shared" si="129"/>
        <v>Net Profit Margin (%) (UHS)</v>
      </c>
      <c r="F265" s="47">
        <f>F264/F238</f>
        <v>7.1922373162158187E-2</v>
      </c>
      <c r="G265" s="47">
        <f>G264/G238</f>
        <v>7.2268276293688774E-2</v>
      </c>
      <c r="H265" s="47">
        <f>H264/H238</f>
        <v>7.2380697935942609E-2</v>
      </c>
      <c r="I265" s="71"/>
      <c r="J265" s="47">
        <f t="shared" ref="J265" si="159">J264/J238</f>
        <v>7.8022394448425347E-2</v>
      </c>
      <c r="K265" s="62"/>
      <c r="L265" s="67">
        <f t="shared" si="130"/>
        <v>-7.2308682043999983E-2</v>
      </c>
    </row>
    <row r="266" spans="1:12" ht="12" customHeight="1" outlineLevel="1" x14ac:dyDescent="0.25">
      <c r="A266" s="70" t="str">
        <f t="shared" si="131"/>
        <v>UHS</v>
      </c>
      <c r="B266" s="42"/>
      <c r="C266" s="41"/>
      <c r="D266" s="41"/>
      <c r="E266" s="40" t="str">
        <f t="shared" si="129"/>
        <v xml:space="preserve"> (UHS)</v>
      </c>
      <c r="F266" s="41"/>
      <c r="G266" s="41"/>
      <c r="H266" s="41"/>
      <c r="I266" s="71"/>
      <c r="J266" s="41"/>
      <c r="K266" s="62"/>
      <c r="L266" s="67"/>
    </row>
    <row r="267" spans="1:12" ht="12" customHeight="1" outlineLevel="1" x14ac:dyDescent="0.25">
      <c r="A267" s="70" t="str">
        <f t="shared" si="131"/>
        <v>UHS</v>
      </c>
      <c r="B267" s="42"/>
      <c r="C267" s="41"/>
      <c r="D267" s="41"/>
      <c r="E267" s="40" t="str">
        <f t="shared" si="129"/>
        <v xml:space="preserve"> (UHS)</v>
      </c>
      <c r="F267" s="41"/>
      <c r="G267" s="41"/>
      <c r="H267" s="41"/>
      <c r="I267" s="71"/>
      <c r="J267" s="41"/>
      <c r="K267" s="62"/>
      <c r="L267" s="67"/>
    </row>
    <row r="268" spans="1:12" ht="12" customHeight="1" outlineLevel="1" x14ac:dyDescent="0.25">
      <c r="A268" s="70" t="str">
        <f t="shared" si="131"/>
        <v>UHS</v>
      </c>
      <c r="B268" s="42" t="s">
        <v>364</v>
      </c>
      <c r="C268" s="41"/>
      <c r="D268" s="41"/>
      <c r="E268" s="40" t="str">
        <f t="shared" si="129"/>
        <v>Earnings Per Share (UHS)</v>
      </c>
      <c r="F268" s="41"/>
      <c r="G268" s="41"/>
      <c r="H268" s="41"/>
      <c r="I268" s="71"/>
      <c r="J268" s="41"/>
      <c r="K268" s="62"/>
      <c r="L268" s="67"/>
    </row>
    <row r="269" spans="1:12" ht="12" customHeight="1" outlineLevel="1" x14ac:dyDescent="0.25">
      <c r="A269" s="70" t="str">
        <f t="shared" si="131"/>
        <v>UHS</v>
      </c>
      <c r="B269" s="42" t="s">
        <v>365</v>
      </c>
      <c r="C269" s="57"/>
      <c r="D269" s="57"/>
      <c r="E269" s="73" t="str">
        <f t="shared" si="129"/>
        <v>Basic (UHS)</v>
      </c>
      <c r="F269" s="58">
        <f>F301</f>
        <v>7.22</v>
      </c>
      <c r="G269" s="58">
        <f t="shared" ref="G269:H269" si="160">G301</f>
        <v>7.86</v>
      </c>
      <c r="H269" s="58">
        <f t="shared" si="160"/>
        <v>8.35</v>
      </c>
      <c r="I269" s="71"/>
      <c r="J269" s="58">
        <f t="shared" ref="J269" si="161">J301</f>
        <v>9.0246100583603663</v>
      </c>
      <c r="K269" s="62"/>
      <c r="L269" s="67">
        <f t="shared" si="130"/>
        <v>-7.4752266745908957E-2</v>
      </c>
    </row>
    <row r="270" spans="1:12" ht="12" customHeight="1" outlineLevel="1" x14ac:dyDescent="0.25">
      <c r="A270" s="70" t="str">
        <f t="shared" si="131"/>
        <v>UHS</v>
      </c>
      <c r="B270" s="42" t="s">
        <v>366</v>
      </c>
      <c r="C270" s="57"/>
      <c r="D270" s="57"/>
      <c r="E270" s="73" t="str">
        <f t="shared" si="129"/>
        <v>Diluted (UHS)</v>
      </c>
      <c r="F270" s="58">
        <f>F302</f>
        <v>7.14</v>
      </c>
      <c r="G270" s="58">
        <f t="shared" ref="G270:H270" si="162">G302</f>
        <v>7.81</v>
      </c>
      <c r="H270" s="58">
        <f t="shared" si="162"/>
        <v>8.31</v>
      </c>
      <c r="I270" s="71"/>
      <c r="J270" s="58">
        <f t="shared" ref="J270" si="163">J302</f>
        <v>8.9822172860677352</v>
      </c>
      <c r="K270" s="62"/>
      <c r="L270" s="67">
        <f t="shared" si="130"/>
        <v>-7.4838680100781652E-2</v>
      </c>
    </row>
    <row r="271" spans="1:12" ht="12" customHeight="1" outlineLevel="1" x14ac:dyDescent="0.25">
      <c r="A271" s="70" t="str">
        <f t="shared" si="131"/>
        <v>UHS</v>
      </c>
      <c r="B271" s="42"/>
      <c r="C271" s="41"/>
      <c r="D271" s="41"/>
      <c r="E271" s="40" t="str">
        <f t="shared" si="129"/>
        <v xml:space="preserve"> (UHS)</v>
      </c>
      <c r="F271" s="41"/>
      <c r="G271" s="41"/>
      <c r="H271" s="41"/>
      <c r="I271" s="71"/>
      <c r="J271" s="41"/>
      <c r="K271" s="62"/>
      <c r="L271" s="67"/>
    </row>
    <row r="272" spans="1:12" ht="12" customHeight="1" outlineLevel="1" x14ac:dyDescent="0.25">
      <c r="A272" s="70" t="str">
        <f t="shared" si="131"/>
        <v>UHS</v>
      </c>
      <c r="B272" s="42" t="s">
        <v>367</v>
      </c>
      <c r="C272" s="41"/>
      <c r="D272" s="41"/>
      <c r="E272" s="40" t="str">
        <f t="shared" si="129"/>
        <v>Avg. Common Shares Outstanding (UHS)</v>
      </c>
      <c r="F272" s="41"/>
      <c r="G272" s="41"/>
      <c r="H272" s="41"/>
      <c r="I272" s="71"/>
      <c r="J272" s="41"/>
      <c r="K272" s="62"/>
      <c r="L272" s="67"/>
    </row>
    <row r="273" spans="1:13" ht="12" customHeight="1" outlineLevel="1" x14ac:dyDescent="0.25">
      <c r="A273" s="70" t="str">
        <f t="shared" si="131"/>
        <v>UHS</v>
      </c>
      <c r="B273" s="42" t="s">
        <v>365</v>
      </c>
      <c r="C273" s="41"/>
      <c r="D273" s="41"/>
      <c r="E273" s="40" t="str">
        <f t="shared" si="129"/>
        <v>Basic (UHS)</v>
      </c>
      <c r="F273" s="53">
        <f>F264/F269</f>
        <v>97.286565096953055</v>
      </c>
      <c r="G273" s="53">
        <f>G264/G269</f>
        <v>95.712849872773589</v>
      </c>
      <c r="H273" s="53">
        <f>H264/H269</f>
        <v>93.377844311377245</v>
      </c>
      <c r="I273" s="71"/>
      <c r="J273" s="53">
        <f t="shared" ref="J273" si="164">J264/J269</f>
        <v>93.621290431933403</v>
      </c>
      <c r="K273" s="62"/>
      <c r="L273" s="67">
        <f t="shared" si="130"/>
        <v>-2.6003286157773031E-3</v>
      </c>
    </row>
    <row r="274" spans="1:13" ht="12" customHeight="1" outlineLevel="1" x14ac:dyDescent="0.25">
      <c r="A274" s="70" t="str">
        <f t="shared" si="131"/>
        <v>UHS</v>
      </c>
      <c r="B274" s="42" t="s">
        <v>366</v>
      </c>
      <c r="C274" s="41"/>
      <c r="D274" s="41"/>
      <c r="E274" s="40" t="str">
        <f t="shared" si="129"/>
        <v>Diluted (UHS)</v>
      </c>
      <c r="F274" s="53">
        <f>F264/F270</f>
        <v>98.376610644257852</v>
      </c>
      <c r="G274" s="53">
        <f>G264/G270</f>
        <v>96.325608194622347</v>
      </c>
      <c r="H274" s="53">
        <f>H264/H270</f>
        <v>93.827316486161237</v>
      </c>
      <c r="I274" s="71"/>
      <c r="J274" s="53">
        <f t="shared" ref="J274" si="165">J264/J270</f>
        <v>94.063148596863272</v>
      </c>
      <c r="K274" s="62"/>
      <c r="L274" s="67">
        <f t="shared" si="130"/>
        <v>-2.5071679421743154E-3</v>
      </c>
    </row>
    <row r="275" spans="1:13" ht="12" customHeight="1" outlineLevel="1" x14ac:dyDescent="0.25">
      <c r="B275" s="62"/>
      <c r="C275" s="62"/>
      <c r="D275" s="62"/>
      <c r="E275" s="62"/>
      <c r="F275" s="62"/>
      <c r="G275" s="62"/>
      <c r="H275" s="62"/>
      <c r="I275" s="15"/>
      <c r="J275" s="62"/>
      <c r="K275" s="62"/>
      <c r="L275" s="62"/>
    </row>
    <row r="276" spans="1:13" ht="12" customHeight="1" outlineLevel="1" x14ac:dyDescent="0.25">
      <c r="B276" s="63" t="s">
        <v>371</v>
      </c>
      <c r="C276" s="63"/>
      <c r="D276" s="63"/>
      <c r="E276" s="63"/>
      <c r="F276" s="63"/>
      <c r="G276" s="63"/>
      <c r="H276" s="63"/>
      <c r="I276" s="63"/>
      <c r="J276" s="63"/>
      <c r="K276" s="63"/>
      <c r="L276" s="64"/>
      <c r="M276" s="64"/>
    </row>
    <row r="277" spans="1:13" ht="12" hidden="1" customHeight="1" outlineLevel="2" x14ac:dyDescent="0.25">
      <c r="B277" s="1"/>
    </row>
    <row r="278" spans="1:13" ht="12" hidden="1" customHeight="1" outlineLevel="2" x14ac:dyDescent="0.25">
      <c r="B278" s="8" t="s">
        <v>82</v>
      </c>
    </row>
    <row r="279" spans="1:13" ht="12" hidden="1" customHeight="1" outlineLevel="2" x14ac:dyDescent="0.25">
      <c r="B279" s="8" t="s">
        <v>230</v>
      </c>
      <c r="F279" s="3" t="s">
        <v>4</v>
      </c>
      <c r="G279" s="3" t="s">
        <v>3</v>
      </c>
      <c r="H279" s="3" t="s">
        <v>2</v>
      </c>
      <c r="J279" s="14" t="s">
        <v>2</v>
      </c>
      <c r="L279" s="36">
        <f>MEDIAN(L281:L308)</f>
        <v>-1.5388113501417222E-3</v>
      </c>
    </row>
    <row r="280" spans="1:13" ht="12" hidden="1" customHeight="1" outlineLevel="2" x14ac:dyDescent="0.25">
      <c r="B280" s="8" t="s">
        <v>5</v>
      </c>
      <c r="J280" s="15"/>
    </row>
    <row r="281" spans="1:13" ht="12" hidden="1" customHeight="1" outlineLevel="2" x14ac:dyDescent="0.25">
      <c r="B281" s="8" t="s">
        <v>143</v>
      </c>
      <c r="F281" s="3">
        <v>10507.788</v>
      </c>
      <c r="G281" s="3">
        <v>11278.941999999999</v>
      </c>
      <c r="H281" s="3">
        <v>10772.278</v>
      </c>
      <c r="J281" s="14">
        <v>10828.886312470189</v>
      </c>
      <c r="L281" s="36">
        <f t="shared" ref="L281:L308" si="166">IF(ISERROR(H281/J281-1),0,(H281/J281-1))</f>
        <v>-5.2275285598852861E-3</v>
      </c>
    </row>
    <row r="282" spans="1:13" ht="12" hidden="1" customHeight="1" outlineLevel="2" x14ac:dyDescent="0.25">
      <c r="B282" s="8" t="s">
        <v>144</v>
      </c>
      <c r="F282" s="6">
        <v>741.57799999999997</v>
      </c>
      <c r="G282" s="6">
        <v>869.077</v>
      </c>
      <c r="H282" s="6">
        <v>0</v>
      </c>
      <c r="J282" s="14">
        <v>0</v>
      </c>
      <c r="L282" s="36">
        <f t="shared" si="166"/>
        <v>0</v>
      </c>
    </row>
    <row r="283" spans="1:13" ht="12" hidden="1" customHeight="1" outlineLevel="2" x14ac:dyDescent="0.25">
      <c r="B283" s="8" t="s">
        <v>145</v>
      </c>
      <c r="F283" s="9">
        <f>F281-F282</f>
        <v>9766.2100000000009</v>
      </c>
      <c r="G283" s="9">
        <f t="shared" ref="G283:H283" si="167">G281-G282</f>
        <v>10409.865</v>
      </c>
      <c r="H283" s="9">
        <f t="shared" si="167"/>
        <v>10772.278</v>
      </c>
      <c r="J283" s="17">
        <v>10828.886312470189</v>
      </c>
      <c r="L283" s="36">
        <f t="shared" si="166"/>
        <v>-5.2275285598852861E-3</v>
      </c>
    </row>
    <row r="284" spans="1:13" ht="12" hidden="1" customHeight="1" outlineLevel="2" x14ac:dyDescent="0.25">
      <c r="B284" s="8" t="s">
        <v>146</v>
      </c>
      <c r="J284" s="15"/>
      <c r="L284" s="35"/>
    </row>
    <row r="285" spans="1:13" ht="12" hidden="1" customHeight="1" outlineLevel="2" x14ac:dyDescent="0.25">
      <c r="B285" s="8" t="s">
        <v>147</v>
      </c>
      <c r="F285" s="3">
        <v>4585.53</v>
      </c>
      <c r="G285" s="3">
        <v>4980.6369999999997</v>
      </c>
      <c r="H285" s="3">
        <v>5254.5360000000001</v>
      </c>
      <c r="J285" s="14">
        <v>5246.9679838285747</v>
      </c>
      <c r="L285" s="36">
        <f t="shared" si="166"/>
        <v>1.4423598914172775E-3</v>
      </c>
    </row>
    <row r="286" spans="1:13" ht="12" hidden="1" customHeight="1" outlineLevel="2" x14ac:dyDescent="0.25">
      <c r="B286" s="8" t="s">
        <v>12</v>
      </c>
      <c r="F286" s="3">
        <v>2359.3389999999999</v>
      </c>
      <c r="G286" s="3">
        <v>2493.0619999999999</v>
      </c>
      <c r="H286" s="3">
        <v>2600.4679999999998</v>
      </c>
      <c r="J286" s="14">
        <v>2567.6853364815274</v>
      </c>
      <c r="L286" s="36">
        <f t="shared" si="166"/>
        <v>1.276739912507896E-2</v>
      </c>
    </row>
    <row r="287" spans="1:13" ht="12" hidden="1" customHeight="1" outlineLevel="2" x14ac:dyDescent="0.25">
      <c r="B287" s="8" t="s">
        <v>148</v>
      </c>
      <c r="F287" s="3">
        <v>1031.337</v>
      </c>
      <c r="G287" s="3">
        <v>1105.096</v>
      </c>
      <c r="H287" s="3">
        <v>1168.654</v>
      </c>
      <c r="J287" s="14">
        <v>1166.0446787598983</v>
      </c>
      <c r="L287" s="36">
        <f t="shared" si="166"/>
        <v>2.2377540823537156E-3</v>
      </c>
    </row>
    <row r="288" spans="1:13" ht="12" hidden="1" customHeight="1" outlineLevel="2" x14ac:dyDescent="0.25">
      <c r="B288" s="8" t="s">
        <v>24</v>
      </c>
      <c r="F288" s="3">
        <v>416.608</v>
      </c>
      <c r="G288" s="3">
        <v>447.76499999999999</v>
      </c>
      <c r="H288" s="3">
        <v>453.04500000000002</v>
      </c>
      <c r="J288" s="14">
        <v>453.74274913014995</v>
      </c>
      <c r="L288" s="36">
        <f t="shared" si="166"/>
        <v>-1.5377637030841163E-3</v>
      </c>
    </row>
    <row r="289" spans="2:12" ht="12" hidden="1" customHeight="1" outlineLevel="2" x14ac:dyDescent="0.25">
      <c r="B289" s="8" t="s">
        <v>149</v>
      </c>
      <c r="F289" s="3">
        <v>97.323999999999998</v>
      </c>
      <c r="G289" s="3">
        <v>103.127</v>
      </c>
      <c r="H289" s="3">
        <v>106.09399999999999</v>
      </c>
      <c r="J289" s="14">
        <v>107.76193269345487</v>
      </c>
      <c r="L289" s="36">
        <f t="shared" si="166"/>
        <v>-1.5477939674667485E-2</v>
      </c>
    </row>
    <row r="290" spans="2:12" ht="12" hidden="1" customHeight="1" outlineLevel="2" x14ac:dyDescent="0.25">
      <c r="B290" s="8" t="s">
        <v>265</v>
      </c>
      <c r="F290" s="3">
        <v>0</v>
      </c>
      <c r="G290" s="3">
        <v>0</v>
      </c>
      <c r="H290" s="3">
        <v>0</v>
      </c>
      <c r="J290" s="14">
        <v>0</v>
      </c>
      <c r="L290" s="36">
        <f t="shared" si="166"/>
        <v>0</v>
      </c>
    </row>
    <row r="291" spans="2:12" ht="12" hidden="1" customHeight="1" outlineLevel="2" x14ac:dyDescent="0.25">
      <c r="B291" s="8" t="s">
        <v>150</v>
      </c>
      <c r="F291" s="3">
        <v>-5.3390000000000004</v>
      </c>
      <c r="G291" s="3">
        <v>0</v>
      </c>
      <c r="H291" s="3">
        <v>0</v>
      </c>
      <c r="J291" s="14">
        <v>0</v>
      </c>
      <c r="L291" s="36">
        <f t="shared" si="166"/>
        <v>0</v>
      </c>
    </row>
    <row r="292" spans="2:12" ht="12" hidden="1" customHeight="1" outlineLevel="2" x14ac:dyDescent="0.25">
      <c r="B292" s="8" t="s">
        <v>266</v>
      </c>
      <c r="F292" s="3">
        <v>0</v>
      </c>
      <c r="G292" s="3">
        <v>0</v>
      </c>
      <c r="H292" s="3">
        <v>0</v>
      </c>
      <c r="J292" s="14">
        <v>0</v>
      </c>
      <c r="L292" s="36">
        <f t="shared" si="166"/>
        <v>0</v>
      </c>
    </row>
    <row r="293" spans="2:12" ht="12" hidden="1" customHeight="1" outlineLevel="2" x14ac:dyDescent="0.25">
      <c r="B293" s="8" t="s">
        <v>151</v>
      </c>
      <c r="F293" s="9">
        <f>SUM(F285:F292)</f>
        <v>8484.7990000000009</v>
      </c>
      <c r="G293" s="9">
        <f t="shared" ref="G293:H293" si="168">SUM(G285:G292)</f>
        <v>9129.6869999999999</v>
      </c>
      <c r="H293" s="9">
        <f t="shared" si="168"/>
        <v>9582.7969999999987</v>
      </c>
      <c r="J293" s="17">
        <v>9542.2026808936043</v>
      </c>
      <c r="L293" s="36">
        <f t="shared" si="166"/>
        <v>4.2541874726342854E-3</v>
      </c>
    </row>
    <row r="294" spans="2:12" ht="12" hidden="1" customHeight="1" outlineLevel="2" x14ac:dyDescent="0.25">
      <c r="B294" s="8" t="s">
        <v>48</v>
      </c>
      <c r="F294" s="9">
        <f>F283-F293</f>
        <v>1281.4110000000001</v>
      </c>
      <c r="G294" s="9">
        <f t="shared" ref="G294:H294" si="169">G283-G293</f>
        <v>1280.1779999999999</v>
      </c>
      <c r="H294" s="9">
        <f t="shared" si="169"/>
        <v>1189.4810000000016</v>
      </c>
      <c r="J294" s="17">
        <v>1286.683631576585</v>
      </c>
      <c r="L294" s="36">
        <f t="shared" si="166"/>
        <v>-7.5545090643206581E-2</v>
      </c>
    </row>
    <row r="295" spans="2:12" ht="12" hidden="1" customHeight="1" outlineLevel="2" x14ac:dyDescent="0.25">
      <c r="B295" s="8" t="s">
        <v>152</v>
      </c>
      <c r="F295" s="3">
        <v>125.053</v>
      </c>
      <c r="G295" s="3">
        <v>145.16900000000001</v>
      </c>
      <c r="H295" s="3">
        <v>154.95599999999999</v>
      </c>
      <c r="J295" s="14">
        <v>155.57983387864866</v>
      </c>
      <c r="L295" s="36">
        <f t="shared" si="166"/>
        <v>-4.0097348293561819E-3</v>
      </c>
    </row>
    <row r="296" spans="2:12" ht="12" hidden="1" customHeight="1" outlineLevel="2" x14ac:dyDescent="0.25">
      <c r="B296" s="8" t="s">
        <v>52</v>
      </c>
      <c r="F296" s="9">
        <f>F294-F295</f>
        <v>1156.3580000000002</v>
      </c>
      <c r="G296" s="9">
        <f t="shared" ref="G296:H296" si="170">G294-G295</f>
        <v>1135.0089999999998</v>
      </c>
      <c r="H296" s="9">
        <f t="shared" si="170"/>
        <v>1034.5250000000017</v>
      </c>
      <c r="J296" s="17">
        <v>1131.1037976979362</v>
      </c>
      <c r="L296" s="36">
        <f t="shared" si="166"/>
        <v>-8.5384557893356194E-2</v>
      </c>
    </row>
    <row r="297" spans="2:12" ht="12" hidden="1" customHeight="1" outlineLevel="2" x14ac:dyDescent="0.25">
      <c r="B297" s="8" t="s">
        <v>153</v>
      </c>
      <c r="F297" s="3">
        <v>409.18700000000001</v>
      </c>
      <c r="G297" s="3">
        <v>363.697</v>
      </c>
      <c r="H297" s="3">
        <v>236.642</v>
      </c>
      <c r="J297" s="14">
        <v>268.5171706267854</v>
      </c>
      <c r="L297" s="36">
        <f t="shared" si="166"/>
        <v>-0.11870812787272</v>
      </c>
    </row>
    <row r="298" spans="2:12" ht="12" hidden="1" customHeight="1" outlineLevel="2" thickBot="1" x14ac:dyDescent="0.3">
      <c r="B298" s="8" t="s">
        <v>17</v>
      </c>
      <c r="F298" s="10">
        <f>F296-F297</f>
        <v>747.17100000000016</v>
      </c>
      <c r="G298" s="10">
        <f t="shared" ref="G298:H298" si="171">G296-G297</f>
        <v>771.31199999999978</v>
      </c>
      <c r="H298" s="10">
        <f t="shared" si="171"/>
        <v>797.88300000000163</v>
      </c>
      <c r="J298" s="19">
        <v>862.58662707115082</v>
      </c>
      <c r="L298" s="36">
        <f t="shared" si="166"/>
        <v>-7.5011164143415465E-2</v>
      </c>
    </row>
    <row r="299" spans="2:12" ht="12" hidden="1" customHeight="1" outlineLevel="2" thickTop="1" x14ac:dyDescent="0.25">
      <c r="B299" s="8" t="s">
        <v>154</v>
      </c>
      <c r="F299" s="2">
        <v>44.762</v>
      </c>
      <c r="G299" s="2">
        <v>19.009</v>
      </c>
      <c r="H299" s="2">
        <v>18.178000000000001</v>
      </c>
      <c r="J299" s="14">
        <v>17.690987762446333</v>
      </c>
      <c r="L299" s="36">
        <f t="shared" si="166"/>
        <v>2.7528832425483651E-2</v>
      </c>
    </row>
    <row r="300" spans="2:12" ht="12" hidden="1" customHeight="1" outlineLevel="2" thickBot="1" x14ac:dyDescent="0.3">
      <c r="B300" s="8" t="s">
        <v>155</v>
      </c>
      <c r="F300" s="10">
        <f>F298-F299</f>
        <v>702.40900000000011</v>
      </c>
      <c r="G300" s="10">
        <f t="shared" ref="G300:H300" si="172">G298-G299</f>
        <v>752.30299999999977</v>
      </c>
      <c r="H300" s="10">
        <f t="shared" si="172"/>
        <v>779.70500000000163</v>
      </c>
      <c r="J300" s="19">
        <v>844.89563930870452</v>
      </c>
      <c r="L300" s="36">
        <f t="shared" si="166"/>
        <v>-7.7158214903371936E-2</v>
      </c>
    </row>
    <row r="301" spans="2:12" ht="12" hidden="1" customHeight="1" outlineLevel="2" thickTop="1" x14ac:dyDescent="0.25">
      <c r="B301" s="8" t="s">
        <v>156</v>
      </c>
      <c r="F301" s="11">
        <v>7.22</v>
      </c>
      <c r="G301" s="11">
        <v>7.86</v>
      </c>
      <c r="H301" s="11">
        <v>8.35</v>
      </c>
      <c r="J301" s="20">
        <v>9.0246100583603663</v>
      </c>
      <c r="L301" s="36">
        <f t="shared" si="166"/>
        <v>-7.4752266745908957E-2</v>
      </c>
    </row>
    <row r="302" spans="2:12" ht="12" hidden="1" customHeight="1" outlineLevel="2" x14ac:dyDescent="0.25">
      <c r="B302" s="8" t="s">
        <v>157</v>
      </c>
      <c r="F302" s="11">
        <v>7.14</v>
      </c>
      <c r="G302" s="11">
        <v>7.81</v>
      </c>
      <c r="H302" s="11">
        <v>8.31</v>
      </c>
      <c r="J302" s="20">
        <v>8.9822172860677352</v>
      </c>
      <c r="L302" s="36">
        <f t="shared" si="166"/>
        <v>-7.4838680100781652E-2</v>
      </c>
    </row>
    <row r="303" spans="2:12" ht="12" hidden="1" customHeight="1" outlineLevel="2" x14ac:dyDescent="0.25">
      <c r="B303" s="8" t="s">
        <v>158</v>
      </c>
      <c r="F303" s="3">
        <v>97.207999999999998</v>
      </c>
      <c r="G303" s="3">
        <v>95.652000000000001</v>
      </c>
      <c r="H303" s="3">
        <v>93.275999999999996</v>
      </c>
      <c r="J303" s="14">
        <v>92.849000000000004</v>
      </c>
      <c r="L303" s="36">
        <f t="shared" si="166"/>
        <v>4.5988648235306684E-3</v>
      </c>
    </row>
    <row r="304" spans="2:12" ht="12" hidden="1" customHeight="1" outlineLevel="2" x14ac:dyDescent="0.25">
      <c r="B304" s="8" t="s">
        <v>159</v>
      </c>
      <c r="F304" s="7">
        <v>1.1719999999999999</v>
      </c>
      <c r="G304" s="7">
        <v>0.67300000000000004</v>
      </c>
      <c r="H304" s="7">
        <v>0.47399999999999998</v>
      </c>
      <c r="J304" s="16">
        <v>0.48099999999999998</v>
      </c>
      <c r="L304" s="36">
        <f t="shared" si="166"/>
        <v>-1.4553014553014609E-2</v>
      </c>
    </row>
    <row r="305" spans="1:13" ht="12" hidden="1" customHeight="1" outlineLevel="2" x14ac:dyDescent="0.25">
      <c r="B305" s="8" t="s">
        <v>160</v>
      </c>
      <c r="F305" s="8">
        <f>SUM(F303:F304)</f>
        <v>98.38</v>
      </c>
      <c r="G305" s="8">
        <f t="shared" ref="G305:H305" si="173">SUM(G303:G304)</f>
        <v>96.325000000000003</v>
      </c>
      <c r="H305" s="8">
        <f t="shared" si="173"/>
        <v>93.75</v>
      </c>
      <c r="J305" s="29">
        <v>93.33</v>
      </c>
      <c r="L305" s="36">
        <f t="shared" si="166"/>
        <v>4.500160720025681E-3</v>
      </c>
    </row>
    <row r="306" spans="1:13" ht="12" hidden="1" customHeight="1" outlineLevel="2" x14ac:dyDescent="0.25">
      <c r="J306" s="30"/>
      <c r="L306" s="35"/>
    </row>
    <row r="307" spans="1:13" ht="12" hidden="1" customHeight="1" outlineLevel="2" x14ac:dyDescent="0.25">
      <c r="B307" s="8" t="s">
        <v>161</v>
      </c>
      <c r="F307" s="3">
        <v>416.608</v>
      </c>
      <c r="G307" s="3">
        <v>447.88299999999998</v>
      </c>
      <c r="H307" s="3">
        <v>453.07600000000002</v>
      </c>
      <c r="J307" s="14">
        <v>453.77474913014993</v>
      </c>
      <c r="L307" s="36">
        <f t="shared" si="166"/>
        <v>-1.5398589971993282E-3</v>
      </c>
    </row>
    <row r="308" spans="1:13" ht="12" hidden="1" customHeight="1" outlineLevel="2" x14ac:dyDescent="0.25">
      <c r="B308" s="8" t="s">
        <v>162</v>
      </c>
      <c r="F308" s="3">
        <v>-519.93899999999996</v>
      </c>
      <c r="G308" s="3">
        <v>-557.50599999999997</v>
      </c>
      <c r="H308" s="3">
        <v>-664.96199999999999</v>
      </c>
      <c r="J308" s="14">
        <v>-665.94963396660182</v>
      </c>
      <c r="L308" s="36">
        <f t="shared" si="166"/>
        <v>-1.4830460386608957E-3</v>
      </c>
    </row>
    <row r="309" spans="1:13" ht="12" customHeight="1" outlineLevel="1" collapsed="1" x14ac:dyDescent="0.25"/>
    <row r="310" spans="1:13" ht="12" customHeight="1" x14ac:dyDescent="0.25">
      <c r="B310" s="61" t="s">
        <v>375</v>
      </c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91" t="s">
        <v>30</v>
      </c>
    </row>
    <row r="311" spans="1:13" ht="12" customHeight="1" x14ac:dyDescent="0.25">
      <c r="B311" s="38"/>
      <c r="C311" s="15"/>
      <c r="D311" s="15"/>
      <c r="E311" s="15"/>
      <c r="F311" s="15"/>
      <c r="G311" s="15"/>
      <c r="H311" s="15"/>
      <c r="I311" s="15"/>
      <c r="J311" s="15"/>
      <c r="K311" s="62"/>
      <c r="L311" s="62"/>
    </row>
    <row r="312" spans="1:13" ht="12" customHeight="1" outlineLevel="1" x14ac:dyDescent="0.25">
      <c r="B312" s="85" t="s">
        <v>338</v>
      </c>
      <c r="C312" s="86"/>
      <c r="D312" s="86"/>
      <c r="E312" s="86"/>
      <c r="F312" s="89" t="s">
        <v>369</v>
      </c>
      <c r="G312" s="89"/>
      <c r="H312" s="90"/>
      <c r="I312" s="15"/>
      <c r="J312" s="82" t="s">
        <v>370</v>
      </c>
      <c r="K312" s="62"/>
      <c r="L312" s="68" t="s">
        <v>386</v>
      </c>
    </row>
    <row r="313" spans="1:13" ht="12" customHeight="1" outlineLevel="1" x14ac:dyDescent="0.25">
      <c r="B313" s="87"/>
      <c r="C313" s="88"/>
      <c r="D313" s="88"/>
      <c r="E313" s="88"/>
      <c r="F313" s="39">
        <f>G313-1</f>
        <v>2016</v>
      </c>
      <c r="G313" s="39">
        <f>H313-1</f>
        <v>2017</v>
      </c>
      <c r="H313" s="60">
        <f>J313</f>
        <v>2018</v>
      </c>
      <c r="I313" s="15"/>
      <c r="J313" s="81">
        <v>2018</v>
      </c>
      <c r="K313" s="62"/>
      <c r="L313" s="68" t="s">
        <v>370</v>
      </c>
    </row>
    <row r="314" spans="1:13" ht="12" customHeight="1" outlineLevel="1" x14ac:dyDescent="0.25">
      <c r="B314" s="62"/>
      <c r="C314" s="62"/>
      <c r="D314" s="62"/>
      <c r="E314" s="62"/>
      <c r="F314" s="40"/>
      <c r="G314" s="40"/>
      <c r="H314" s="40"/>
      <c r="I314" s="15"/>
      <c r="J314" s="40"/>
      <c r="K314" s="62"/>
      <c r="L314" s="62"/>
    </row>
    <row r="315" spans="1:13" ht="12" customHeight="1" outlineLevel="1" x14ac:dyDescent="0.25">
      <c r="A315" s="70" t="str">
        <f>M310</f>
        <v>MRK</v>
      </c>
      <c r="B315" s="43" t="s">
        <v>340</v>
      </c>
      <c r="C315" s="44"/>
      <c r="D315" s="44"/>
      <c r="E315" s="74" t="str">
        <f>B315&amp;" ("&amp;A315&amp;")"</f>
        <v>Total Revenue (MRK)</v>
      </c>
      <c r="F315" s="45">
        <f>F358</f>
        <v>39807</v>
      </c>
      <c r="G315" s="45">
        <f t="shared" ref="G315:J315" si="174">G358</f>
        <v>40122</v>
      </c>
      <c r="H315" s="45">
        <f t="shared" si="174"/>
        <v>42294</v>
      </c>
      <c r="I315" s="71"/>
      <c r="J315" s="45">
        <f t="shared" si="174"/>
        <v>41680.700765308495</v>
      </c>
      <c r="K315" s="62"/>
      <c r="L315" s="67">
        <f>IF(ISERROR(H315/J315-1),0,(H315/J315-1))</f>
        <v>1.4714225611148102E-2</v>
      </c>
    </row>
    <row r="316" spans="1:13" ht="12" customHeight="1" outlineLevel="1" x14ac:dyDescent="0.25">
      <c r="A316" s="70" t="str">
        <f>A315</f>
        <v>MRK</v>
      </c>
      <c r="B316" s="42" t="s">
        <v>341</v>
      </c>
      <c r="C316" s="46"/>
      <c r="D316" s="46"/>
      <c r="E316" s="72" t="str">
        <f t="shared" ref="E316:E351" si="175">B316&amp;" ("&amp;A316&amp;")"</f>
        <v>% Growth (MRK)</v>
      </c>
      <c r="F316" s="47" t="s">
        <v>342</v>
      </c>
      <c r="G316" s="47">
        <f>G315/F315-1</f>
        <v>7.9131810988017914E-3</v>
      </c>
      <c r="H316" s="47">
        <f>H315/G315-1</f>
        <v>5.41348885898012E-2</v>
      </c>
      <c r="I316" s="71"/>
      <c r="J316" s="47">
        <f>J315/G315-1</f>
        <v>3.8849029592455286E-2</v>
      </c>
      <c r="K316" s="62"/>
      <c r="L316" s="67">
        <f t="shared" ref="L316:L351" si="176">IF(ISERROR(H316/J316-1),0,(H316/J316-1))</f>
        <v>0.39346823222360539</v>
      </c>
    </row>
    <row r="317" spans="1:13" ht="12" customHeight="1" outlineLevel="1" x14ac:dyDescent="0.25">
      <c r="A317" s="70" t="str">
        <f t="shared" ref="A317:A351" si="177">A316</f>
        <v>MRK</v>
      </c>
      <c r="B317" s="42" t="s">
        <v>343</v>
      </c>
      <c r="C317" s="41"/>
      <c r="D317" s="41"/>
      <c r="E317" s="40" t="str">
        <f t="shared" si="175"/>
        <v>COGS (MRK)</v>
      </c>
      <c r="F317" s="48">
        <f>F360</f>
        <v>14030</v>
      </c>
      <c r="G317" s="48">
        <f t="shared" ref="G317:H317" si="178">G360</f>
        <v>12912</v>
      </c>
      <c r="H317" s="48">
        <f t="shared" si="178"/>
        <v>13509</v>
      </c>
      <c r="I317" s="71"/>
      <c r="J317" s="48">
        <f t="shared" ref="J317" si="179">J360</f>
        <v>13417.15952548649</v>
      </c>
      <c r="K317" s="62"/>
      <c r="L317" s="67">
        <f t="shared" si="176"/>
        <v>6.8450013088876549E-3</v>
      </c>
    </row>
    <row r="318" spans="1:13" ht="12" customHeight="1" outlineLevel="1" x14ac:dyDescent="0.25">
      <c r="A318" s="70" t="str">
        <f t="shared" si="177"/>
        <v>MRK</v>
      </c>
      <c r="B318" s="42" t="s">
        <v>344</v>
      </c>
      <c r="C318" s="41"/>
      <c r="D318" s="41"/>
      <c r="E318" s="40" t="str">
        <f t="shared" si="175"/>
        <v>Total Depreciation &amp; Amortization (MRK)</v>
      </c>
      <c r="F318" s="48">
        <f>F375</f>
        <v>5471</v>
      </c>
      <c r="G318" s="48">
        <f t="shared" ref="G318:H318" si="180">G375</f>
        <v>4676</v>
      </c>
      <c r="H318" s="48">
        <f t="shared" si="180"/>
        <v>4519</v>
      </c>
      <c r="I318" s="71"/>
      <c r="J318" s="48">
        <f t="shared" ref="J318" si="181">J375</f>
        <v>4503.4366689689396</v>
      </c>
      <c r="K318" s="62"/>
      <c r="L318" s="67">
        <f t="shared" si="176"/>
        <v>3.4558787377427791E-3</v>
      </c>
    </row>
    <row r="319" spans="1:13" ht="12" customHeight="1" outlineLevel="1" x14ac:dyDescent="0.25">
      <c r="A319" s="70" t="str">
        <f t="shared" si="177"/>
        <v>MRK</v>
      </c>
      <c r="B319" s="42" t="s">
        <v>345</v>
      </c>
      <c r="C319" s="41"/>
      <c r="D319" s="41"/>
      <c r="E319" s="40" t="str">
        <f t="shared" si="175"/>
        <v>COGS (Exclusive of D&amp;A) (MRK)</v>
      </c>
      <c r="F319" s="49">
        <f>F317-F318</f>
        <v>8559</v>
      </c>
      <c r="G319" s="49">
        <f>G317-G318</f>
        <v>8236</v>
      </c>
      <c r="H319" s="49">
        <f>H317-H318</f>
        <v>8990</v>
      </c>
      <c r="I319" s="71"/>
      <c r="J319" s="49">
        <f t="shared" ref="J319" si="182">J317-J318</f>
        <v>8913.7228565175501</v>
      </c>
      <c r="K319" s="62"/>
      <c r="L319" s="67">
        <f t="shared" si="176"/>
        <v>8.5572711548551617E-3</v>
      </c>
    </row>
    <row r="320" spans="1:13" ht="12" customHeight="1" outlineLevel="1" x14ac:dyDescent="0.25">
      <c r="A320" s="70" t="str">
        <f t="shared" si="177"/>
        <v>MRK</v>
      </c>
      <c r="B320" s="42" t="s">
        <v>346</v>
      </c>
      <c r="C320" s="46"/>
      <c r="D320" s="46"/>
      <c r="E320" s="72" t="str">
        <f t="shared" si="175"/>
        <v>% Total Revenue (MRK)</v>
      </c>
      <c r="F320" s="50">
        <f>F319/F315</f>
        <v>0.21501243499886954</v>
      </c>
      <c r="G320" s="50">
        <f>G319/G315</f>
        <v>0.20527391456059019</v>
      </c>
      <c r="H320" s="50">
        <f>H319/H315</f>
        <v>0.21255970113964157</v>
      </c>
      <c r="I320" s="71"/>
      <c r="J320" s="50">
        <f t="shared" ref="J320" si="183">J319/J315</f>
        <v>0.21385731748388892</v>
      </c>
      <c r="K320" s="62"/>
      <c r="L320" s="67">
        <f t="shared" si="176"/>
        <v>-6.0676733418070228E-3</v>
      </c>
    </row>
    <row r="321" spans="1:12" ht="12" customHeight="1" outlineLevel="1" x14ac:dyDescent="0.25">
      <c r="A321" s="70" t="str">
        <f t="shared" si="177"/>
        <v>MRK</v>
      </c>
      <c r="B321" s="43" t="s">
        <v>347</v>
      </c>
      <c r="C321" s="44"/>
      <c r="D321" s="44"/>
      <c r="E321" s="74" t="str">
        <f t="shared" si="175"/>
        <v>Gross Profit (MRK)</v>
      </c>
      <c r="F321" s="51">
        <f>F315-F319</f>
        <v>31248</v>
      </c>
      <c r="G321" s="51">
        <f>G315-G319</f>
        <v>31886</v>
      </c>
      <c r="H321" s="51">
        <f>H315-H319</f>
        <v>33304</v>
      </c>
      <c r="I321" s="71"/>
      <c r="J321" s="51">
        <f t="shared" ref="J321" si="184">J315-J319</f>
        <v>32766.977908790945</v>
      </c>
      <c r="K321" s="62"/>
      <c r="L321" s="67">
        <f t="shared" si="176"/>
        <v>1.6389124828780188E-2</v>
      </c>
    </row>
    <row r="322" spans="1:12" ht="12" customHeight="1" outlineLevel="1" x14ac:dyDescent="0.25">
      <c r="A322" s="70" t="str">
        <f t="shared" si="177"/>
        <v>MRK</v>
      </c>
      <c r="B322" s="42" t="s">
        <v>348</v>
      </c>
      <c r="C322" s="46"/>
      <c r="D322" s="46"/>
      <c r="E322" s="72" t="str">
        <f t="shared" si="175"/>
        <v>Gross Profit Margin (%) (MRK)</v>
      </c>
      <c r="F322" s="47">
        <f>F321/F315</f>
        <v>0.78498756500113043</v>
      </c>
      <c r="G322" s="47">
        <f>G321/G315</f>
        <v>0.79472608543940981</v>
      </c>
      <c r="H322" s="47">
        <f>H321/H315</f>
        <v>0.78744029886035849</v>
      </c>
      <c r="I322" s="71"/>
      <c r="J322" s="47">
        <f t="shared" ref="J322" si="185">J321/J315</f>
        <v>0.78614268251611108</v>
      </c>
      <c r="K322" s="62"/>
      <c r="L322" s="67">
        <f t="shared" si="176"/>
        <v>1.6506117440338031E-3</v>
      </c>
    </row>
    <row r="323" spans="1:12" ht="12" customHeight="1" outlineLevel="1" x14ac:dyDescent="0.25">
      <c r="A323" s="70" t="str">
        <f t="shared" si="177"/>
        <v>MRK</v>
      </c>
      <c r="B323" s="42" t="s">
        <v>349</v>
      </c>
      <c r="C323" s="41"/>
      <c r="D323" s="41"/>
      <c r="E323" s="40" t="str">
        <f t="shared" si="175"/>
        <v>Operating expenses (MRK)</v>
      </c>
      <c r="F323" s="48">
        <f>SUM(F361,F362)</f>
        <v>20278</v>
      </c>
      <c r="G323" s="48">
        <f t="shared" ref="G323:J323" si="186">SUM(G361,G362)</f>
        <v>20413</v>
      </c>
      <c r="H323" s="48">
        <f t="shared" si="186"/>
        <v>19854</v>
      </c>
      <c r="I323" s="71"/>
      <c r="J323" s="48">
        <f t="shared" si="186"/>
        <v>20387.933263515384</v>
      </c>
      <c r="K323" s="62"/>
      <c r="L323" s="67">
        <f t="shared" si="176"/>
        <v>-2.6188689977265533E-2</v>
      </c>
    </row>
    <row r="324" spans="1:12" ht="12" customHeight="1" outlineLevel="1" x14ac:dyDescent="0.25">
      <c r="A324" s="70" t="str">
        <f t="shared" si="177"/>
        <v>MRK</v>
      </c>
      <c r="B324" s="42" t="s">
        <v>346</v>
      </c>
      <c r="C324" s="46"/>
      <c r="D324" s="46"/>
      <c r="E324" s="72" t="str">
        <f t="shared" si="175"/>
        <v>% Total Revenue (MRK)</v>
      </c>
      <c r="F324" s="50">
        <f>F323/F315</f>
        <v>0.50940789308413092</v>
      </c>
      <c r="G324" s="50">
        <f>G323/G315</f>
        <v>0.50877324161308013</v>
      </c>
      <c r="H324" s="50">
        <f>H323/H315</f>
        <v>0.46942828770038303</v>
      </c>
      <c r="I324" s="71"/>
      <c r="J324" s="50">
        <f t="shared" ref="J324" si="187">J323/J315</f>
        <v>0.48914564508676839</v>
      </c>
      <c r="K324" s="62"/>
      <c r="L324" s="67">
        <f t="shared" si="176"/>
        <v>-4.0309788269479063E-2</v>
      </c>
    </row>
    <row r="325" spans="1:12" ht="12" customHeight="1" outlineLevel="1" x14ac:dyDescent="0.25">
      <c r="A325" s="70" t="str">
        <f t="shared" si="177"/>
        <v>MRK</v>
      </c>
      <c r="B325" s="43" t="s">
        <v>350</v>
      </c>
      <c r="C325" s="44"/>
      <c r="D325" s="44"/>
      <c r="E325" s="74" t="str">
        <f t="shared" si="175"/>
        <v>Operating Profit (MRK)</v>
      </c>
      <c r="F325" s="51">
        <f>F321-F323</f>
        <v>10970</v>
      </c>
      <c r="G325" s="51">
        <f>G321-G323</f>
        <v>11473</v>
      </c>
      <c r="H325" s="51">
        <f>H321-H323</f>
        <v>13450</v>
      </c>
      <c r="I325" s="71"/>
      <c r="J325" s="51">
        <f t="shared" ref="J325" si="188">J321-J323</f>
        <v>12379.04464527556</v>
      </c>
      <c r="K325" s="62"/>
      <c r="L325" s="67">
        <f t="shared" si="176"/>
        <v>8.6513570749029212E-2</v>
      </c>
    </row>
    <row r="326" spans="1:12" ht="12" customHeight="1" outlineLevel="1" x14ac:dyDescent="0.25">
      <c r="A326" s="70" t="str">
        <f t="shared" si="177"/>
        <v>MRK</v>
      </c>
      <c r="B326" s="42" t="s">
        <v>351</v>
      </c>
      <c r="C326" s="46"/>
      <c r="D326" s="46"/>
      <c r="E326" s="72" t="str">
        <f t="shared" si="175"/>
        <v>Operating Profit Margin (%) (MRK)</v>
      </c>
      <c r="F326" s="47">
        <f>F325/F315</f>
        <v>0.2755796719169995</v>
      </c>
      <c r="G326" s="47">
        <f>G325/G315</f>
        <v>0.28595284382632968</v>
      </c>
      <c r="H326" s="47">
        <f>H325/H315</f>
        <v>0.31801201115997541</v>
      </c>
      <c r="I326" s="71"/>
      <c r="J326" s="47">
        <f t="shared" ref="J326" si="189">J325/J315</f>
        <v>0.29699703742934269</v>
      </c>
      <c r="K326" s="62"/>
      <c r="L326" s="67">
        <f t="shared" si="176"/>
        <v>7.0758193120469492E-2</v>
      </c>
    </row>
    <row r="327" spans="1:12" ht="12" customHeight="1" outlineLevel="1" x14ac:dyDescent="0.25">
      <c r="A327" s="70" t="str">
        <f t="shared" si="177"/>
        <v>MRK</v>
      </c>
      <c r="B327" s="42" t="s">
        <v>352</v>
      </c>
      <c r="C327" s="41"/>
      <c r="D327" s="41"/>
      <c r="E327" s="40" t="str">
        <f t="shared" si="175"/>
        <v>Total Other Expenses / (Income) (MRK)</v>
      </c>
      <c r="F327" s="52">
        <f>SUM(F363,F364,F365)</f>
        <v>840</v>
      </c>
      <c r="G327" s="52">
        <f t="shared" ref="G327:J327" si="190">SUM(G363,G364,G365)</f>
        <v>276</v>
      </c>
      <c r="H327" s="52">
        <f t="shared" si="190"/>
        <v>230</v>
      </c>
      <c r="I327" s="71"/>
      <c r="J327" s="52">
        <f t="shared" si="190"/>
        <v>149.15521224493591</v>
      </c>
      <c r="K327" s="62"/>
      <c r="L327" s="67">
        <f t="shared" si="176"/>
        <v>0.54201785199637853</v>
      </c>
    </row>
    <row r="328" spans="1:12" ht="12" customHeight="1" outlineLevel="1" x14ac:dyDescent="0.25">
      <c r="A328" s="70" t="str">
        <f t="shared" si="177"/>
        <v>MRK</v>
      </c>
      <c r="B328" s="43" t="s">
        <v>353</v>
      </c>
      <c r="C328" s="44"/>
      <c r="D328" s="44"/>
      <c r="E328" s="74" t="str">
        <f t="shared" si="175"/>
        <v>EBITDA (MRK)</v>
      </c>
      <c r="F328" s="51">
        <f>F325-F327</f>
        <v>10130</v>
      </c>
      <c r="G328" s="51">
        <f>G325-G327</f>
        <v>11197</v>
      </c>
      <c r="H328" s="51">
        <f>H325-H327</f>
        <v>13220</v>
      </c>
      <c r="I328" s="71"/>
      <c r="J328" s="51">
        <f t="shared" ref="J328" si="191">J325-J327</f>
        <v>12229.889433030625</v>
      </c>
      <c r="K328" s="62"/>
      <c r="L328" s="67">
        <f t="shared" si="176"/>
        <v>8.0958259875618666E-2</v>
      </c>
    </row>
    <row r="329" spans="1:12" ht="12" customHeight="1" outlineLevel="1" x14ac:dyDescent="0.25">
      <c r="A329" s="70" t="str">
        <f t="shared" si="177"/>
        <v>MRK</v>
      </c>
      <c r="B329" s="42" t="s">
        <v>354</v>
      </c>
      <c r="C329" s="46"/>
      <c r="D329" s="46"/>
      <c r="E329" s="72" t="str">
        <f t="shared" si="175"/>
        <v>EBITDA Margin (%) (MRK)</v>
      </c>
      <c r="F329" s="47">
        <f>F328/F315</f>
        <v>0.25447785565352826</v>
      </c>
      <c r="G329" s="47">
        <f>G328/G315</f>
        <v>0.27907382483425552</v>
      </c>
      <c r="H329" s="47">
        <f>H328/H315</f>
        <v>0.31257388754906135</v>
      </c>
      <c r="I329" s="71"/>
      <c r="J329" s="47">
        <f t="shared" ref="J329" si="192">J328/J315</f>
        <v>0.29341851764665516</v>
      </c>
      <c r="K329" s="62"/>
      <c r="L329" s="67">
        <f t="shared" si="176"/>
        <v>6.5283439014144795E-2</v>
      </c>
    </row>
    <row r="330" spans="1:12" ht="12" customHeight="1" outlineLevel="1" x14ac:dyDescent="0.25">
      <c r="A330" s="70" t="str">
        <f t="shared" si="177"/>
        <v>MRK</v>
      </c>
      <c r="B330" s="42" t="s">
        <v>344</v>
      </c>
      <c r="C330" s="53"/>
      <c r="D330" s="53"/>
      <c r="E330" s="40" t="str">
        <f t="shared" si="175"/>
        <v>Total Depreciation &amp; Amortization (MRK)</v>
      </c>
      <c r="F330" s="49">
        <f>F318</f>
        <v>5471</v>
      </c>
      <c r="G330" s="49">
        <f>G318</f>
        <v>4676</v>
      </c>
      <c r="H330" s="49">
        <f>H318</f>
        <v>4519</v>
      </c>
      <c r="I330" s="71"/>
      <c r="J330" s="49">
        <f t="shared" ref="J330" si="193">J318</f>
        <v>4503.4366689689396</v>
      </c>
      <c r="K330" s="62"/>
      <c r="L330" s="67">
        <f t="shared" si="176"/>
        <v>3.4558787377427791E-3</v>
      </c>
    </row>
    <row r="331" spans="1:12" ht="12" customHeight="1" outlineLevel="1" x14ac:dyDescent="0.25">
      <c r="A331" s="70" t="str">
        <f t="shared" si="177"/>
        <v>MRK</v>
      </c>
      <c r="B331" s="42" t="s">
        <v>346</v>
      </c>
      <c r="C331" s="46"/>
      <c r="D331" s="46"/>
      <c r="E331" s="72" t="str">
        <f t="shared" si="175"/>
        <v>% Total Revenue (MRK)</v>
      </c>
      <c r="F331" s="47">
        <f>F330/F315</f>
        <v>0.13743813902077523</v>
      </c>
      <c r="G331" s="47">
        <f>G330/G315</f>
        <v>0.1165445391555755</v>
      </c>
      <c r="H331" s="47">
        <f>H330/H315</f>
        <v>0.10684730694661181</v>
      </c>
      <c r="I331" s="71"/>
      <c r="J331" s="47">
        <f t="shared" ref="J331" si="194">J330/J315</f>
        <v>0.10804608814824009</v>
      </c>
      <c r="K331" s="62"/>
      <c r="L331" s="67">
        <f t="shared" si="176"/>
        <v>-1.1095091198336959E-2</v>
      </c>
    </row>
    <row r="332" spans="1:12" ht="12" customHeight="1" outlineLevel="1" x14ac:dyDescent="0.25">
      <c r="A332" s="70" t="str">
        <f t="shared" si="177"/>
        <v>MRK</v>
      </c>
      <c r="B332" s="43" t="s">
        <v>355</v>
      </c>
      <c r="C332" s="44"/>
      <c r="D332" s="44"/>
      <c r="E332" s="74" t="str">
        <f t="shared" si="175"/>
        <v>EBIT (MRK)</v>
      </c>
      <c r="F332" s="54">
        <f>F328-F330</f>
        <v>4659</v>
      </c>
      <c r="G332" s="54">
        <f>G328-G330</f>
        <v>6521</v>
      </c>
      <c r="H332" s="54">
        <f>H328-H330</f>
        <v>8701</v>
      </c>
      <c r="I332" s="71"/>
      <c r="J332" s="54">
        <f t="shared" ref="J332" si="195">J328-J330</f>
        <v>7726.4527640616852</v>
      </c>
      <c r="K332" s="62"/>
      <c r="L332" s="67">
        <f t="shared" si="176"/>
        <v>0.12613126174423273</v>
      </c>
    </row>
    <row r="333" spans="1:12" ht="12" customHeight="1" outlineLevel="1" x14ac:dyDescent="0.25">
      <c r="A333" s="70" t="str">
        <f t="shared" si="177"/>
        <v>MRK</v>
      </c>
      <c r="B333" s="42" t="s">
        <v>356</v>
      </c>
      <c r="C333" s="46"/>
      <c r="D333" s="46"/>
      <c r="E333" s="72" t="str">
        <f t="shared" si="175"/>
        <v>EBIT Margin (%) (MRK)</v>
      </c>
      <c r="F333" s="47">
        <f>F332/F315</f>
        <v>0.11703971663275303</v>
      </c>
      <c r="G333" s="47">
        <f>G332/G315</f>
        <v>0.16252928567868002</v>
      </c>
      <c r="H333" s="47">
        <f>H332/H315</f>
        <v>0.20572658060244953</v>
      </c>
      <c r="I333" s="71"/>
      <c r="J333" s="47">
        <f t="shared" ref="J333" si="196">J332/J315</f>
        <v>0.18537242949841509</v>
      </c>
      <c r="K333" s="62"/>
      <c r="L333" s="67">
        <f t="shared" si="176"/>
        <v>0.10980139365443486</v>
      </c>
    </row>
    <row r="334" spans="1:12" ht="12" customHeight="1" outlineLevel="1" x14ac:dyDescent="0.25">
      <c r="A334" s="70" t="str">
        <f t="shared" si="177"/>
        <v>MRK</v>
      </c>
      <c r="B334" s="43" t="s">
        <v>357</v>
      </c>
      <c r="C334" s="44"/>
      <c r="D334" s="44"/>
      <c r="E334" s="74" t="str">
        <f t="shared" si="175"/>
        <v>Net Interest Expense (MRK)</v>
      </c>
      <c r="F334" s="45">
        <v>0</v>
      </c>
      <c r="G334" s="45">
        <v>0</v>
      </c>
      <c r="H334" s="45">
        <v>0</v>
      </c>
      <c r="I334" s="71"/>
      <c r="J334" s="45">
        <v>0</v>
      </c>
      <c r="K334" s="62"/>
      <c r="L334" s="67">
        <f t="shared" si="176"/>
        <v>0</v>
      </c>
    </row>
    <row r="335" spans="1:12" ht="12" customHeight="1" outlineLevel="1" x14ac:dyDescent="0.25">
      <c r="A335" s="70" t="str">
        <f t="shared" si="177"/>
        <v>MRK</v>
      </c>
      <c r="B335" s="42" t="s">
        <v>346</v>
      </c>
      <c r="C335" s="46"/>
      <c r="D335" s="46"/>
      <c r="E335" s="72" t="str">
        <f t="shared" si="175"/>
        <v>% Total Revenue (MRK)</v>
      </c>
      <c r="F335" s="47">
        <f>F334/F315</f>
        <v>0</v>
      </c>
      <c r="G335" s="47">
        <f>G334/G315</f>
        <v>0</v>
      </c>
      <c r="H335" s="47">
        <f>H334/H315</f>
        <v>0</v>
      </c>
      <c r="I335" s="71"/>
      <c r="J335" s="47">
        <f t="shared" ref="J335" si="197">J334/J315</f>
        <v>0</v>
      </c>
      <c r="K335" s="62"/>
      <c r="L335" s="67">
        <f t="shared" si="176"/>
        <v>0</v>
      </c>
    </row>
    <row r="336" spans="1:12" ht="12" customHeight="1" outlineLevel="1" x14ac:dyDescent="0.25">
      <c r="A336" s="70" t="str">
        <f t="shared" si="177"/>
        <v>MRK</v>
      </c>
      <c r="B336" s="43" t="s">
        <v>358</v>
      </c>
      <c r="C336" s="44"/>
      <c r="D336" s="44"/>
      <c r="E336" s="74" t="str">
        <f t="shared" si="175"/>
        <v>EBT (MRK)</v>
      </c>
      <c r="F336" s="54">
        <f>F332-F334</f>
        <v>4659</v>
      </c>
      <c r="G336" s="54">
        <f>G332-G334</f>
        <v>6521</v>
      </c>
      <c r="H336" s="54">
        <f>H332-H334</f>
        <v>8701</v>
      </c>
      <c r="I336" s="71"/>
      <c r="J336" s="54">
        <f t="shared" ref="J336" si="198">J332-J334</f>
        <v>7726.4527640616852</v>
      </c>
      <c r="K336" s="62"/>
      <c r="L336" s="67">
        <f t="shared" si="176"/>
        <v>0.12613126174423273</v>
      </c>
    </row>
    <row r="337" spans="1:12" ht="12" customHeight="1" outlineLevel="1" x14ac:dyDescent="0.25">
      <c r="A337" s="70" t="str">
        <f t="shared" si="177"/>
        <v>MRK</v>
      </c>
      <c r="B337" s="42" t="s">
        <v>359</v>
      </c>
      <c r="C337" s="46"/>
      <c r="D337" s="46"/>
      <c r="E337" s="72" t="str">
        <f t="shared" si="175"/>
        <v>EBT Margin (%) (MRK)</v>
      </c>
      <c r="F337" s="47">
        <f>F336/F315</f>
        <v>0.11703971663275303</v>
      </c>
      <c r="G337" s="47">
        <f>G336/G315</f>
        <v>0.16252928567868002</v>
      </c>
      <c r="H337" s="47">
        <f>H336/H315</f>
        <v>0.20572658060244953</v>
      </c>
      <c r="I337" s="71"/>
      <c r="J337" s="47">
        <f t="shared" ref="J337" si="199">J336/J315</f>
        <v>0.18537242949841509</v>
      </c>
      <c r="K337" s="62"/>
      <c r="L337" s="67">
        <f t="shared" si="176"/>
        <v>0.10980139365443486</v>
      </c>
    </row>
    <row r="338" spans="1:12" ht="12" customHeight="1" outlineLevel="1" x14ac:dyDescent="0.25">
      <c r="A338" s="70" t="str">
        <f t="shared" si="177"/>
        <v>MRK</v>
      </c>
      <c r="B338" s="42" t="s">
        <v>360</v>
      </c>
      <c r="C338" s="41"/>
      <c r="D338" s="41"/>
      <c r="E338" s="40" t="str">
        <f t="shared" si="175"/>
        <v>Income Tax Expense (MRK)</v>
      </c>
      <c r="F338" s="55">
        <f>F368</f>
        <v>718</v>
      </c>
      <c r="G338" s="55">
        <f t="shared" ref="G338:J338" si="200">G368</f>
        <v>4103</v>
      </c>
      <c r="H338" s="55">
        <f t="shared" si="200"/>
        <v>2508</v>
      </c>
      <c r="I338" s="71"/>
      <c r="J338" s="55">
        <f t="shared" si="200"/>
        <v>2088.6131910154213</v>
      </c>
      <c r="K338" s="62"/>
      <c r="L338" s="67">
        <f t="shared" si="176"/>
        <v>0.20079678266356504</v>
      </c>
    </row>
    <row r="339" spans="1:12" ht="12" customHeight="1" outlineLevel="1" x14ac:dyDescent="0.25">
      <c r="A339" s="70" t="str">
        <f t="shared" si="177"/>
        <v>MRK</v>
      </c>
      <c r="B339" s="42" t="s">
        <v>361</v>
      </c>
      <c r="C339" s="46"/>
      <c r="D339" s="46"/>
      <c r="E339" s="72" t="str">
        <f t="shared" si="175"/>
        <v>Effective Tax Rate (%) (MRK)</v>
      </c>
      <c r="F339" s="47">
        <f>F338/F336</f>
        <v>0.15411032410388495</v>
      </c>
      <c r="G339" s="47">
        <f>G338/G336</f>
        <v>0.62919797577058734</v>
      </c>
      <c r="H339" s="47">
        <f>H338/H336</f>
        <v>0.28824273072060685</v>
      </c>
      <c r="I339" s="71"/>
      <c r="J339" s="47">
        <f t="shared" ref="J339" si="201">J338/J336</f>
        <v>0.27031980325179228</v>
      </c>
      <c r="K339" s="62"/>
      <c r="L339" s="67">
        <f t="shared" si="176"/>
        <v>6.6302680207709574E-2</v>
      </c>
    </row>
    <row r="340" spans="1:12" ht="12" customHeight="1" outlineLevel="1" x14ac:dyDescent="0.25">
      <c r="A340" s="70" t="str">
        <f t="shared" si="177"/>
        <v>MRK</v>
      </c>
      <c r="B340" s="42" t="s">
        <v>362</v>
      </c>
      <c r="C340" s="41"/>
      <c r="D340" s="41"/>
      <c r="E340" s="40" t="str">
        <f t="shared" si="175"/>
        <v>Noncontrolling Interest (MRK)</v>
      </c>
      <c r="F340" s="52">
        <f>F370</f>
        <v>21</v>
      </c>
      <c r="G340" s="52">
        <f t="shared" ref="G340:J340" si="202">G370</f>
        <v>24</v>
      </c>
      <c r="H340" s="52">
        <f t="shared" si="202"/>
        <v>-27</v>
      </c>
      <c r="I340" s="71"/>
      <c r="J340" s="52">
        <f t="shared" si="202"/>
        <v>30.307760612246796</v>
      </c>
      <c r="K340" s="62"/>
      <c r="L340" s="67">
        <f t="shared" si="176"/>
        <v>-1.8908609364259599</v>
      </c>
    </row>
    <row r="341" spans="1:12" ht="12" customHeight="1" outlineLevel="1" thickBot="1" x14ac:dyDescent="0.3">
      <c r="A341" s="70" t="str">
        <f t="shared" si="177"/>
        <v>MRK</v>
      </c>
      <c r="B341" s="43" t="s">
        <v>170</v>
      </c>
      <c r="C341" s="44"/>
      <c r="D341" s="44"/>
      <c r="E341" s="74" t="str">
        <f t="shared" si="175"/>
        <v>Net Income (MRK)</v>
      </c>
      <c r="F341" s="56">
        <f>F336-SUM(F338,F340)</f>
        <v>3920</v>
      </c>
      <c r="G341" s="56">
        <f>G336-SUM(G338,G340)</f>
        <v>2394</v>
      </c>
      <c r="H341" s="56">
        <f>H336-SUM(H338,H340)</f>
        <v>6220</v>
      </c>
      <c r="I341" s="71"/>
      <c r="J341" s="56">
        <f t="shared" ref="J341" si="203">J336-SUM(J338,J340)</f>
        <v>5607.5318124340174</v>
      </c>
      <c r="K341" s="62"/>
      <c r="L341" s="67">
        <f t="shared" si="176"/>
        <v>0.10922241871332927</v>
      </c>
    </row>
    <row r="342" spans="1:12" ht="12" customHeight="1" outlineLevel="1" thickTop="1" x14ac:dyDescent="0.25">
      <c r="A342" s="70" t="str">
        <f t="shared" si="177"/>
        <v>MRK</v>
      </c>
      <c r="B342" s="42" t="s">
        <v>363</v>
      </c>
      <c r="C342" s="46"/>
      <c r="D342" s="46"/>
      <c r="E342" s="72" t="str">
        <f t="shared" si="175"/>
        <v>Net Profit Margin (%) (MRK)</v>
      </c>
      <c r="F342" s="47">
        <f>F341/F315</f>
        <v>9.8475142562865825E-2</v>
      </c>
      <c r="G342" s="47">
        <f>G341/G315</f>
        <v>5.9668012561686856E-2</v>
      </c>
      <c r="H342" s="47">
        <f>H341/H315</f>
        <v>0.14706577765167636</v>
      </c>
      <c r="I342" s="71"/>
      <c r="J342" s="47">
        <f t="shared" ref="J342" si="204">J341/J315</f>
        <v>0.13453544948796195</v>
      </c>
      <c r="K342" s="62"/>
      <c r="L342" s="67">
        <f t="shared" si="176"/>
        <v>9.3137743333853384E-2</v>
      </c>
    </row>
    <row r="343" spans="1:12" ht="12" customHeight="1" outlineLevel="1" x14ac:dyDescent="0.25">
      <c r="A343" s="70" t="str">
        <f t="shared" si="177"/>
        <v>MRK</v>
      </c>
      <c r="B343" s="42"/>
      <c r="C343" s="41"/>
      <c r="D343" s="41"/>
      <c r="E343" s="40" t="str">
        <f t="shared" si="175"/>
        <v xml:space="preserve"> (MRK)</v>
      </c>
      <c r="F343" s="41"/>
      <c r="G343" s="41"/>
      <c r="H343" s="41"/>
      <c r="I343" s="71"/>
      <c r="J343" s="41"/>
      <c r="K343" s="62"/>
      <c r="L343" s="67"/>
    </row>
    <row r="344" spans="1:12" ht="12" customHeight="1" outlineLevel="1" x14ac:dyDescent="0.25">
      <c r="A344" s="70" t="str">
        <f t="shared" si="177"/>
        <v>MRK</v>
      </c>
      <c r="B344" s="42"/>
      <c r="C344" s="41"/>
      <c r="D344" s="41"/>
      <c r="E344" s="40" t="str">
        <f t="shared" si="175"/>
        <v xml:space="preserve"> (MRK)</v>
      </c>
      <c r="F344" s="41"/>
      <c r="G344" s="41"/>
      <c r="H344" s="41"/>
      <c r="I344" s="71"/>
      <c r="J344" s="41"/>
      <c r="K344" s="62"/>
      <c r="L344" s="67"/>
    </row>
    <row r="345" spans="1:12" ht="12" customHeight="1" outlineLevel="1" x14ac:dyDescent="0.25">
      <c r="A345" s="70" t="str">
        <f t="shared" si="177"/>
        <v>MRK</v>
      </c>
      <c r="B345" s="42" t="s">
        <v>364</v>
      </c>
      <c r="C345" s="41"/>
      <c r="D345" s="41"/>
      <c r="E345" s="40" t="str">
        <f t="shared" si="175"/>
        <v>Earnings Per Share (MRK)</v>
      </c>
      <c r="F345" s="41"/>
      <c r="G345" s="41"/>
      <c r="H345" s="41"/>
      <c r="I345" s="71"/>
      <c r="J345" s="41"/>
      <c r="K345" s="62"/>
      <c r="L345" s="67"/>
    </row>
    <row r="346" spans="1:12" ht="12" customHeight="1" outlineLevel="1" x14ac:dyDescent="0.25">
      <c r="A346" s="70" t="str">
        <f t="shared" si="177"/>
        <v>MRK</v>
      </c>
      <c r="B346" s="42" t="s">
        <v>365</v>
      </c>
      <c r="C346" s="57"/>
      <c r="D346" s="57"/>
      <c r="E346" s="73" t="str">
        <f t="shared" si="175"/>
        <v>Basic (MRK)</v>
      </c>
      <c r="F346" s="58">
        <f>F372</f>
        <v>1.42</v>
      </c>
      <c r="G346" s="58">
        <f t="shared" ref="G346:H346" si="205">G372</f>
        <v>0.88</v>
      </c>
      <c r="H346" s="58">
        <f t="shared" si="205"/>
        <v>2.34</v>
      </c>
      <c r="I346" s="71"/>
      <c r="J346" s="58">
        <f t="shared" ref="J346" si="206">J372</f>
        <v>2.0946708836291448</v>
      </c>
      <c r="K346" s="62"/>
      <c r="L346" s="67">
        <f t="shared" si="176"/>
        <v>0.11712060271053537</v>
      </c>
    </row>
    <row r="347" spans="1:12" ht="12" customHeight="1" outlineLevel="1" x14ac:dyDescent="0.25">
      <c r="A347" s="70" t="str">
        <f t="shared" si="177"/>
        <v>MRK</v>
      </c>
      <c r="B347" s="42" t="s">
        <v>366</v>
      </c>
      <c r="C347" s="57"/>
      <c r="D347" s="57"/>
      <c r="E347" s="73" t="str">
        <f t="shared" si="175"/>
        <v>Diluted (MRK)</v>
      </c>
      <c r="F347" s="58">
        <f>F373</f>
        <v>1.41</v>
      </c>
      <c r="G347" s="58">
        <f t="shared" ref="G347:H347" si="207">G373</f>
        <v>0.87</v>
      </c>
      <c r="H347" s="58">
        <f t="shared" si="207"/>
        <v>2.3199999999999998</v>
      </c>
      <c r="I347" s="71"/>
      <c r="J347" s="58">
        <f t="shared" ref="J347" si="208">J373</f>
        <v>2.084670883629145</v>
      </c>
      <c r="K347" s="62"/>
      <c r="L347" s="67">
        <f t="shared" si="176"/>
        <v>0.11288550064131808</v>
      </c>
    </row>
    <row r="348" spans="1:12" ht="12" customHeight="1" outlineLevel="1" x14ac:dyDescent="0.25">
      <c r="A348" s="70" t="str">
        <f t="shared" si="177"/>
        <v>MRK</v>
      </c>
      <c r="B348" s="42"/>
      <c r="C348" s="41"/>
      <c r="D348" s="41"/>
      <c r="E348" s="40" t="str">
        <f t="shared" si="175"/>
        <v xml:space="preserve"> (MRK)</v>
      </c>
      <c r="F348" s="41"/>
      <c r="G348" s="41"/>
      <c r="H348" s="41"/>
      <c r="I348" s="71"/>
      <c r="J348" s="41"/>
      <c r="K348" s="62"/>
      <c r="L348" s="67"/>
    </row>
    <row r="349" spans="1:12" ht="12" customHeight="1" outlineLevel="1" x14ac:dyDescent="0.25">
      <c r="A349" s="70" t="str">
        <f t="shared" si="177"/>
        <v>MRK</v>
      </c>
      <c r="B349" s="42" t="s">
        <v>367</v>
      </c>
      <c r="C349" s="41"/>
      <c r="D349" s="41"/>
      <c r="E349" s="40" t="str">
        <f t="shared" si="175"/>
        <v>Avg. Common Shares Outstanding (MRK)</v>
      </c>
      <c r="F349" s="41"/>
      <c r="G349" s="41"/>
      <c r="H349" s="41"/>
      <c r="I349" s="71"/>
      <c r="J349" s="41"/>
      <c r="K349" s="62"/>
      <c r="L349" s="67"/>
    </row>
    <row r="350" spans="1:12" ht="12" customHeight="1" outlineLevel="1" x14ac:dyDescent="0.25">
      <c r="A350" s="70" t="str">
        <f t="shared" si="177"/>
        <v>MRK</v>
      </c>
      <c r="B350" s="42" t="s">
        <v>365</v>
      </c>
      <c r="C350" s="41"/>
      <c r="D350" s="41"/>
      <c r="E350" s="40" t="str">
        <f t="shared" si="175"/>
        <v>Basic (MRK)</v>
      </c>
      <c r="F350" s="53">
        <f>F341/F346</f>
        <v>2760.5633802816901</v>
      </c>
      <c r="G350" s="53">
        <f>G341/G346</f>
        <v>2720.4545454545455</v>
      </c>
      <c r="H350" s="53">
        <f>H341/H346</f>
        <v>2658.1196581196582</v>
      </c>
      <c r="I350" s="71"/>
      <c r="J350" s="53">
        <f t="shared" ref="J350" si="209">J341/J346</f>
        <v>2677.0467171046112</v>
      </c>
      <c r="K350" s="62"/>
      <c r="L350" s="67">
        <f t="shared" si="176"/>
        <v>-7.0701265181594142E-3</v>
      </c>
    </row>
    <row r="351" spans="1:12" ht="12" customHeight="1" outlineLevel="1" x14ac:dyDescent="0.25">
      <c r="A351" s="70" t="str">
        <f t="shared" si="177"/>
        <v>MRK</v>
      </c>
      <c r="B351" s="42" t="s">
        <v>366</v>
      </c>
      <c r="C351" s="41"/>
      <c r="D351" s="41"/>
      <c r="E351" s="40" t="str">
        <f t="shared" si="175"/>
        <v>Diluted (MRK)</v>
      </c>
      <c r="F351" s="53">
        <f>F341/F347</f>
        <v>2780.1418439716313</v>
      </c>
      <c r="G351" s="53">
        <f>G341/G347</f>
        <v>2751.7241379310344</v>
      </c>
      <c r="H351" s="53">
        <f>H341/H347</f>
        <v>2681.0344827586209</v>
      </c>
      <c r="I351" s="71"/>
      <c r="J351" s="53">
        <f t="shared" ref="J351" si="210">J341/J347</f>
        <v>2689.8882967425643</v>
      </c>
      <c r="K351" s="62"/>
      <c r="L351" s="67">
        <f t="shared" si="176"/>
        <v>-3.2915173446663726E-3</v>
      </c>
    </row>
    <row r="352" spans="1:12" ht="12" customHeight="1" outlineLevel="1" x14ac:dyDescent="0.25">
      <c r="B352" s="62"/>
      <c r="C352" s="62"/>
      <c r="D352" s="62"/>
      <c r="E352" s="62"/>
      <c r="F352" s="62"/>
      <c r="G352" s="62"/>
      <c r="H352" s="62"/>
      <c r="I352" s="15"/>
      <c r="J352" s="62"/>
      <c r="K352" s="62"/>
      <c r="L352" s="62"/>
    </row>
    <row r="353" spans="2:13" ht="12" customHeight="1" outlineLevel="1" x14ac:dyDescent="0.25">
      <c r="B353" s="63" t="s">
        <v>371</v>
      </c>
      <c r="C353" s="63"/>
      <c r="D353" s="63"/>
      <c r="E353" s="63"/>
      <c r="F353" s="63"/>
      <c r="G353" s="63"/>
      <c r="H353" s="63"/>
      <c r="I353" s="63"/>
      <c r="J353" s="63"/>
      <c r="K353" s="63"/>
      <c r="L353" s="64"/>
      <c r="M353" s="64"/>
    </row>
    <row r="354" spans="2:13" ht="12" hidden="1" customHeight="1" outlineLevel="2" x14ac:dyDescent="0.25">
      <c r="B354" s="1"/>
    </row>
    <row r="355" spans="2:13" ht="12" hidden="1" customHeight="1" outlineLevel="2" x14ac:dyDescent="0.25">
      <c r="B355" s="8" t="s">
        <v>163</v>
      </c>
    </row>
    <row r="356" spans="2:13" ht="12" hidden="1" customHeight="1" outlineLevel="2" x14ac:dyDescent="0.25">
      <c r="B356" s="8" t="s">
        <v>230</v>
      </c>
      <c r="F356" s="3" t="s">
        <v>4</v>
      </c>
      <c r="G356" s="3" t="s">
        <v>3</v>
      </c>
      <c r="H356" s="3" t="s">
        <v>2</v>
      </c>
      <c r="J356" s="14" t="s">
        <v>2</v>
      </c>
      <c r="L356" s="36">
        <f>MEDIAN(L358:L376)</f>
        <v>1.4714225611148102E-2</v>
      </c>
    </row>
    <row r="357" spans="2:13" ht="12" hidden="1" customHeight="1" outlineLevel="2" x14ac:dyDescent="0.25">
      <c r="B357" s="8" t="s">
        <v>5</v>
      </c>
      <c r="J357" s="15"/>
    </row>
    <row r="358" spans="2:13" ht="12" hidden="1" customHeight="1" outlineLevel="2" x14ac:dyDescent="0.25">
      <c r="B358" s="8" t="s">
        <v>164</v>
      </c>
      <c r="F358" s="3">
        <v>39807</v>
      </c>
      <c r="G358" s="3">
        <v>40122</v>
      </c>
      <c r="H358" s="3">
        <v>42294</v>
      </c>
      <c r="J358" s="14">
        <v>41680.700765308495</v>
      </c>
      <c r="L358" s="36">
        <f t="shared" ref="L358:L376" si="211">IF(ISERROR(H358/J358-1),0,(H358/J358-1))</f>
        <v>1.4714225611148102E-2</v>
      </c>
    </row>
    <row r="359" spans="2:13" ht="12" hidden="1" customHeight="1" outlineLevel="2" x14ac:dyDescent="0.25">
      <c r="B359" s="8" t="s">
        <v>165</v>
      </c>
      <c r="J359" s="15"/>
      <c r="L359" s="35"/>
    </row>
    <row r="360" spans="2:13" ht="12" hidden="1" customHeight="1" outlineLevel="2" x14ac:dyDescent="0.25">
      <c r="B360" s="8" t="s">
        <v>267</v>
      </c>
      <c r="F360" s="3">
        <v>14030</v>
      </c>
      <c r="G360" s="3">
        <v>12912</v>
      </c>
      <c r="H360" s="3">
        <v>13509</v>
      </c>
      <c r="J360" s="14">
        <v>13417.15952548649</v>
      </c>
      <c r="L360" s="36">
        <f t="shared" si="211"/>
        <v>6.8450013088876549E-3</v>
      </c>
    </row>
    <row r="361" spans="2:13" ht="12" hidden="1" customHeight="1" outlineLevel="2" x14ac:dyDescent="0.25">
      <c r="B361" s="8" t="s">
        <v>268</v>
      </c>
      <c r="F361" s="3">
        <v>10017</v>
      </c>
      <c r="G361" s="3">
        <v>10074</v>
      </c>
      <c r="H361" s="3">
        <v>10102</v>
      </c>
      <c r="J361" s="14">
        <v>9804.6695617624664</v>
      </c>
      <c r="L361" s="36">
        <f t="shared" si="211"/>
        <v>3.0325391015430192E-2</v>
      </c>
    </row>
    <row r="362" spans="2:13" ht="12" hidden="1" customHeight="1" outlineLevel="2" x14ac:dyDescent="0.25">
      <c r="B362" s="8" t="s">
        <v>45</v>
      </c>
      <c r="F362" s="3">
        <v>10261</v>
      </c>
      <c r="G362" s="3">
        <v>10339</v>
      </c>
      <c r="H362" s="3">
        <v>9752</v>
      </c>
      <c r="J362" s="14">
        <v>10583.263701752916</v>
      </c>
      <c r="L362" s="36">
        <f t="shared" si="211"/>
        <v>-7.8545118517195478E-2</v>
      </c>
    </row>
    <row r="363" spans="2:13" ht="12" hidden="1" customHeight="1" outlineLevel="2" x14ac:dyDescent="0.25">
      <c r="B363" s="8" t="s">
        <v>166</v>
      </c>
      <c r="F363" s="3">
        <v>651</v>
      </c>
      <c r="G363" s="3">
        <v>776</v>
      </c>
      <c r="H363" s="3">
        <v>632</v>
      </c>
      <c r="J363" s="14">
        <v>660.15521224493591</v>
      </c>
      <c r="L363" s="36">
        <f t="shared" si="211"/>
        <v>-4.2649382634109334E-2</v>
      </c>
    </row>
    <row r="364" spans="2:13" ht="12" hidden="1" customHeight="1" outlineLevel="2" x14ac:dyDescent="0.25">
      <c r="B364" s="8" t="s">
        <v>269</v>
      </c>
      <c r="F364" s="3">
        <v>0</v>
      </c>
      <c r="G364" s="3">
        <v>0</v>
      </c>
      <c r="H364" s="3">
        <v>0</v>
      </c>
      <c r="J364" s="14">
        <v>0</v>
      </c>
      <c r="L364" s="36">
        <f t="shared" si="211"/>
        <v>0</v>
      </c>
    </row>
    <row r="365" spans="2:13" ht="12" hidden="1" customHeight="1" outlineLevel="2" x14ac:dyDescent="0.25">
      <c r="B365" s="8" t="s">
        <v>119</v>
      </c>
      <c r="F365" s="6">
        <v>189</v>
      </c>
      <c r="G365" s="6">
        <v>-500</v>
      </c>
      <c r="H365" s="6">
        <v>-402</v>
      </c>
      <c r="J365" s="14">
        <v>-511</v>
      </c>
      <c r="L365" s="36">
        <f t="shared" si="211"/>
        <v>-0.21330724070450102</v>
      </c>
    </row>
    <row r="366" spans="2:13" ht="12" hidden="1" customHeight="1" outlineLevel="2" x14ac:dyDescent="0.25">
      <c r="B366" s="8" t="s">
        <v>167</v>
      </c>
      <c r="F366" s="9">
        <f>SUM(F360:F365)</f>
        <v>35148</v>
      </c>
      <c r="G366" s="9">
        <f t="shared" ref="G366:H366" si="212">SUM(G360:G365)</f>
        <v>33601</v>
      </c>
      <c r="H366" s="9">
        <f t="shared" si="212"/>
        <v>33593</v>
      </c>
      <c r="J366" s="17">
        <v>33954.248001246808</v>
      </c>
      <c r="L366" s="36">
        <f t="shared" si="211"/>
        <v>-1.0639257898850896E-2</v>
      </c>
    </row>
    <row r="367" spans="2:13" ht="12" hidden="1" customHeight="1" outlineLevel="2" x14ac:dyDescent="0.25">
      <c r="B367" s="8" t="s">
        <v>168</v>
      </c>
      <c r="F367" s="9">
        <f>F358-F366</f>
        <v>4659</v>
      </c>
      <c r="G367" s="9">
        <f t="shared" ref="G367:H367" si="213">G358-G366</f>
        <v>6521</v>
      </c>
      <c r="H367" s="9">
        <f t="shared" si="213"/>
        <v>8701</v>
      </c>
      <c r="J367" s="17">
        <v>7726.452764061687</v>
      </c>
      <c r="L367" s="36">
        <f t="shared" si="211"/>
        <v>0.1261312617442325</v>
      </c>
    </row>
    <row r="368" spans="2:13" ht="12" hidden="1" customHeight="1" outlineLevel="2" x14ac:dyDescent="0.25">
      <c r="B368" s="8" t="s">
        <v>169</v>
      </c>
      <c r="F368" s="6">
        <v>718</v>
      </c>
      <c r="G368" s="6">
        <v>4103</v>
      </c>
      <c r="H368" s="6">
        <v>2508</v>
      </c>
      <c r="J368" s="14">
        <v>2088.6131910154213</v>
      </c>
      <c r="L368" s="36">
        <f t="shared" si="211"/>
        <v>0.20079678266356504</v>
      </c>
    </row>
    <row r="369" spans="1:13" ht="12" hidden="1" customHeight="1" outlineLevel="2" thickBot="1" x14ac:dyDescent="0.3">
      <c r="B369" s="8" t="s">
        <v>170</v>
      </c>
      <c r="F369" s="10">
        <f>F367-F368</f>
        <v>3941</v>
      </c>
      <c r="G369" s="10">
        <f t="shared" ref="G369:H369" si="214">G367-G368</f>
        <v>2418</v>
      </c>
      <c r="H369" s="10">
        <f t="shared" si="214"/>
        <v>6193</v>
      </c>
      <c r="J369" s="19">
        <v>5637.8395730462653</v>
      </c>
      <c r="L369" s="36">
        <f t="shared" si="211"/>
        <v>9.8470419344296456E-2</v>
      </c>
    </row>
    <row r="370" spans="1:13" ht="12" hidden="1" customHeight="1" outlineLevel="2" thickTop="1" x14ac:dyDescent="0.25">
      <c r="B370" s="8" t="s">
        <v>270</v>
      </c>
      <c r="F370" s="2">
        <v>21</v>
      </c>
      <c r="G370" s="2">
        <v>24</v>
      </c>
      <c r="H370" s="2">
        <v>-27</v>
      </c>
      <c r="J370" s="14">
        <v>30.307760612246796</v>
      </c>
      <c r="L370" s="36">
        <f t="shared" si="211"/>
        <v>-1.8908609364259599</v>
      </c>
    </row>
    <row r="371" spans="1:13" ht="12" hidden="1" customHeight="1" outlineLevel="2" thickBot="1" x14ac:dyDescent="0.3">
      <c r="B371" s="8" t="s">
        <v>171</v>
      </c>
      <c r="F371" s="10">
        <f>F369-F370</f>
        <v>3920</v>
      </c>
      <c r="G371" s="10">
        <f t="shared" ref="G371:H371" si="215">G369-G370</f>
        <v>2394</v>
      </c>
      <c r="H371" s="10">
        <f t="shared" si="215"/>
        <v>6220</v>
      </c>
      <c r="J371" s="19">
        <v>5607.5318124340183</v>
      </c>
      <c r="L371" s="36">
        <f t="shared" si="211"/>
        <v>0.10922241871332905</v>
      </c>
    </row>
    <row r="372" spans="1:13" ht="12" hidden="1" customHeight="1" outlineLevel="2" thickTop="1" x14ac:dyDescent="0.25">
      <c r="B372" s="8" t="s">
        <v>172</v>
      </c>
      <c r="F372" s="11">
        <v>1.42</v>
      </c>
      <c r="G372" s="11">
        <v>0.88</v>
      </c>
      <c r="H372" s="11">
        <v>2.34</v>
      </c>
      <c r="J372" s="20">
        <v>2.0946708836291448</v>
      </c>
      <c r="L372" s="36">
        <f t="shared" si="211"/>
        <v>0.11712060271053537</v>
      </c>
    </row>
    <row r="373" spans="1:13" ht="12" hidden="1" customHeight="1" outlineLevel="2" x14ac:dyDescent="0.25">
      <c r="B373" s="8" t="s">
        <v>173</v>
      </c>
      <c r="F373" s="11">
        <v>1.41</v>
      </c>
      <c r="G373" s="11">
        <v>0.87</v>
      </c>
      <c r="H373" s="11">
        <v>2.3199999999999998</v>
      </c>
      <c r="J373" s="20">
        <v>2.084670883629145</v>
      </c>
      <c r="L373" s="36">
        <f t="shared" si="211"/>
        <v>0.11288550064131808</v>
      </c>
    </row>
    <row r="374" spans="1:13" ht="12" hidden="1" customHeight="1" outlineLevel="2" x14ac:dyDescent="0.25">
      <c r="J374" s="31"/>
      <c r="L374" s="35"/>
    </row>
    <row r="375" spans="1:13" ht="12" hidden="1" customHeight="1" outlineLevel="2" x14ac:dyDescent="0.25">
      <c r="B375" s="8" t="s">
        <v>24</v>
      </c>
      <c r="F375" s="3">
        <v>5471</v>
      </c>
      <c r="G375" s="3">
        <v>4676</v>
      </c>
      <c r="H375" s="3">
        <v>4519</v>
      </c>
      <c r="J375" s="14">
        <v>4503.4366689689396</v>
      </c>
      <c r="L375" s="36">
        <f t="shared" si="211"/>
        <v>3.4558787377427791E-3</v>
      </c>
    </row>
    <row r="376" spans="1:13" ht="12" hidden="1" customHeight="1" outlineLevel="2" x14ac:dyDescent="0.25">
      <c r="B376" s="8" t="s">
        <v>26</v>
      </c>
      <c r="F376" s="3">
        <v>-1614</v>
      </c>
      <c r="G376" s="3">
        <v>-1888</v>
      </c>
      <c r="H376" s="3">
        <v>-2615</v>
      </c>
      <c r="J376" s="14">
        <v>-2394.4223091566232</v>
      </c>
      <c r="L376" s="36">
        <f t="shared" si="211"/>
        <v>9.212146495622564E-2</v>
      </c>
    </row>
    <row r="377" spans="1:13" ht="12" customHeight="1" outlineLevel="1" collapsed="1" x14ac:dyDescent="0.25"/>
    <row r="378" spans="1:13" ht="12" customHeight="1" x14ac:dyDescent="0.25">
      <c r="B378" s="61" t="s">
        <v>376</v>
      </c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91" t="s">
        <v>31</v>
      </c>
    </row>
    <row r="379" spans="1:13" ht="12" customHeight="1" x14ac:dyDescent="0.25">
      <c r="B379" s="38"/>
      <c r="C379" s="15"/>
      <c r="D379" s="15"/>
      <c r="E379" s="15"/>
      <c r="F379" s="15"/>
      <c r="G379" s="15"/>
      <c r="H379" s="15"/>
      <c r="I379" s="15"/>
      <c r="J379" s="15"/>
      <c r="K379" s="62"/>
      <c r="L379" s="62"/>
    </row>
    <row r="380" spans="1:13" ht="12" customHeight="1" outlineLevel="1" x14ac:dyDescent="0.25">
      <c r="B380" s="85" t="s">
        <v>338</v>
      </c>
      <c r="C380" s="86"/>
      <c r="D380" s="86"/>
      <c r="E380" s="86"/>
      <c r="F380" s="65"/>
      <c r="G380" s="59" t="s">
        <v>369</v>
      </c>
      <c r="H380" s="59"/>
      <c r="I380" s="15"/>
      <c r="J380" s="82" t="s">
        <v>370</v>
      </c>
      <c r="K380" s="62"/>
      <c r="L380" s="68" t="s">
        <v>386</v>
      </c>
    </row>
    <row r="381" spans="1:13" ht="12" customHeight="1" outlineLevel="1" x14ac:dyDescent="0.25">
      <c r="B381" s="87"/>
      <c r="C381" s="88"/>
      <c r="D381" s="88"/>
      <c r="E381" s="88"/>
      <c r="F381" s="66"/>
      <c r="G381" s="83">
        <f>H381-1</f>
        <v>2018</v>
      </c>
      <c r="H381" s="83">
        <f>J381</f>
        <v>2019</v>
      </c>
      <c r="I381" s="15"/>
      <c r="J381" s="84">
        <v>2019</v>
      </c>
      <c r="K381" s="62"/>
      <c r="L381" s="68" t="s">
        <v>370</v>
      </c>
    </row>
    <row r="382" spans="1:13" ht="12" customHeight="1" outlineLevel="1" x14ac:dyDescent="0.25">
      <c r="B382" s="62"/>
      <c r="C382" s="62"/>
      <c r="D382" s="62"/>
      <c r="E382" s="62"/>
      <c r="F382" s="62"/>
      <c r="G382" s="40"/>
      <c r="H382" s="40"/>
      <c r="I382" s="15"/>
      <c r="J382" s="40"/>
      <c r="K382" s="62"/>
      <c r="L382" s="62"/>
    </row>
    <row r="383" spans="1:13" ht="12" customHeight="1" outlineLevel="1" x14ac:dyDescent="0.25">
      <c r="A383" s="70" t="str">
        <f>M378</f>
        <v>VAR</v>
      </c>
      <c r="B383" s="43" t="s">
        <v>340</v>
      </c>
      <c r="C383" s="44"/>
      <c r="D383" s="44"/>
      <c r="E383" s="74" t="str">
        <f>B383&amp;" ("&amp;A383&amp;")"</f>
        <v>Total Revenue (VAR)</v>
      </c>
      <c r="F383" s="44"/>
      <c r="G383" s="45">
        <f>G428</f>
        <v>678.5</v>
      </c>
      <c r="H383" s="45">
        <f>H428</f>
        <v>741</v>
      </c>
      <c r="I383" s="71"/>
      <c r="J383" s="45">
        <f>J428</f>
        <v>684.22869577863798</v>
      </c>
      <c r="K383" s="62"/>
      <c r="L383" s="67">
        <f>IF(ISERROR(H383/J383-1),0,(H383/J383-1))</f>
        <v>8.2971241299310661E-2</v>
      </c>
    </row>
    <row r="384" spans="1:13" ht="12" customHeight="1" outlineLevel="1" x14ac:dyDescent="0.25">
      <c r="A384" s="70" t="str">
        <f>A383</f>
        <v>VAR</v>
      </c>
      <c r="B384" s="42" t="s">
        <v>341</v>
      </c>
      <c r="C384" s="46"/>
      <c r="D384" s="46"/>
      <c r="E384" s="72" t="str">
        <f t="shared" ref="E384:E419" si="216">B384&amp;" ("&amp;A384&amp;")"</f>
        <v>% Growth (VAR)</v>
      </c>
      <c r="F384" s="46"/>
      <c r="G384" s="47" t="s">
        <v>342</v>
      </c>
      <c r="H384" s="47">
        <f>H383/G383-1</f>
        <v>9.2114959469417723E-2</v>
      </c>
      <c r="I384" s="71"/>
      <c r="J384" s="47">
        <f>J383/G383-1</f>
        <v>8.4431772713897679E-3</v>
      </c>
      <c r="K384" s="62"/>
      <c r="L384" s="67">
        <f t="shared" ref="L384:L419" si="217">IF(ISERROR(H384/J384-1),0,(H384/J384-1))</f>
        <v>9.9099876158652975</v>
      </c>
    </row>
    <row r="385" spans="1:12" ht="12" customHeight="1" outlineLevel="1" x14ac:dyDescent="0.25">
      <c r="A385" s="70" t="str">
        <f t="shared" ref="A385:A419" si="218">A384</f>
        <v>VAR</v>
      </c>
      <c r="B385" s="42" t="s">
        <v>343</v>
      </c>
      <c r="C385" s="41"/>
      <c r="D385" s="41"/>
      <c r="E385" s="40" t="str">
        <f t="shared" si="216"/>
        <v>COGS (VAR)</v>
      </c>
      <c r="F385" s="41"/>
      <c r="G385" s="48">
        <f>G432</f>
        <v>375.70000000000005</v>
      </c>
      <c r="H385" s="48">
        <f>H432</f>
        <v>424.90000000000003</v>
      </c>
      <c r="I385" s="71"/>
      <c r="J385" s="48">
        <f>J432</f>
        <v>383.78052704764059</v>
      </c>
      <c r="K385" s="62"/>
      <c r="L385" s="67">
        <f t="shared" si="217"/>
        <v>0.10714319788105109</v>
      </c>
    </row>
    <row r="386" spans="1:12" ht="12" customHeight="1" outlineLevel="1" x14ac:dyDescent="0.25">
      <c r="A386" s="70" t="str">
        <f t="shared" si="218"/>
        <v>VAR</v>
      </c>
      <c r="B386" s="42" t="s">
        <v>344</v>
      </c>
      <c r="C386" s="41"/>
      <c r="D386" s="41"/>
      <c r="E386" s="40" t="str">
        <f t="shared" si="216"/>
        <v>Total Depreciation &amp; Amortization (VAR)</v>
      </c>
      <c r="F386" s="41"/>
      <c r="G386" s="48">
        <f>G464</f>
        <v>12.8</v>
      </c>
      <c r="H386" s="48">
        <f>H464</f>
        <v>12.8</v>
      </c>
      <c r="I386" s="71"/>
      <c r="J386" s="48">
        <f>J464</f>
        <v>15.068075550615665</v>
      </c>
      <c r="K386" s="62"/>
      <c r="L386" s="67">
        <f t="shared" si="217"/>
        <v>-0.15052191256918623</v>
      </c>
    </row>
    <row r="387" spans="1:12" ht="12" customHeight="1" outlineLevel="1" x14ac:dyDescent="0.25">
      <c r="A387" s="70" t="str">
        <f t="shared" si="218"/>
        <v>VAR</v>
      </c>
      <c r="B387" s="42" t="s">
        <v>345</v>
      </c>
      <c r="C387" s="41"/>
      <c r="D387" s="41"/>
      <c r="E387" s="40" t="str">
        <f t="shared" si="216"/>
        <v>COGS (Exclusive of D&amp;A) (VAR)</v>
      </c>
      <c r="F387" s="41"/>
      <c r="G387" s="49">
        <f>G385-G386</f>
        <v>362.90000000000003</v>
      </c>
      <c r="H387" s="49">
        <f>H385-H386</f>
        <v>412.1</v>
      </c>
      <c r="I387" s="71"/>
      <c r="J387" s="49">
        <f t="shared" ref="J387" si="219">J385-J386</f>
        <v>368.71245149702492</v>
      </c>
      <c r="K387" s="62"/>
      <c r="L387" s="67">
        <f t="shared" si="217"/>
        <v>0.11767313071965835</v>
      </c>
    </row>
    <row r="388" spans="1:12" ht="12" customHeight="1" outlineLevel="1" x14ac:dyDescent="0.25">
      <c r="A388" s="70" t="str">
        <f t="shared" si="218"/>
        <v>VAR</v>
      </c>
      <c r="B388" s="42" t="s">
        <v>346</v>
      </c>
      <c r="C388" s="46"/>
      <c r="D388" s="46"/>
      <c r="E388" s="72" t="str">
        <f t="shared" si="216"/>
        <v>% Total Revenue (VAR)</v>
      </c>
      <c r="F388" s="46"/>
      <c r="G388" s="50">
        <f>G387/G383</f>
        <v>0.53485630066322776</v>
      </c>
      <c r="H388" s="50">
        <f>H387/H383</f>
        <v>0.55614035087719305</v>
      </c>
      <c r="I388" s="71"/>
      <c r="J388" s="50">
        <f t="shared" ref="J388" si="220">J387/J383</f>
        <v>0.53887311913663283</v>
      </c>
      <c r="K388" s="62"/>
      <c r="L388" s="67">
        <f t="shared" si="217"/>
        <v>3.2043223399647935E-2</v>
      </c>
    </row>
    <row r="389" spans="1:12" ht="12" customHeight="1" outlineLevel="1" x14ac:dyDescent="0.25">
      <c r="A389" s="70" t="str">
        <f t="shared" si="218"/>
        <v>VAR</v>
      </c>
      <c r="B389" s="43" t="s">
        <v>347</v>
      </c>
      <c r="C389" s="44"/>
      <c r="D389" s="44"/>
      <c r="E389" s="74" t="str">
        <f t="shared" si="216"/>
        <v>Gross Profit (VAR)</v>
      </c>
      <c r="F389" s="44"/>
      <c r="G389" s="51">
        <f>G383-G387</f>
        <v>315.59999999999997</v>
      </c>
      <c r="H389" s="51">
        <f>H383-H387</f>
        <v>328.9</v>
      </c>
      <c r="I389" s="71"/>
      <c r="J389" s="51">
        <f t="shared" ref="J389" si="221">J383-J387</f>
        <v>315.51624428161307</v>
      </c>
      <c r="K389" s="62"/>
      <c r="L389" s="67">
        <f t="shared" si="217"/>
        <v>4.2418594798058207E-2</v>
      </c>
    </row>
    <row r="390" spans="1:12" ht="12" customHeight="1" outlineLevel="1" x14ac:dyDescent="0.25">
      <c r="A390" s="70" t="str">
        <f t="shared" si="218"/>
        <v>VAR</v>
      </c>
      <c r="B390" s="42" t="s">
        <v>348</v>
      </c>
      <c r="C390" s="46"/>
      <c r="D390" s="46"/>
      <c r="E390" s="72" t="str">
        <f t="shared" si="216"/>
        <v>Gross Profit Margin (%) (VAR)</v>
      </c>
      <c r="F390" s="46"/>
      <c r="G390" s="47">
        <f>G389/G383</f>
        <v>0.46514369933677224</v>
      </c>
      <c r="H390" s="47">
        <f>H389/H383</f>
        <v>0.44385964912280701</v>
      </c>
      <c r="I390" s="71"/>
      <c r="J390" s="47">
        <f t="shared" ref="J390" si="222">J389/J383</f>
        <v>0.46112688086336712</v>
      </c>
      <c r="K390" s="62"/>
      <c r="L390" s="67">
        <f t="shared" si="217"/>
        <v>-3.7445727970207843E-2</v>
      </c>
    </row>
    <row r="391" spans="1:12" ht="12" customHeight="1" outlineLevel="1" x14ac:dyDescent="0.25">
      <c r="A391" s="70" t="str">
        <f t="shared" si="218"/>
        <v>VAR</v>
      </c>
      <c r="B391" s="42" t="s">
        <v>349</v>
      </c>
      <c r="C391" s="41"/>
      <c r="D391" s="41"/>
      <c r="E391" s="40" t="str">
        <f t="shared" si="216"/>
        <v>Operating expenses (VAR)</v>
      </c>
      <c r="F391" s="41"/>
      <c r="G391" s="48">
        <f>SUM(G435,G436)</f>
        <v>181.2</v>
      </c>
      <c r="H391" s="48">
        <f>SUM(H435,H436)</f>
        <v>204.4</v>
      </c>
      <c r="I391" s="71"/>
      <c r="J391" s="48">
        <f>SUM(J435,J436)</f>
        <v>204.88058943338817</v>
      </c>
      <c r="K391" s="62"/>
      <c r="L391" s="67">
        <f t="shared" si="217"/>
        <v>-2.3457050505236721E-3</v>
      </c>
    </row>
    <row r="392" spans="1:12" ht="12" customHeight="1" outlineLevel="1" x14ac:dyDescent="0.25">
      <c r="A392" s="70" t="str">
        <f t="shared" si="218"/>
        <v>VAR</v>
      </c>
      <c r="B392" s="42" t="s">
        <v>346</v>
      </c>
      <c r="C392" s="46"/>
      <c r="D392" s="46"/>
      <c r="E392" s="72" t="str">
        <f t="shared" si="216"/>
        <v>% Total Revenue (VAR)</v>
      </c>
      <c r="F392" s="46"/>
      <c r="G392" s="50">
        <f>G391/G383</f>
        <v>0.26705969049373618</v>
      </c>
      <c r="H392" s="50">
        <f>H391/H383</f>
        <v>0.27584345479082323</v>
      </c>
      <c r="I392" s="71"/>
      <c r="J392" s="50">
        <f t="shared" ref="J392" si="223">J391/J383</f>
        <v>0.29943290992821975</v>
      </c>
      <c r="K392" s="62"/>
      <c r="L392" s="67">
        <f t="shared" si="217"/>
        <v>-7.8780435801299897E-2</v>
      </c>
    </row>
    <row r="393" spans="1:12" ht="12" customHeight="1" outlineLevel="1" x14ac:dyDescent="0.25">
      <c r="A393" s="70" t="str">
        <f t="shared" si="218"/>
        <v>VAR</v>
      </c>
      <c r="B393" s="43" t="s">
        <v>350</v>
      </c>
      <c r="C393" s="44"/>
      <c r="D393" s="44"/>
      <c r="E393" s="74" t="str">
        <f t="shared" si="216"/>
        <v>Operating Profit (VAR)</v>
      </c>
      <c r="F393" s="44"/>
      <c r="G393" s="51">
        <f>G389-G391</f>
        <v>134.39999999999998</v>
      </c>
      <c r="H393" s="51">
        <f>H389-H391</f>
        <v>124.49999999999997</v>
      </c>
      <c r="I393" s="71"/>
      <c r="J393" s="51">
        <f t="shared" ref="J393" si="224">J389-J391</f>
        <v>110.6356548482249</v>
      </c>
      <c r="K393" s="62"/>
      <c r="L393" s="67">
        <f t="shared" si="217"/>
        <v>0.12531534405246503</v>
      </c>
    </row>
    <row r="394" spans="1:12" ht="12" customHeight="1" outlineLevel="1" x14ac:dyDescent="0.25">
      <c r="A394" s="70" t="str">
        <f t="shared" si="218"/>
        <v>VAR</v>
      </c>
      <c r="B394" s="42" t="s">
        <v>351</v>
      </c>
      <c r="C394" s="46"/>
      <c r="D394" s="46"/>
      <c r="E394" s="72" t="str">
        <f t="shared" si="216"/>
        <v>Operating Profit Margin (%) (VAR)</v>
      </c>
      <c r="F394" s="46"/>
      <c r="G394" s="47">
        <f>G393/G383</f>
        <v>0.19808400884303606</v>
      </c>
      <c r="H394" s="47">
        <f>H393/H383</f>
        <v>0.16801619433198375</v>
      </c>
      <c r="I394" s="71"/>
      <c r="J394" s="47">
        <f t="shared" ref="J394" si="225">J393/J383</f>
        <v>0.1616939709351474</v>
      </c>
      <c r="K394" s="62"/>
      <c r="L394" s="67">
        <f t="shared" si="217"/>
        <v>3.9099932794476766E-2</v>
      </c>
    </row>
    <row r="395" spans="1:12" ht="12" customHeight="1" outlineLevel="1" x14ac:dyDescent="0.25">
      <c r="A395" s="70" t="str">
        <f t="shared" si="218"/>
        <v>VAR</v>
      </c>
      <c r="B395" s="42" t="s">
        <v>352</v>
      </c>
      <c r="C395" s="41"/>
      <c r="D395" s="41"/>
      <c r="E395" s="40" t="str">
        <f t="shared" si="216"/>
        <v>Total Other Expenses / (Income) (VAR)</v>
      </c>
      <c r="F395" s="41"/>
      <c r="G395" s="52">
        <f>SUM(G437,G438,G439,G440,-G448)</f>
        <v>0</v>
      </c>
      <c r="H395" s="52">
        <f>SUM(H437,H438,H439,H440,-H448)</f>
        <v>0</v>
      </c>
      <c r="I395" s="71"/>
      <c r="J395" s="52">
        <f>SUM(J437,J438,J439,J440,-J448)</f>
        <v>0</v>
      </c>
      <c r="K395" s="62"/>
      <c r="L395" s="67">
        <f t="shared" si="217"/>
        <v>0</v>
      </c>
    </row>
    <row r="396" spans="1:12" ht="12" customHeight="1" outlineLevel="1" x14ac:dyDescent="0.25">
      <c r="A396" s="70" t="str">
        <f t="shared" si="218"/>
        <v>VAR</v>
      </c>
      <c r="B396" s="43" t="s">
        <v>353</v>
      </c>
      <c r="C396" s="44"/>
      <c r="D396" s="44"/>
      <c r="E396" s="74" t="str">
        <f t="shared" si="216"/>
        <v>EBITDA (VAR)</v>
      </c>
      <c r="F396" s="44"/>
      <c r="G396" s="51">
        <f>G393-G395</f>
        <v>134.39999999999998</v>
      </c>
      <c r="H396" s="51">
        <f>H393-H395</f>
        <v>124.49999999999997</v>
      </c>
      <c r="I396" s="71"/>
      <c r="J396" s="51">
        <f t="shared" ref="J396" si="226">J393-J395</f>
        <v>110.6356548482249</v>
      </c>
      <c r="K396" s="62"/>
      <c r="L396" s="67">
        <f t="shared" si="217"/>
        <v>0.12531534405246503</v>
      </c>
    </row>
    <row r="397" spans="1:12" ht="12" customHeight="1" outlineLevel="1" x14ac:dyDescent="0.25">
      <c r="A397" s="70" t="str">
        <f t="shared" si="218"/>
        <v>VAR</v>
      </c>
      <c r="B397" s="42" t="s">
        <v>354</v>
      </c>
      <c r="C397" s="46"/>
      <c r="D397" s="46"/>
      <c r="E397" s="72" t="str">
        <f t="shared" si="216"/>
        <v>EBITDA Margin (%) (VAR)</v>
      </c>
      <c r="F397" s="46"/>
      <c r="G397" s="47">
        <f>G396/G383</f>
        <v>0.19808400884303606</v>
      </c>
      <c r="H397" s="47">
        <f>H396/H383</f>
        <v>0.16801619433198375</v>
      </c>
      <c r="I397" s="71"/>
      <c r="J397" s="47">
        <f t="shared" ref="J397" si="227">J396/J383</f>
        <v>0.1616939709351474</v>
      </c>
      <c r="K397" s="62"/>
      <c r="L397" s="67">
        <f t="shared" si="217"/>
        <v>3.9099932794476766E-2</v>
      </c>
    </row>
    <row r="398" spans="1:12" ht="12" customHeight="1" outlineLevel="1" x14ac:dyDescent="0.25">
      <c r="A398" s="70" t="str">
        <f t="shared" si="218"/>
        <v>VAR</v>
      </c>
      <c r="B398" s="42" t="s">
        <v>344</v>
      </c>
      <c r="C398" s="53"/>
      <c r="D398" s="53"/>
      <c r="E398" s="40" t="str">
        <f t="shared" si="216"/>
        <v>Total Depreciation &amp; Amortization (VAR)</v>
      </c>
      <c r="F398" s="53"/>
      <c r="G398" s="49">
        <f>G386</f>
        <v>12.8</v>
      </c>
      <c r="H398" s="49">
        <f>H386</f>
        <v>12.8</v>
      </c>
      <c r="I398" s="71"/>
      <c r="J398" s="49">
        <f t="shared" ref="J398" si="228">J386</f>
        <v>15.068075550615665</v>
      </c>
      <c r="K398" s="62"/>
      <c r="L398" s="67">
        <f t="shared" si="217"/>
        <v>-0.15052191256918623</v>
      </c>
    </row>
    <row r="399" spans="1:12" ht="12" customHeight="1" outlineLevel="1" x14ac:dyDescent="0.25">
      <c r="A399" s="70" t="str">
        <f t="shared" si="218"/>
        <v>VAR</v>
      </c>
      <c r="B399" s="42" t="s">
        <v>346</v>
      </c>
      <c r="C399" s="46"/>
      <c r="D399" s="46"/>
      <c r="E399" s="72" t="str">
        <f t="shared" si="216"/>
        <v>% Total Revenue (VAR)</v>
      </c>
      <c r="F399" s="46"/>
      <c r="G399" s="47">
        <f>G398/G383</f>
        <v>1.8865143699336773E-2</v>
      </c>
      <c r="H399" s="47">
        <f>H398/H383</f>
        <v>1.7273954116059378E-2</v>
      </c>
      <c r="I399" s="71"/>
      <c r="J399" s="47">
        <f t="shared" ref="J399" si="229">J398/J383</f>
        <v>2.2021987156601947E-2</v>
      </c>
      <c r="K399" s="62"/>
      <c r="L399" s="67">
        <f t="shared" si="217"/>
        <v>-0.21560420532345836</v>
      </c>
    </row>
    <row r="400" spans="1:12" ht="12" customHeight="1" outlineLevel="1" x14ac:dyDescent="0.25">
      <c r="A400" s="70" t="str">
        <f t="shared" si="218"/>
        <v>VAR</v>
      </c>
      <c r="B400" s="43" t="s">
        <v>355</v>
      </c>
      <c r="C400" s="44"/>
      <c r="D400" s="44"/>
      <c r="E400" s="74" t="str">
        <f t="shared" si="216"/>
        <v>EBIT (VAR)</v>
      </c>
      <c r="F400" s="44"/>
      <c r="G400" s="54">
        <f>G396-G398</f>
        <v>121.59999999999998</v>
      </c>
      <c r="H400" s="54">
        <f>H396-H398</f>
        <v>111.69999999999997</v>
      </c>
      <c r="I400" s="71"/>
      <c r="J400" s="54">
        <f t="shared" ref="J400" si="230">J396-J398</f>
        <v>95.567579297609242</v>
      </c>
      <c r="K400" s="62"/>
      <c r="L400" s="67">
        <f t="shared" si="217"/>
        <v>0.16880641762571358</v>
      </c>
    </row>
    <row r="401" spans="1:12" ht="12" customHeight="1" outlineLevel="1" x14ac:dyDescent="0.25">
      <c r="A401" s="70" t="str">
        <f t="shared" si="218"/>
        <v>VAR</v>
      </c>
      <c r="B401" s="42" t="s">
        <v>356</v>
      </c>
      <c r="C401" s="46"/>
      <c r="D401" s="46"/>
      <c r="E401" s="72" t="str">
        <f t="shared" si="216"/>
        <v>EBIT Margin (%) (VAR)</v>
      </c>
      <c r="F401" s="46"/>
      <c r="G401" s="47">
        <f>G400/G383</f>
        <v>0.17921886514369931</v>
      </c>
      <c r="H401" s="47">
        <f>H400/H383</f>
        <v>0.15074224021592439</v>
      </c>
      <c r="I401" s="71"/>
      <c r="J401" s="47">
        <f t="shared" ref="J401" si="231">J400/J383</f>
        <v>0.13967198377854545</v>
      </c>
      <c r="K401" s="62"/>
      <c r="L401" s="67">
        <f t="shared" si="217"/>
        <v>7.9258961875498191E-2</v>
      </c>
    </row>
    <row r="402" spans="1:12" ht="12" customHeight="1" outlineLevel="1" x14ac:dyDescent="0.25">
      <c r="A402" s="70" t="str">
        <f t="shared" si="218"/>
        <v>VAR</v>
      </c>
      <c r="B402" s="43" t="s">
        <v>357</v>
      </c>
      <c r="C402" s="44"/>
      <c r="D402" s="44"/>
      <c r="E402" s="74" t="str">
        <f t="shared" si="216"/>
        <v>Net Interest Expense (VAR)</v>
      </c>
      <c r="F402" s="44"/>
      <c r="G402" s="45">
        <f>-SUM(G443,G444)</f>
        <v>-0.89999999999999991</v>
      </c>
      <c r="H402" s="45">
        <f>-SUM(H443,H444)</f>
        <v>-25.7</v>
      </c>
      <c r="I402" s="71"/>
      <c r="J402" s="45">
        <f>-SUM(J443,J444)</f>
        <v>1.3562535558775171</v>
      </c>
      <c r="K402" s="62"/>
      <c r="L402" s="67">
        <f t="shared" si="217"/>
        <v>-19.949259073736918</v>
      </c>
    </row>
    <row r="403" spans="1:12" ht="12" customHeight="1" outlineLevel="1" x14ac:dyDescent="0.25">
      <c r="A403" s="70" t="str">
        <f t="shared" si="218"/>
        <v>VAR</v>
      </c>
      <c r="B403" s="42" t="s">
        <v>346</v>
      </c>
      <c r="C403" s="46"/>
      <c r="D403" s="46"/>
      <c r="E403" s="72" t="str">
        <f t="shared" si="216"/>
        <v>% Total Revenue (VAR)</v>
      </c>
      <c r="F403" s="46"/>
      <c r="G403" s="47">
        <f>G402/G383</f>
        <v>-1.3264554163596167E-3</v>
      </c>
      <c r="H403" s="47">
        <f>H402/H383</f>
        <v>-3.4682860998650471E-2</v>
      </c>
      <c r="I403" s="71"/>
      <c r="J403" s="47">
        <f t="shared" ref="J403" si="232">J402/J383</f>
        <v>1.9821640984146812E-3</v>
      </c>
      <c r="K403" s="62"/>
      <c r="L403" s="67">
        <f t="shared" si="217"/>
        <v>-18.497472094459557</v>
      </c>
    </row>
    <row r="404" spans="1:12" ht="12" customHeight="1" outlineLevel="1" x14ac:dyDescent="0.25">
      <c r="A404" s="70" t="str">
        <f t="shared" si="218"/>
        <v>VAR</v>
      </c>
      <c r="B404" s="43" t="s">
        <v>358</v>
      </c>
      <c r="C404" s="44"/>
      <c r="D404" s="44"/>
      <c r="E404" s="74" t="str">
        <f t="shared" si="216"/>
        <v>EBT (VAR)</v>
      </c>
      <c r="F404" s="44"/>
      <c r="G404" s="54">
        <f>G400-G402</f>
        <v>122.49999999999999</v>
      </c>
      <c r="H404" s="54">
        <f>H400-H402</f>
        <v>137.39999999999998</v>
      </c>
      <c r="I404" s="71"/>
      <c r="J404" s="54">
        <f t="shared" ref="J404" si="233">J400-J402</f>
        <v>94.211325741731727</v>
      </c>
      <c r="K404" s="62"/>
      <c r="L404" s="67">
        <f t="shared" si="217"/>
        <v>0.45842337869933458</v>
      </c>
    </row>
    <row r="405" spans="1:12" ht="12" customHeight="1" outlineLevel="1" x14ac:dyDescent="0.25">
      <c r="A405" s="70" t="str">
        <f t="shared" si="218"/>
        <v>VAR</v>
      </c>
      <c r="B405" s="42" t="s">
        <v>359</v>
      </c>
      <c r="C405" s="46"/>
      <c r="D405" s="46"/>
      <c r="E405" s="72" t="str">
        <f t="shared" si="216"/>
        <v>EBT Margin (%) (VAR)</v>
      </c>
      <c r="F405" s="46"/>
      <c r="G405" s="47">
        <f>G404/G383</f>
        <v>0.18054532056005893</v>
      </c>
      <c r="H405" s="47">
        <f>H404/H383</f>
        <v>0.18542510121457487</v>
      </c>
      <c r="I405" s="71"/>
      <c r="J405" s="47">
        <f t="shared" ref="J405" si="234">J404/J383</f>
        <v>0.13768981968013078</v>
      </c>
      <c r="K405" s="62"/>
      <c r="L405" s="67">
        <f t="shared" si="217"/>
        <v>0.34668708002769288</v>
      </c>
    </row>
    <row r="406" spans="1:12" ht="12" customHeight="1" outlineLevel="1" x14ac:dyDescent="0.25">
      <c r="A406" s="70" t="str">
        <f t="shared" si="218"/>
        <v>VAR</v>
      </c>
      <c r="B406" s="42" t="s">
        <v>360</v>
      </c>
      <c r="C406" s="41"/>
      <c r="D406" s="41"/>
      <c r="E406" s="40" t="str">
        <f t="shared" si="216"/>
        <v>Income Tax Expense (VAR)</v>
      </c>
      <c r="F406" s="41"/>
      <c r="G406" s="55">
        <f>G446</f>
        <v>234.7</v>
      </c>
      <c r="H406" s="55">
        <f>H446</f>
        <v>33.5</v>
      </c>
      <c r="I406" s="71"/>
      <c r="J406" s="55">
        <f>J446</f>
        <v>24.831561120242032</v>
      </c>
      <c r="K406" s="62"/>
      <c r="L406" s="67">
        <f t="shared" si="217"/>
        <v>0.34908956540358971</v>
      </c>
    </row>
    <row r="407" spans="1:12" ht="12" customHeight="1" outlineLevel="1" x14ac:dyDescent="0.25">
      <c r="A407" s="70" t="str">
        <f t="shared" si="218"/>
        <v>VAR</v>
      </c>
      <c r="B407" s="42" t="s">
        <v>361</v>
      </c>
      <c r="C407" s="46"/>
      <c r="D407" s="46"/>
      <c r="E407" s="72" t="str">
        <f t="shared" si="216"/>
        <v>Effective Tax Rate (%) (VAR)</v>
      </c>
      <c r="F407" s="46"/>
      <c r="G407" s="47">
        <f>G406/G404</f>
        <v>1.9159183673469389</v>
      </c>
      <c r="H407" s="47">
        <f>H406/H404</f>
        <v>0.24381368267831155</v>
      </c>
      <c r="I407" s="71"/>
      <c r="J407" s="47">
        <f t="shared" ref="J407" si="235">J406/J404</f>
        <v>0.2635729932122447</v>
      </c>
      <c r="K407" s="62"/>
      <c r="L407" s="67">
        <f t="shared" si="217"/>
        <v>-7.4967128813617778E-2</v>
      </c>
    </row>
    <row r="408" spans="1:12" ht="12" customHeight="1" outlineLevel="1" x14ac:dyDescent="0.25">
      <c r="A408" s="70" t="str">
        <f t="shared" si="218"/>
        <v>VAR</v>
      </c>
      <c r="B408" s="42" t="s">
        <v>362</v>
      </c>
      <c r="C408" s="41"/>
      <c r="D408" s="41"/>
      <c r="E408" s="40" t="str">
        <f t="shared" si="216"/>
        <v>Noncontrolling Interest (VAR)</v>
      </c>
      <c r="F408" s="41"/>
      <c r="G408" s="52">
        <f>G450</f>
        <v>0.1</v>
      </c>
      <c r="H408" s="52">
        <f>H450</f>
        <v>0.7</v>
      </c>
      <c r="I408" s="71"/>
      <c r="J408" s="52">
        <f>J450</f>
        <v>0.1</v>
      </c>
      <c r="K408" s="62"/>
      <c r="L408" s="67">
        <f t="shared" si="217"/>
        <v>5.9999999999999991</v>
      </c>
    </row>
    <row r="409" spans="1:12" ht="12" customHeight="1" outlineLevel="1" thickBot="1" x14ac:dyDescent="0.3">
      <c r="A409" s="70" t="str">
        <f t="shared" si="218"/>
        <v>VAR</v>
      </c>
      <c r="B409" s="43" t="s">
        <v>170</v>
      </c>
      <c r="C409" s="44"/>
      <c r="D409" s="44"/>
      <c r="E409" s="74" t="str">
        <f t="shared" si="216"/>
        <v>Net Income (VAR)</v>
      </c>
      <c r="F409" s="44"/>
      <c r="G409" s="56">
        <f>G404-SUM(G406,G408)</f>
        <v>-112.3</v>
      </c>
      <c r="H409" s="56">
        <f>H404-SUM(H406,H408)</f>
        <v>103.19999999999997</v>
      </c>
      <c r="I409" s="71"/>
      <c r="J409" s="56">
        <f t="shared" ref="J409" si="236">J404-SUM(J406,J408)</f>
        <v>69.27976462148969</v>
      </c>
      <c r="K409" s="62"/>
      <c r="L409" s="67">
        <f t="shared" si="217"/>
        <v>0.48961245125230501</v>
      </c>
    </row>
    <row r="410" spans="1:12" ht="12" customHeight="1" outlineLevel="1" thickTop="1" x14ac:dyDescent="0.25">
      <c r="A410" s="70" t="str">
        <f t="shared" si="218"/>
        <v>VAR</v>
      </c>
      <c r="B410" s="42" t="s">
        <v>363</v>
      </c>
      <c r="C410" s="46"/>
      <c r="D410" s="46"/>
      <c r="E410" s="72" t="str">
        <f t="shared" si="216"/>
        <v>Net Profit Margin (%) (VAR)</v>
      </c>
      <c r="F410" s="46"/>
      <c r="G410" s="47">
        <f>G409/G383</f>
        <v>-0.16551215917464995</v>
      </c>
      <c r="H410" s="47">
        <f>H409/H383</f>
        <v>0.13927125506072871</v>
      </c>
      <c r="I410" s="71"/>
      <c r="J410" s="47">
        <f t="shared" ref="J410" si="237">J409/J383</f>
        <v>0.10125235180709684</v>
      </c>
      <c r="K410" s="62"/>
      <c r="L410" s="67">
        <f t="shared" si="217"/>
        <v>0.37548661907690239</v>
      </c>
    </row>
    <row r="411" spans="1:12" ht="12" customHeight="1" outlineLevel="1" x14ac:dyDescent="0.25">
      <c r="A411" s="70" t="str">
        <f t="shared" si="218"/>
        <v>VAR</v>
      </c>
      <c r="B411" s="42"/>
      <c r="C411" s="41"/>
      <c r="D411" s="41"/>
      <c r="E411" s="40" t="str">
        <f t="shared" si="216"/>
        <v xml:space="preserve"> (VAR)</v>
      </c>
      <c r="F411" s="41"/>
      <c r="G411" s="41"/>
      <c r="H411" s="41"/>
      <c r="I411" s="71"/>
      <c r="J411" s="41"/>
      <c r="K411" s="62"/>
      <c r="L411" s="67"/>
    </row>
    <row r="412" spans="1:12" ht="12" customHeight="1" outlineLevel="1" x14ac:dyDescent="0.25">
      <c r="A412" s="70" t="str">
        <f t="shared" si="218"/>
        <v>VAR</v>
      </c>
      <c r="B412" s="42"/>
      <c r="C412" s="41"/>
      <c r="D412" s="41"/>
      <c r="E412" s="40" t="str">
        <f t="shared" si="216"/>
        <v xml:space="preserve"> (VAR)</v>
      </c>
      <c r="F412" s="41"/>
      <c r="G412" s="41">
        <f>G409-G451</f>
        <v>0</v>
      </c>
      <c r="H412" s="41">
        <f>H409-H451</f>
        <v>0</v>
      </c>
      <c r="I412" s="71"/>
      <c r="J412" s="41">
        <f>J409-J451</f>
        <v>0</v>
      </c>
      <c r="K412" s="62"/>
      <c r="L412" s="67"/>
    </row>
    <row r="413" spans="1:12" ht="12" customHeight="1" outlineLevel="1" x14ac:dyDescent="0.25">
      <c r="A413" s="70" t="str">
        <f t="shared" si="218"/>
        <v>VAR</v>
      </c>
      <c r="B413" s="42" t="s">
        <v>364</v>
      </c>
      <c r="C413" s="41"/>
      <c r="D413" s="41"/>
      <c r="E413" s="40" t="str">
        <f t="shared" si="216"/>
        <v>Earnings Per Share (VAR)</v>
      </c>
      <c r="F413" s="41"/>
      <c r="G413" s="41"/>
      <c r="H413" s="41"/>
      <c r="I413" s="71"/>
      <c r="J413" s="41"/>
      <c r="K413" s="62"/>
      <c r="L413" s="67"/>
    </row>
    <row r="414" spans="1:12" ht="12" customHeight="1" outlineLevel="1" x14ac:dyDescent="0.25">
      <c r="A414" s="70" t="str">
        <f t="shared" si="218"/>
        <v>VAR</v>
      </c>
      <c r="B414" s="42" t="s">
        <v>365</v>
      </c>
      <c r="C414" s="57"/>
      <c r="D414" s="57"/>
      <c r="E414" s="73" t="str">
        <f t="shared" si="216"/>
        <v>Basic (VAR)</v>
      </c>
      <c r="F414" s="57"/>
      <c r="G414" s="58">
        <f>G455</f>
        <v>-1.22</v>
      </c>
      <c r="H414" s="58">
        <f>H455</f>
        <v>1.1299999999999999</v>
      </c>
      <c r="I414" s="71"/>
      <c r="J414" s="58">
        <f>J455</f>
        <v>0.75715589750261958</v>
      </c>
      <c r="K414" s="62"/>
      <c r="L414" s="67">
        <f t="shared" si="217"/>
        <v>0.49242712594217153</v>
      </c>
    </row>
    <row r="415" spans="1:12" ht="12" customHeight="1" outlineLevel="1" x14ac:dyDescent="0.25">
      <c r="A415" s="70" t="str">
        <f t="shared" si="218"/>
        <v>VAR</v>
      </c>
      <c r="B415" s="42" t="s">
        <v>366</v>
      </c>
      <c r="C415" s="57"/>
      <c r="D415" s="57"/>
      <c r="E415" s="73" t="str">
        <f t="shared" si="216"/>
        <v>Diluted (VAR)</v>
      </c>
      <c r="F415" s="57"/>
      <c r="G415" s="58">
        <f>G459</f>
        <v>-1.22</v>
      </c>
      <c r="H415" s="58">
        <f>H459</f>
        <v>1.1200000000000001</v>
      </c>
      <c r="I415" s="71"/>
      <c r="J415" s="58">
        <f>J459</f>
        <v>0.74897042834042904</v>
      </c>
      <c r="K415" s="62"/>
      <c r="L415" s="67">
        <f t="shared" si="217"/>
        <v>0.49538614292382621</v>
      </c>
    </row>
    <row r="416" spans="1:12" ht="12" customHeight="1" outlineLevel="1" x14ac:dyDescent="0.25">
      <c r="A416" s="70" t="str">
        <f t="shared" si="218"/>
        <v>VAR</v>
      </c>
      <c r="B416" s="42"/>
      <c r="C416" s="41"/>
      <c r="D416" s="41"/>
      <c r="E416" s="40" t="str">
        <f t="shared" si="216"/>
        <v xml:space="preserve"> (VAR)</v>
      </c>
      <c r="F416" s="41"/>
      <c r="G416" s="41"/>
      <c r="H416" s="41"/>
      <c r="I416" s="71"/>
      <c r="J416" s="41"/>
      <c r="K416" s="62"/>
      <c r="L416" s="67"/>
    </row>
    <row r="417" spans="1:13" ht="12" customHeight="1" outlineLevel="1" x14ac:dyDescent="0.25">
      <c r="A417" s="70" t="str">
        <f t="shared" si="218"/>
        <v>VAR</v>
      </c>
      <c r="B417" s="42" t="s">
        <v>367</v>
      </c>
      <c r="C417" s="41"/>
      <c r="D417" s="41"/>
      <c r="E417" s="40" t="str">
        <f t="shared" si="216"/>
        <v>Avg. Common Shares Outstanding (VAR)</v>
      </c>
      <c r="F417" s="41"/>
      <c r="G417" s="41"/>
      <c r="H417" s="41"/>
      <c r="I417" s="71"/>
      <c r="J417" s="41"/>
      <c r="K417" s="62"/>
      <c r="L417" s="67"/>
    </row>
    <row r="418" spans="1:13" ht="12" customHeight="1" outlineLevel="1" x14ac:dyDescent="0.25">
      <c r="A418" s="70" t="str">
        <f t="shared" si="218"/>
        <v>VAR</v>
      </c>
      <c r="B418" s="42" t="s">
        <v>365</v>
      </c>
      <c r="C418" s="41"/>
      <c r="D418" s="41"/>
      <c r="E418" s="40" t="str">
        <f t="shared" si="216"/>
        <v>Basic (VAR)</v>
      </c>
      <c r="F418" s="41"/>
      <c r="G418" s="53">
        <f>G409/G414</f>
        <v>92.049180327868854</v>
      </c>
      <c r="H418" s="53">
        <f>H409/H414</f>
        <v>91.327433628318573</v>
      </c>
      <c r="I418" s="71"/>
      <c r="J418" s="53">
        <f t="shared" ref="J418" si="238">J409/J414</f>
        <v>91.5</v>
      </c>
      <c r="K418" s="62"/>
      <c r="L418" s="67">
        <f t="shared" si="217"/>
        <v>-1.8859712752068436E-3</v>
      </c>
    </row>
    <row r="419" spans="1:13" ht="12" customHeight="1" outlineLevel="1" x14ac:dyDescent="0.25">
      <c r="A419" s="70" t="str">
        <f t="shared" si="218"/>
        <v>VAR</v>
      </c>
      <c r="B419" s="42" t="s">
        <v>366</v>
      </c>
      <c r="C419" s="41"/>
      <c r="D419" s="41"/>
      <c r="E419" s="40" t="str">
        <f t="shared" si="216"/>
        <v>Diluted (VAR)</v>
      </c>
      <c r="F419" s="41"/>
      <c r="G419" s="53">
        <f>G409/G415</f>
        <v>92.049180327868854</v>
      </c>
      <c r="H419" s="53">
        <f>H409/H415</f>
        <v>92.14285714285711</v>
      </c>
      <c r="I419" s="71"/>
      <c r="J419" s="53">
        <f t="shared" ref="J419" si="239">J409/J415</f>
        <v>92.5</v>
      </c>
      <c r="K419" s="62"/>
      <c r="L419" s="67">
        <f t="shared" si="217"/>
        <v>-3.8610038610041864E-3</v>
      </c>
    </row>
    <row r="420" spans="1:13" ht="12" customHeight="1" outlineLevel="1" x14ac:dyDescent="0.25">
      <c r="B420" s="62"/>
      <c r="C420" s="62"/>
      <c r="D420" s="62"/>
      <c r="E420" s="62"/>
      <c r="F420" s="62"/>
      <c r="G420" s="62"/>
      <c r="H420" s="62"/>
      <c r="I420" s="15"/>
      <c r="J420" s="62"/>
      <c r="K420" s="62"/>
      <c r="L420" s="62"/>
    </row>
    <row r="421" spans="1:13" ht="12" customHeight="1" outlineLevel="1" x14ac:dyDescent="0.25">
      <c r="B421" s="63" t="s">
        <v>371</v>
      </c>
      <c r="C421" s="63"/>
      <c r="D421" s="63"/>
      <c r="E421" s="63"/>
      <c r="F421" s="63"/>
      <c r="G421" s="63"/>
      <c r="H421" s="63"/>
      <c r="I421" s="63"/>
      <c r="J421" s="63"/>
      <c r="K421" s="63"/>
      <c r="L421" s="64"/>
      <c r="M421" s="64"/>
    </row>
    <row r="422" spans="1:13" ht="12" hidden="1" customHeight="1" outlineLevel="2" x14ac:dyDescent="0.25">
      <c r="B422" s="1"/>
    </row>
    <row r="423" spans="1:13" ht="12" hidden="1" customHeight="1" outlineLevel="2" x14ac:dyDescent="0.25">
      <c r="B423" s="8" t="s">
        <v>174</v>
      </c>
    </row>
    <row r="424" spans="1:13" ht="12" hidden="1" customHeight="1" outlineLevel="2" x14ac:dyDescent="0.25">
      <c r="B424" s="8" t="s">
        <v>230</v>
      </c>
      <c r="G424" s="3" t="s">
        <v>100</v>
      </c>
      <c r="H424" s="3" t="s">
        <v>99</v>
      </c>
      <c r="J424" s="22" t="s">
        <v>336</v>
      </c>
      <c r="L424" s="36">
        <f>MEDIAN(L426:L465)</f>
        <v>6.3107708911438354E-2</v>
      </c>
    </row>
    <row r="425" spans="1:13" ht="12" hidden="1" customHeight="1" outlineLevel="2" x14ac:dyDescent="0.25">
      <c r="B425" s="8" t="s">
        <v>42</v>
      </c>
      <c r="J425" s="15"/>
      <c r="L425" s="35"/>
    </row>
    <row r="426" spans="1:13" ht="12" hidden="1" customHeight="1" outlineLevel="2" x14ac:dyDescent="0.25">
      <c r="B426" s="8" t="s">
        <v>271</v>
      </c>
      <c r="G426" s="3">
        <v>365.6</v>
      </c>
      <c r="H426" s="3">
        <v>400.2</v>
      </c>
      <c r="J426" s="22">
        <v>344.65479513762119</v>
      </c>
      <c r="L426" s="36">
        <f t="shared" ref="L426:L465" si="240">IF(ISERROR(H426/J426-1),0,(H426/J426-1))</f>
        <v>0.16116185135390193</v>
      </c>
    </row>
    <row r="427" spans="1:13" ht="12" hidden="1" customHeight="1" outlineLevel="2" x14ac:dyDescent="0.25">
      <c r="B427" s="8" t="s">
        <v>272</v>
      </c>
      <c r="G427" s="6">
        <v>312.89999999999998</v>
      </c>
      <c r="H427" s="6">
        <v>340.8</v>
      </c>
      <c r="J427" s="22">
        <v>339.57390064101673</v>
      </c>
      <c r="L427" s="36">
        <f t="shared" si="240"/>
        <v>3.6106996346561004E-3</v>
      </c>
    </row>
    <row r="428" spans="1:13" ht="12" hidden="1" customHeight="1" outlineLevel="2" x14ac:dyDescent="0.25">
      <c r="B428" s="8" t="s">
        <v>101</v>
      </c>
      <c r="G428" s="9">
        <f t="shared" ref="G428:H428" si="241">SUM(G426:G427)</f>
        <v>678.5</v>
      </c>
      <c r="H428" s="9">
        <f t="shared" si="241"/>
        <v>741</v>
      </c>
      <c r="J428" s="17">
        <v>684.22869577863798</v>
      </c>
      <c r="L428" s="36">
        <f t="shared" si="240"/>
        <v>8.2971241299310661E-2</v>
      </c>
    </row>
    <row r="429" spans="1:13" ht="12" hidden="1" customHeight="1" outlineLevel="2" x14ac:dyDescent="0.25">
      <c r="B429" s="8" t="s">
        <v>102</v>
      </c>
      <c r="J429" s="15"/>
      <c r="L429" s="35"/>
    </row>
    <row r="430" spans="1:13" ht="12" hidden="1" customHeight="1" outlineLevel="2" x14ac:dyDescent="0.25">
      <c r="B430" s="8" t="s">
        <v>273</v>
      </c>
      <c r="G430" s="3">
        <v>223.9</v>
      </c>
      <c r="H430" s="3">
        <v>266.60000000000002</v>
      </c>
      <c r="J430" s="22">
        <v>233.30151595693937</v>
      </c>
      <c r="L430" s="36">
        <f t="shared" si="240"/>
        <v>0.14272725107026996</v>
      </c>
    </row>
    <row r="431" spans="1:13" ht="12" hidden="1" customHeight="1" outlineLevel="2" x14ac:dyDescent="0.25">
      <c r="B431" s="8" t="s">
        <v>274</v>
      </c>
      <c r="G431" s="3">
        <v>151.80000000000001</v>
      </c>
      <c r="H431" s="3">
        <v>158.30000000000001</v>
      </c>
      <c r="J431" s="22">
        <v>150.47901109070122</v>
      </c>
      <c r="L431" s="36">
        <f t="shared" si="240"/>
        <v>5.1973952065545559E-2</v>
      </c>
    </row>
    <row r="432" spans="1:13" ht="12" hidden="1" customHeight="1" outlineLevel="2" x14ac:dyDescent="0.25">
      <c r="B432" s="8" t="s">
        <v>103</v>
      </c>
      <c r="G432" s="9">
        <f>SUM(G430:G431)</f>
        <v>375.70000000000005</v>
      </c>
      <c r="H432" s="9">
        <f t="shared" ref="H432" si="242">SUM(H430:H431)</f>
        <v>424.90000000000003</v>
      </c>
      <c r="J432" s="17">
        <v>383.78052704764059</v>
      </c>
      <c r="L432" s="36">
        <f t="shared" si="240"/>
        <v>0.10714319788105109</v>
      </c>
    </row>
    <row r="433" spans="2:12" ht="12" hidden="1" customHeight="1" outlineLevel="2" x14ac:dyDescent="0.25">
      <c r="B433" s="8" t="s">
        <v>104</v>
      </c>
      <c r="G433" s="9">
        <f t="shared" ref="G433:H433" si="243">G428-G432</f>
        <v>302.79999999999995</v>
      </c>
      <c r="H433" s="9">
        <f t="shared" si="243"/>
        <v>316.09999999999997</v>
      </c>
      <c r="J433" s="17">
        <v>300.44816873099739</v>
      </c>
      <c r="L433" s="36">
        <f t="shared" si="240"/>
        <v>5.2094946476496151E-2</v>
      </c>
    </row>
    <row r="434" spans="2:12" ht="12" hidden="1" customHeight="1" outlineLevel="2" x14ac:dyDescent="0.25">
      <c r="B434" s="8" t="s">
        <v>74</v>
      </c>
      <c r="J434" s="15"/>
      <c r="L434" s="35"/>
    </row>
    <row r="435" spans="2:12" ht="12" hidden="1" customHeight="1" outlineLevel="2" x14ac:dyDescent="0.25">
      <c r="B435" s="8" t="s">
        <v>45</v>
      </c>
      <c r="G435" s="3">
        <v>55.9</v>
      </c>
      <c r="H435" s="3">
        <v>60.9</v>
      </c>
      <c r="J435" s="22">
        <v>56.697550809792794</v>
      </c>
      <c r="L435" s="36">
        <f t="shared" si="240"/>
        <v>7.4120471346380556E-2</v>
      </c>
    </row>
    <row r="436" spans="2:12" ht="12" hidden="1" customHeight="1" outlineLevel="2" x14ac:dyDescent="0.25">
      <c r="B436" s="8" t="s">
        <v>75</v>
      </c>
      <c r="G436" s="3">
        <v>125.3</v>
      </c>
      <c r="H436" s="3">
        <v>143.5</v>
      </c>
      <c r="J436" s="22">
        <v>148.18303862359537</v>
      </c>
      <c r="L436" s="36">
        <f t="shared" si="240"/>
        <v>-3.1603067848344657E-2</v>
      </c>
    </row>
    <row r="437" spans="2:12" ht="12" hidden="1" customHeight="1" outlineLevel="2" x14ac:dyDescent="0.25">
      <c r="B437" s="8" t="s">
        <v>275</v>
      </c>
      <c r="G437" s="3">
        <v>0</v>
      </c>
      <c r="H437" s="3">
        <v>0</v>
      </c>
      <c r="J437" s="22">
        <v>0</v>
      </c>
      <c r="L437" s="36">
        <f t="shared" si="240"/>
        <v>0</v>
      </c>
    </row>
    <row r="438" spans="2:12" ht="12" hidden="1" customHeight="1" outlineLevel="2" x14ac:dyDescent="0.25">
      <c r="B438" s="8" t="s">
        <v>276</v>
      </c>
      <c r="G438" s="3">
        <v>0</v>
      </c>
      <c r="H438" s="3">
        <v>0</v>
      </c>
      <c r="J438" s="22">
        <v>0</v>
      </c>
      <c r="L438" s="36">
        <f t="shared" si="240"/>
        <v>0</v>
      </c>
    </row>
    <row r="439" spans="2:12" ht="12" hidden="1" customHeight="1" outlineLevel="2" x14ac:dyDescent="0.25">
      <c r="B439" s="8" t="s">
        <v>277</v>
      </c>
      <c r="G439" s="3">
        <v>0</v>
      </c>
      <c r="H439" s="3">
        <v>0</v>
      </c>
      <c r="J439" s="22">
        <v>0</v>
      </c>
      <c r="L439" s="36">
        <f t="shared" si="240"/>
        <v>0</v>
      </c>
    </row>
    <row r="440" spans="2:12" ht="12" hidden="1" customHeight="1" outlineLevel="2" x14ac:dyDescent="0.25">
      <c r="B440" s="8" t="s">
        <v>278</v>
      </c>
      <c r="G440" s="3">
        <v>0</v>
      </c>
      <c r="H440" s="3">
        <v>0</v>
      </c>
      <c r="J440" s="22">
        <v>0</v>
      </c>
      <c r="L440" s="36">
        <f t="shared" si="240"/>
        <v>0</v>
      </c>
    </row>
    <row r="441" spans="2:12" ht="12" hidden="1" customHeight="1" outlineLevel="2" x14ac:dyDescent="0.25">
      <c r="B441" s="8" t="s">
        <v>76</v>
      </c>
      <c r="G441" s="9">
        <f t="shared" ref="G441:H441" si="244">SUM(G435:G440)</f>
        <v>181.2</v>
      </c>
      <c r="H441" s="9">
        <f t="shared" si="244"/>
        <v>204.4</v>
      </c>
      <c r="J441" s="17">
        <v>204.88058943338817</v>
      </c>
      <c r="L441" s="36">
        <f t="shared" si="240"/>
        <v>-2.3457050505236721E-3</v>
      </c>
    </row>
    <row r="442" spans="2:12" ht="12" hidden="1" customHeight="1" outlineLevel="2" x14ac:dyDescent="0.25">
      <c r="B442" s="8" t="s">
        <v>105</v>
      </c>
      <c r="G442" s="9">
        <f t="shared" ref="G442:H442" si="245">G433-G441</f>
        <v>121.59999999999997</v>
      </c>
      <c r="H442" s="9">
        <f t="shared" si="245"/>
        <v>111.69999999999996</v>
      </c>
      <c r="J442" s="17">
        <v>95.567579297609228</v>
      </c>
      <c r="L442" s="36">
        <f t="shared" si="240"/>
        <v>0.16880641762571358</v>
      </c>
    </row>
    <row r="443" spans="2:12" ht="12" hidden="1" customHeight="1" outlineLevel="2" x14ac:dyDescent="0.25">
      <c r="B443" s="8" t="s">
        <v>14</v>
      </c>
      <c r="G443" s="3">
        <v>3.2</v>
      </c>
      <c r="H443" s="3">
        <v>3.9</v>
      </c>
      <c r="J443" s="22">
        <v>1.6305180382758655</v>
      </c>
      <c r="L443" s="36">
        <f t="shared" si="240"/>
        <v>1.3918778624025032</v>
      </c>
    </row>
    <row r="444" spans="2:12" ht="12" hidden="1" customHeight="1" outlineLevel="2" x14ac:dyDescent="0.25">
      <c r="B444" s="8" t="s">
        <v>13</v>
      </c>
      <c r="G444" s="3">
        <v>-2.3000000000000003</v>
      </c>
      <c r="H444" s="3">
        <v>21.8</v>
      </c>
      <c r="J444" s="22">
        <v>-2.9867715941533826</v>
      </c>
      <c r="L444" s="36">
        <f t="shared" si="240"/>
        <v>-8.2988507198453298</v>
      </c>
    </row>
    <row r="445" spans="2:12" ht="12" hidden="1" customHeight="1" outlineLevel="2" x14ac:dyDescent="0.25">
      <c r="B445" s="8" t="s">
        <v>279</v>
      </c>
      <c r="G445" s="9">
        <f t="shared" ref="G445:H445" si="246">SUM(G442:G444)</f>
        <v>122.49999999999997</v>
      </c>
      <c r="H445" s="9">
        <f t="shared" si="246"/>
        <v>137.39999999999998</v>
      </c>
      <c r="J445" s="17">
        <v>94.211325741731713</v>
      </c>
      <c r="L445" s="36">
        <f t="shared" si="240"/>
        <v>0.4584233786993348</v>
      </c>
    </row>
    <row r="446" spans="2:12" ht="12" hidden="1" customHeight="1" outlineLevel="2" x14ac:dyDescent="0.25">
      <c r="B446" s="8" t="s">
        <v>106</v>
      </c>
      <c r="G446" s="6">
        <v>234.7</v>
      </c>
      <c r="H446" s="6">
        <v>33.5</v>
      </c>
      <c r="J446" s="22">
        <v>24.831561120242032</v>
      </c>
      <c r="L446" s="36">
        <f t="shared" si="240"/>
        <v>0.34908956540358971</v>
      </c>
    </row>
    <row r="447" spans="2:12" ht="12" hidden="1" customHeight="1" outlineLevel="2" thickBot="1" x14ac:dyDescent="0.3">
      <c r="B447" s="8" t="s">
        <v>280</v>
      </c>
      <c r="G447" s="10">
        <f t="shared" ref="G447:H447" si="247">G445-G446</f>
        <v>-112.20000000000002</v>
      </c>
      <c r="H447" s="10">
        <f t="shared" si="247"/>
        <v>103.89999999999998</v>
      </c>
      <c r="J447" s="17">
        <v>69.379764621489684</v>
      </c>
      <c r="L447" s="36">
        <f t="shared" si="240"/>
        <v>0.49755480674862351</v>
      </c>
    </row>
    <row r="448" spans="2:12" ht="12" hidden="1" customHeight="1" outlineLevel="2" thickTop="1" x14ac:dyDescent="0.25">
      <c r="B448" s="8" t="s">
        <v>281</v>
      </c>
      <c r="G448" s="2">
        <v>0</v>
      </c>
      <c r="H448" s="2">
        <v>0</v>
      </c>
      <c r="J448" s="22">
        <v>0</v>
      </c>
      <c r="L448" s="36">
        <f t="shared" si="240"/>
        <v>0</v>
      </c>
    </row>
    <row r="449" spans="2:12" ht="12" hidden="1" customHeight="1" outlineLevel="2" thickBot="1" x14ac:dyDescent="0.3">
      <c r="B449" s="8" t="s">
        <v>123</v>
      </c>
      <c r="G449" s="10">
        <f>SUM(G447:G448)</f>
        <v>-112.20000000000002</v>
      </c>
      <c r="H449" s="10">
        <f t="shared" ref="H449" si="248">SUM(H447:H448)</f>
        <v>103.89999999999998</v>
      </c>
      <c r="J449" s="19">
        <v>69.379764621489684</v>
      </c>
      <c r="L449" s="36">
        <f t="shared" si="240"/>
        <v>0.49755480674862351</v>
      </c>
    </row>
    <row r="450" spans="2:12" ht="12" hidden="1" customHeight="1" outlineLevel="2" thickTop="1" x14ac:dyDescent="0.25">
      <c r="B450" s="8" t="s">
        <v>107</v>
      </c>
      <c r="G450" s="3">
        <v>0.1</v>
      </c>
      <c r="H450" s="3">
        <v>0.7</v>
      </c>
      <c r="J450" s="22">
        <v>0.1</v>
      </c>
      <c r="L450" s="36">
        <f t="shared" si="240"/>
        <v>5.9999999999999991</v>
      </c>
    </row>
    <row r="451" spans="2:12" ht="12" hidden="1" customHeight="1" outlineLevel="2" thickBot="1" x14ac:dyDescent="0.3">
      <c r="B451" s="8" t="s">
        <v>282</v>
      </c>
      <c r="G451" s="10">
        <f t="shared" ref="G451:H451" si="249">G449-G450</f>
        <v>-112.30000000000001</v>
      </c>
      <c r="H451" s="10">
        <f t="shared" si="249"/>
        <v>103.19999999999997</v>
      </c>
      <c r="J451" s="19">
        <v>69.27976462148969</v>
      </c>
      <c r="L451" s="36">
        <f t="shared" si="240"/>
        <v>0.48961245125230501</v>
      </c>
    </row>
    <row r="452" spans="2:12" ht="12" hidden="1" customHeight="1" outlineLevel="2" thickTop="1" x14ac:dyDescent="0.25">
      <c r="B452" s="8" t="s">
        <v>283</v>
      </c>
      <c r="J452" s="15"/>
      <c r="L452" s="35"/>
    </row>
    <row r="453" spans="2:12" ht="12" hidden="1" customHeight="1" outlineLevel="2" x14ac:dyDescent="0.25">
      <c r="B453" s="8" t="s">
        <v>284</v>
      </c>
      <c r="G453" s="11">
        <v>-1.22</v>
      </c>
      <c r="H453" s="11">
        <v>1.1299999999999999</v>
      </c>
      <c r="J453" s="24">
        <v>0.75715589750261958</v>
      </c>
      <c r="L453" s="36">
        <f t="shared" si="240"/>
        <v>0.49242712594217153</v>
      </c>
    </row>
    <row r="454" spans="2:12" ht="12" hidden="1" customHeight="1" outlineLevel="2" x14ac:dyDescent="0.25">
      <c r="B454" s="8" t="s">
        <v>285</v>
      </c>
      <c r="G454" s="12">
        <v>0</v>
      </c>
      <c r="H454" s="12">
        <v>0</v>
      </c>
      <c r="J454" s="25">
        <v>0</v>
      </c>
      <c r="L454" s="36">
        <f t="shared" si="240"/>
        <v>0</v>
      </c>
    </row>
    <row r="455" spans="2:12" ht="12" hidden="1" customHeight="1" outlineLevel="2" x14ac:dyDescent="0.25">
      <c r="B455" s="8" t="s">
        <v>283</v>
      </c>
      <c r="G455" s="13">
        <f t="shared" ref="G455:H455" si="250">SUM(G453,G454)</f>
        <v>-1.22</v>
      </c>
      <c r="H455" s="13">
        <f t="shared" si="250"/>
        <v>1.1299999999999999</v>
      </c>
      <c r="J455" s="26">
        <v>0.75715589750261958</v>
      </c>
      <c r="L455" s="36">
        <f t="shared" si="240"/>
        <v>0.49242712594217153</v>
      </c>
    </row>
    <row r="456" spans="2:12" ht="12" hidden="1" customHeight="1" outlineLevel="2" x14ac:dyDescent="0.25">
      <c r="B456" s="8" t="s">
        <v>286</v>
      </c>
      <c r="J456" s="15"/>
      <c r="L456" s="35"/>
    </row>
    <row r="457" spans="2:12" ht="12" hidden="1" customHeight="1" outlineLevel="2" x14ac:dyDescent="0.25">
      <c r="B457" s="8" t="s">
        <v>284</v>
      </c>
      <c r="G457" s="11">
        <v>-1.22</v>
      </c>
      <c r="H457" s="11">
        <v>1.1200000000000001</v>
      </c>
      <c r="J457" s="24">
        <v>0.74897042834042904</v>
      </c>
      <c r="L457" s="36">
        <f t="shared" si="240"/>
        <v>0.49538614292382621</v>
      </c>
    </row>
    <row r="458" spans="2:12" ht="12" hidden="1" customHeight="1" outlineLevel="2" x14ac:dyDescent="0.25">
      <c r="B458" s="8" t="s">
        <v>285</v>
      </c>
      <c r="G458" s="12">
        <v>0</v>
      </c>
      <c r="H458" s="12">
        <v>0</v>
      </c>
      <c r="J458" s="25">
        <v>0</v>
      </c>
      <c r="L458" s="36">
        <f t="shared" si="240"/>
        <v>0</v>
      </c>
    </row>
    <row r="459" spans="2:12" ht="12" hidden="1" customHeight="1" outlineLevel="2" x14ac:dyDescent="0.25">
      <c r="B459" s="8" t="s">
        <v>287</v>
      </c>
      <c r="G459" s="13">
        <f t="shared" ref="G459:H459" si="251">SUM(G457,G458)</f>
        <v>-1.22</v>
      </c>
      <c r="H459" s="13">
        <f t="shared" si="251"/>
        <v>1.1200000000000001</v>
      </c>
      <c r="J459" s="26">
        <v>0.74897042834042904</v>
      </c>
      <c r="L459" s="36">
        <f t="shared" si="240"/>
        <v>0.49538614292382621</v>
      </c>
    </row>
    <row r="460" spans="2:12" ht="12" hidden="1" customHeight="1" outlineLevel="2" x14ac:dyDescent="0.25">
      <c r="B460" s="8" t="s">
        <v>108</v>
      </c>
      <c r="J460" s="15"/>
      <c r="L460" s="35"/>
    </row>
    <row r="461" spans="2:12" ht="12" hidden="1" customHeight="1" outlineLevel="2" x14ac:dyDescent="0.25">
      <c r="B461" s="8" t="s">
        <v>54</v>
      </c>
      <c r="G461" s="3">
        <v>91.6</v>
      </c>
      <c r="H461" s="3">
        <v>91</v>
      </c>
      <c r="J461" s="32">
        <v>91.5</v>
      </c>
      <c r="L461" s="36">
        <f t="shared" si="240"/>
        <v>-5.464480874316946E-3</v>
      </c>
    </row>
    <row r="462" spans="2:12" ht="12" hidden="1" customHeight="1" outlineLevel="2" x14ac:dyDescent="0.25">
      <c r="B462" s="8" t="s">
        <v>55</v>
      </c>
      <c r="G462" s="3">
        <v>91.6</v>
      </c>
      <c r="H462" s="3">
        <v>92</v>
      </c>
      <c r="J462" s="32">
        <v>92.5</v>
      </c>
      <c r="L462" s="36">
        <f t="shared" si="240"/>
        <v>-5.4054054054053502E-3</v>
      </c>
    </row>
    <row r="463" spans="2:12" ht="12" hidden="1" customHeight="1" outlineLevel="2" x14ac:dyDescent="0.25">
      <c r="J463" s="33"/>
      <c r="L463" s="35"/>
    </row>
    <row r="464" spans="2:12" ht="12" hidden="1" customHeight="1" outlineLevel="2" x14ac:dyDescent="0.25">
      <c r="B464" s="8" t="s">
        <v>109</v>
      </c>
      <c r="G464" s="3">
        <v>12.8</v>
      </c>
      <c r="H464" s="3">
        <v>12.8</v>
      </c>
      <c r="J464" s="22">
        <v>15.068075550615665</v>
      </c>
      <c r="L464" s="36">
        <f t="shared" si="240"/>
        <v>-0.15052191256918623</v>
      </c>
    </row>
    <row r="465" spans="1:13" ht="12" hidden="1" customHeight="1" outlineLevel="2" x14ac:dyDescent="0.25">
      <c r="B465" s="8" t="s">
        <v>98</v>
      </c>
      <c r="G465" s="3">
        <v>-9.3000000000000007</v>
      </c>
      <c r="H465" s="3">
        <v>-14</v>
      </c>
      <c r="J465" s="22">
        <v>-16.199344503533279</v>
      </c>
      <c r="L465" s="36">
        <f t="shared" si="240"/>
        <v>-0.13576749991665249</v>
      </c>
    </row>
    <row r="466" spans="1:13" ht="12" customHeight="1" outlineLevel="1" collapsed="1" x14ac:dyDescent="0.25"/>
    <row r="467" spans="1:13" ht="12" customHeight="1" x14ac:dyDescent="0.25">
      <c r="B467" s="61" t="s">
        <v>377</v>
      </c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91" t="s">
        <v>32</v>
      </c>
    </row>
    <row r="468" spans="1:13" ht="12" customHeight="1" x14ac:dyDescent="0.25">
      <c r="B468" s="38"/>
      <c r="C468" s="15"/>
      <c r="D468" s="15"/>
      <c r="E468" s="15"/>
      <c r="F468" s="15"/>
      <c r="G468" s="15"/>
      <c r="H468" s="15"/>
      <c r="I468" s="15"/>
      <c r="J468" s="15"/>
      <c r="K468" s="62"/>
      <c r="L468" s="62"/>
    </row>
    <row r="469" spans="1:13" ht="12" customHeight="1" outlineLevel="1" x14ac:dyDescent="0.25">
      <c r="B469" s="85" t="s">
        <v>338</v>
      </c>
      <c r="C469" s="86"/>
      <c r="D469" s="86"/>
      <c r="E469" s="86"/>
      <c r="F469" s="89" t="s">
        <v>369</v>
      </c>
      <c r="G469" s="89"/>
      <c r="H469" s="90"/>
      <c r="I469" s="15"/>
      <c r="J469" s="82" t="s">
        <v>370</v>
      </c>
      <c r="K469" s="62"/>
      <c r="L469" s="68" t="s">
        <v>386</v>
      </c>
    </row>
    <row r="470" spans="1:13" ht="12" customHeight="1" outlineLevel="1" x14ac:dyDescent="0.25">
      <c r="B470" s="87"/>
      <c r="C470" s="88"/>
      <c r="D470" s="88"/>
      <c r="E470" s="88"/>
      <c r="F470" s="39">
        <f>G470-1</f>
        <v>2016</v>
      </c>
      <c r="G470" s="39">
        <f>H470-1</f>
        <v>2017</v>
      </c>
      <c r="H470" s="60">
        <f>J470</f>
        <v>2018</v>
      </c>
      <c r="I470" s="15"/>
      <c r="J470" s="81">
        <v>2018</v>
      </c>
      <c r="K470" s="62"/>
      <c r="L470" s="68" t="s">
        <v>370</v>
      </c>
    </row>
    <row r="471" spans="1:13" ht="12" customHeight="1" outlineLevel="1" x14ac:dyDescent="0.25">
      <c r="B471" s="62"/>
      <c r="C471" s="62"/>
      <c r="D471" s="62"/>
      <c r="E471" s="62"/>
      <c r="F471" s="40"/>
      <c r="G471" s="40"/>
      <c r="H471" s="40"/>
      <c r="I471" s="15"/>
      <c r="J471" s="40"/>
      <c r="K471" s="62"/>
      <c r="L471" s="62"/>
    </row>
    <row r="472" spans="1:13" ht="12" customHeight="1" outlineLevel="1" x14ac:dyDescent="0.25">
      <c r="A472" s="70" t="str">
        <f>M467</f>
        <v>XRAY</v>
      </c>
      <c r="B472" s="43" t="s">
        <v>340</v>
      </c>
      <c r="C472" s="44"/>
      <c r="D472" s="44"/>
      <c r="E472" s="74" t="str">
        <f>B472&amp;" ("&amp;A472&amp;")"</f>
        <v>Total Revenue (XRAY)</v>
      </c>
      <c r="F472" s="45">
        <f>F515</f>
        <v>3745.3</v>
      </c>
      <c r="G472" s="45">
        <f t="shared" ref="G472:J472" si="252">G515</f>
        <v>3993.4</v>
      </c>
      <c r="H472" s="45">
        <f t="shared" si="252"/>
        <v>3986.3</v>
      </c>
      <c r="I472" s="71"/>
      <c r="J472" s="45">
        <f t="shared" si="252"/>
        <v>3946.5048403273809</v>
      </c>
      <c r="K472" s="62"/>
      <c r="L472" s="67">
        <f>IF(ISERROR(H472/J472-1),0,(H472/J472-1))</f>
        <v>1.0083646487892839E-2</v>
      </c>
    </row>
    <row r="473" spans="1:13" ht="12" customHeight="1" outlineLevel="1" x14ac:dyDescent="0.25">
      <c r="A473" s="70" t="str">
        <f>A472</f>
        <v>XRAY</v>
      </c>
      <c r="B473" s="42" t="s">
        <v>341</v>
      </c>
      <c r="C473" s="46"/>
      <c r="D473" s="46"/>
      <c r="E473" s="72" t="str">
        <f t="shared" ref="E473:E508" si="253">B473&amp;" ("&amp;A473&amp;")"</f>
        <v>% Growth (XRAY)</v>
      </c>
      <c r="F473" s="47" t="s">
        <v>342</v>
      </c>
      <c r="G473" s="47">
        <f>G472/F472-1</f>
        <v>6.6243024590820543E-2</v>
      </c>
      <c r="H473" s="47">
        <f>H472/G472-1</f>
        <v>-1.7779335904242188E-3</v>
      </c>
      <c r="I473" s="71"/>
      <c r="J473" s="47">
        <f>J472/G472-1</f>
        <v>-1.1743166142289541E-2</v>
      </c>
      <c r="K473" s="62"/>
      <c r="L473" s="67">
        <f t="shared" ref="L473:L508" si="254">IF(ISERROR(H473/J473-1),0,(H473/J473-1))</f>
        <v>-0.84859844705581433</v>
      </c>
    </row>
    <row r="474" spans="1:13" ht="12" customHeight="1" outlineLevel="1" x14ac:dyDescent="0.25">
      <c r="A474" s="70" t="str">
        <f t="shared" ref="A474:A508" si="255">A473</f>
        <v>XRAY</v>
      </c>
      <c r="B474" s="42" t="s">
        <v>343</v>
      </c>
      <c r="C474" s="41"/>
      <c r="D474" s="41"/>
      <c r="E474" s="40" t="str">
        <f t="shared" si="253"/>
        <v>COGS (XRAY)</v>
      </c>
      <c r="F474" s="48">
        <f>F516</f>
        <v>1744.4</v>
      </c>
      <c r="G474" s="48">
        <f t="shared" ref="G474:H474" si="256">G516</f>
        <v>1804.9</v>
      </c>
      <c r="H474" s="48">
        <f t="shared" si="256"/>
        <v>1918.5</v>
      </c>
      <c r="I474" s="71"/>
      <c r="J474" s="48">
        <f t="shared" ref="J474" si="257">J516</f>
        <v>1857.1066857873363</v>
      </c>
      <c r="K474" s="62"/>
      <c r="L474" s="67">
        <f t="shared" si="254"/>
        <v>3.3058582300367734E-2</v>
      </c>
    </row>
    <row r="475" spans="1:13" ht="12" customHeight="1" outlineLevel="1" x14ac:dyDescent="0.25">
      <c r="A475" s="70" t="str">
        <f t="shared" si="255"/>
        <v>XRAY</v>
      </c>
      <c r="B475" s="42" t="s">
        <v>344</v>
      </c>
      <c r="C475" s="41"/>
      <c r="D475" s="41"/>
      <c r="E475" s="40" t="str">
        <f t="shared" si="253"/>
        <v>Total Depreciation &amp; Amortization (XRAY)</v>
      </c>
      <c r="F475" s="48">
        <f>SUM(F540,F541)</f>
        <v>271.7</v>
      </c>
      <c r="G475" s="48">
        <f t="shared" ref="G475:H475" si="258">SUM(G540,G541)</f>
        <v>316.39999999999998</v>
      </c>
      <c r="H475" s="48">
        <f t="shared" si="258"/>
        <v>330.8</v>
      </c>
      <c r="I475" s="71"/>
      <c r="J475" s="48">
        <f t="shared" ref="J475" si="259">SUM(J540,J541)</f>
        <v>334.04169740090776</v>
      </c>
      <c r="K475" s="62"/>
      <c r="L475" s="67">
        <f t="shared" si="254"/>
        <v>-9.7044693106596025E-3</v>
      </c>
    </row>
    <row r="476" spans="1:13" ht="12" customHeight="1" outlineLevel="1" x14ac:dyDescent="0.25">
      <c r="A476" s="70" t="str">
        <f t="shared" si="255"/>
        <v>XRAY</v>
      </c>
      <c r="B476" s="42" t="s">
        <v>345</v>
      </c>
      <c r="C476" s="41"/>
      <c r="D476" s="41"/>
      <c r="E476" s="40" t="str">
        <f t="shared" si="253"/>
        <v>COGS (Exclusive of D&amp;A) (XRAY)</v>
      </c>
      <c r="F476" s="49">
        <f>F474-F475</f>
        <v>1472.7</v>
      </c>
      <c r="G476" s="49">
        <f>G474-G475</f>
        <v>1488.5</v>
      </c>
      <c r="H476" s="49">
        <f>H474-H475</f>
        <v>1587.7</v>
      </c>
      <c r="I476" s="71"/>
      <c r="J476" s="49">
        <f t="shared" ref="J476" si="260">J474-J475</f>
        <v>1523.0649883864285</v>
      </c>
      <c r="K476" s="62"/>
      <c r="L476" s="67">
        <f t="shared" si="254"/>
        <v>4.2437461373232344E-2</v>
      </c>
    </row>
    <row r="477" spans="1:13" ht="12" customHeight="1" outlineLevel="1" x14ac:dyDescent="0.25">
      <c r="A477" s="70" t="str">
        <f t="shared" si="255"/>
        <v>XRAY</v>
      </c>
      <c r="B477" s="42" t="s">
        <v>346</v>
      </c>
      <c r="C477" s="46"/>
      <c r="D477" s="46"/>
      <c r="E477" s="72" t="str">
        <f t="shared" si="253"/>
        <v>% Total Revenue (XRAY)</v>
      </c>
      <c r="F477" s="50">
        <f>F476/F472</f>
        <v>0.39321282674285102</v>
      </c>
      <c r="G477" s="50">
        <f>G476/G472</f>
        <v>0.37274002103470727</v>
      </c>
      <c r="H477" s="50">
        <f>H476/H472</f>
        <v>0.39828914030554646</v>
      </c>
      <c r="I477" s="71"/>
      <c r="J477" s="50">
        <f t="shared" ref="J477" si="261">J476/J472</f>
        <v>0.38592756122404331</v>
      </c>
      <c r="K477" s="62"/>
      <c r="L477" s="67">
        <f t="shared" si="254"/>
        <v>3.2030827345670865E-2</v>
      </c>
    </row>
    <row r="478" spans="1:13" ht="12" customHeight="1" outlineLevel="1" x14ac:dyDescent="0.25">
      <c r="A478" s="70" t="str">
        <f t="shared" si="255"/>
        <v>XRAY</v>
      </c>
      <c r="B478" s="43" t="s">
        <v>347</v>
      </c>
      <c r="C478" s="44"/>
      <c r="D478" s="44"/>
      <c r="E478" s="74" t="str">
        <f t="shared" si="253"/>
        <v>Gross Profit (XRAY)</v>
      </c>
      <c r="F478" s="51">
        <f>F472-F476</f>
        <v>2272.6000000000004</v>
      </c>
      <c r="G478" s="51">
        <f>G472-G476</f>
        <v>2504.9</v>
      </c>
      <c r="H478" s="51">
        <f>H472-H476</f>
        <v>2398.6000000000004</v>
      </c>
      <c r="I478" s="71"/>
      <c r="J478" s="51">
        <f t="shared" ref="J478" si="262">J472-J476</f>
        <v>2423.4398519409524</v>
      </c>
      <c r="K478" s="62"/>
      <c r="L478" s="67">
        <f t="shared" si="254"/>
        <v>-1.0249832246118085E-2</v>
      </c>
    </row>
    <row r="479" spans="1:13" ht="12" customHeight="1" outlineLevel="1" x14ac:dyDescent="0.25">
      <c r="A479" s="70" t="str">
        <f t="shared" si="255"/>
        <v>XRAY</v>
      </c>
      <c r="B479" s="42" t="s">
        <v>348</v>
      </c>
      <c r="C479" s="46"/>
      <c r="D479" s="46"/>
      <c r="E479" s="72" t="str">
        <f t="shared" si="253"/>
        <v>Gross Profit Margin (%) (XRAY)</v>
      </c>
      <c r="F479" s="47">
        <f>F478/F472</f>
        <v>0.60678717325714904</v>
      </c>
      <c r="G479" s="47">
        <f>G478/G472</f>
        <v>0.62725997896529273</v>
      </c>
      <c r="H479" s="47">
        <f>H478/H472</f>
        <v>0.60171085969445359</v>
      </c>
      <c r="I479" s="71"/>
      <c r="J479" s="47">
        <f t="shared" ref="J479" si="263">J478/J472</f>
        <v>0.61407243877595674</v>
      </c>
      <c r="K479" s="62"/>
      <c r="L479" s="67">
        <f t="shared" si="254"/>
        <v>-2.0130489989330425E-2</v>
      </c>
    </row>
    <row r="480" spans="1:13" ht="12" customHeight="1" outlineLevel="1" x14ac:dyDescent="0.25">
      <c r="A480" s="70" t="str">
        <f t="shared" si="255"/>
        <v>XRAY</v>
      </c>
      <c r="B480" s="42" t="s">
        <v>349</v>
      </c>
      <c r="C480" s="41"/>
      <c r="D480" s="41"/>
      <c r="E480" s="40" t="str">
        <f t="shared" si="253"/>
        <v>Operating expenses (XRAY)</v>
      </c>
      <c r="F480" s="48">
        <f>F518</f>
        <v>1523</v>
      </c>
      <c r="G480" s="48">
        <f t="shared" ref="G480:J480" si="264">G518</f>
        <v>1674.7</v>
      </c>
      <c r="H480" s="48">
        <f t="shared" si="264"/>
        <v>1719.1</v>
      </c>
      <c r="I480" s="71"/>
      <c r="J480" s="48">
        <f t="shared" si="264"/>
        <v>1709.4400068599109</v>
      </c>
      <c r="K480" s="62"/>
      <c r="L480" s="67">
        <f t="shared" si="254"/>
        <v>5.650969382560378E-3</v>
      </c>
    </row>
    <row r="481" spans="1:12" ht="12" customHeight="1" outlineLevel="1" x14ac:dyDescent="0.25">
      <c r="A481" s="70" t="str">
        <f t="shared" si="255"/>
        <v>XRAY</v>
      </c>
      <c r="B481" s="42" t="s">
        <v>346</v>
      </c>
      <c r="C481" s="46"/>
      <c r="D481" s="46"/>
      <c r="E481" s="72" t="str">
        <f t="shared" si="253"/>
        <v>% Total Revenue (XRAY)</v>
      </c>
      <c r="F481" s="50">
        <f>F480/F472</f>
        <v>0.4066429925506635</v>
      </c>
      <c r="G481" s="50">
        <f>G480/G472</f>
        <v>0.4193669554765363</v>
      </c>
      <c r="H481" s="50">
        <f>H480/H472</f>
        <v>0.43125203823094094</v>
      </c>
      <c r="I481" s="71"/>
      <c r="J481" s="50">
        <f t="shared" ref="J481" si="265">J480/J472</f>
        <v>0.43315289756951242</v>
      </c>
      <c r="K481" s="62"/>
      <c r="L481" s="67">
        <f t="shared" si="254"/>
        <v>-4.3884257712172303E-3</v>
      </c>
    </row>
    <row r="482" spans="1:12" ht="12" customHeight="1" outlineLevel="1" x14ac:dyDescent="0.25">
      <c r="A482" s="70" t="str">
        <f t="shared" si="255"/>
        <v>XRAY</v>
      </c>
      <c r="B482" s="43" t="s">
        <v>350</v>
      </c>
      <c r="C482" s="44"/>
      <c r="D482" s="44"/>
      <c r="E482" s="74" t="str">
        <f t="shared" si="253"/>
        <v>Operating Profit (XRAY)</v>
      </c>
      <c r="F482" s="51">
        <f>F478-F480</f>
        <v>749.60000000000036</v>
      </c>
      <c r="G482" s="51">
        <f>G478-G480</f>
        <v>830.2</v>
      </c>
      <c r="H482" s="51">
        <f>H478-H480</f>
        <v>679.50000000000045</v>
      </c>
      <c r="I482" s="71"/>
      <c r="J482" s="51">
        <f t="shared" ref="J482" si="266">J478-J480</f>
        <v>713.99984508104149</v>
      </c>
      <c r="K482" s="62"/>
      <c r="L482" s="67">
        <f t="shared" si="254"/>
        <v>-4.8319121241721219E-2</v>
      </c>
    </row>
    <row r="483" spans="1:12" ht="12" customHeight="1" outlineLevel="1" x14ac:dyDescent="0.25">
      <c r="A483" s="70" t="str">
        <f t="shared" si="255"/>
        <v>XRAY</v>
      </c>
      <c r="B483" s="42" t="s">
        <v>351</v>
      </c>
      <c r="C483" s="46"/>
      <c r="D483" s="46"/>
      <c r="E483" s="72" t="str">
        <f t="shared" si="253"/>
        <v>Operating Profit Margin (%) (XRAY)</v>
      </c>
      <c r="F483" s="47">
        <f>F482/F472</f>
        <v>0.20014418070648554</v>
      </c>
      <c r="G483" s="47">
        <f>G482/G472</f>
        <v>0.20789302348875646</v>
      </c>
      <c r="H483" s="47">
        <f>H482/H472</f>
        <v>0.17045882146351263</v>
      </c>
      <c r="I483" s="71"/>
      <c r="J483" s="47">
        <f t="shared" ref="J483" si="267">J482/J472</f>
        <v>0.1809195412064443</v>
      </c>
      <c r="K483" s="62"/>
      <c r="L483" s="67">
        <f t="shared" si="254"/>
        <v>-5.7819733972214293E-2</v>
      </c>
    </row>
    <row r="484" spans="1:12" ht="12" customHeight="1" outlineLevel="1" x14ac:dyDescent="0.25">
      <c r="A484" s="70" t="str">
        <f t="shared" si="255"/>
        <v>XRAY</v>
      </c>
      <c r="B484" s="42" t="s">
        <v>352</v>
      </c>
      <c r="C484" s="41"/>
      <c r="D484" s="41"/>
      <c r="E484" s="40" t="str">
        <f t="shared" si="253"/>
        <v>Total Other Expenses / (Income) (XRAY)</v>
      </c>
      <c r="F484" s="52">
        <f>SUM(F519,F520,F525,-F528)</f>
        <v>3.0999999999999979</v>
      </c>
      <c r="G484" s="52">
        <f t="shared" ref="G484:J484" si="268">SUM(G519,G520,G525,-G528)</f>
        <v>2081.4</v>
      </c>
      <c r="H484" s="52">
        <f t="shared" si="268"/>
        <v>1271.8999999999999</v>
      </c>
      <c r="I484" s="71"/>
      <c r="J484" s="52">
        <f t="shared" si="268"/>
        <v>1275.0652101747171</v>
      </c>
      <c r="K484" s="62"/>
      <c r="L484" s="67">
        <f t="shared" si="254"/>
        <v>-2.4823908216298207E-3</v>
      </c>
    </row>
    <row r="485" spans="1:12" ht="12" customHeight="1" outlineLevel="1" x14ac:dyDescent="0.25">
      <c r="A485" s="70" t="str">
        <f t="shared" si="255"/>
        <v>XRAY</v>
      </c>
      <c r="B485" s="43" t="s">
        <v>353</v>
      </c>
      <c r="C485" s="44"/>
      <c r="D485" s="44"/>
      <c r="E485" s="74" t="str">
        <f t="shared" si="253"/>
        <v>EBITDA (XRAY)</v>
      </c>
      <c r="F485" s="51">
        <f>F482-F484</f>
        <v>746.50000000000034</v>
      </c>
      <c r="G485" s="51">
        <f>G482-G484</f>
        <v>-1251.2</v>
      </c>
      <c r="H485" s="51">
        <f>H482-H484</f>
        <v>-592.39999999999941</v>
      </c>
      <c r="I485" s="71"/>
      <c r="J485" s="51">
        <f t="shared" ref="J485" si="269">J482-J484</f>
        <v>-561.06536509367561</v>
      </c>
      <c r="K485" s="62"/>
      <c r="L485" s="67">
        <f t="shared" si="254"/>
        <v>5.5848456981642647E-2</v>
      </c>
    </row>
    <row r="486" spans="1:12" ht="12" customHeight="1" outlineLevel="1" x14ac:dyDescent="0.25">
      <c r="A486" s="70" t="str">
        <f t="shared" si="255"/>
        <v>XRAY</v>
      </c>
      <c r="B486" s="42" t="s">
        <v>354</v>
      </c>
      <c r="C486" s="46"/>
      <c r="D486" s="46"/>
      <c r="E486" s="72" t="str">
        <f t="shared" si="253"/>
        <v>EBITDA Margin (%) (XRAY)</v>
      </c>
      <c r="F486" s="47">
        <f>F485/F472</f>
        <v>0.19931647665073568</v>
      </c>
      <c r="G486" s="47">
        <f>G485/G472</f>
        <v>-0.31331697300545902</v>
      </c>
      <c r="H486" s="47">
        <f>H485/H472</f>
        <v>-0.14860898577628362</v>
      </c>
      <c r="I486" s="71"/>
      <c r="J486" s="47">
        <f t="shared" ref="J486" si="270">J485/J472</f>
        <v>-0.14216766171434181</v>
      </c>
      <c r="K486" s="62"/>
      <c r="L486" s="67">
        <f t="shared" si="254"/>
        <v>4.5307941231279347E-2</v>
      </c>
    </row>
    <row r="487" spans="1:12" ht="12" customHeight="1" outlineLevel="1" x14ac:dyDescent="0.25">
      <c r="A487" s="70" t="str">
        <f t="shared" si="255"/>
        <v>XRAY</v>
      </c>
      <c r="B487" s="42" t="s">
        <v>344</v>
      </c>
      <c r="C487" s="53"/>
      <c r="D487" s="53"/>
      <c r="E487" s="40" t="str">
        <f t="shared" si="253"/>
        <v>Total Depreciation &amp; Amortization (XRAY)</v>
      </c>
      <c r="F487" s="49">
        <f>F475</f>
        <v>271.7</v>
      </c>
      <c r="G487" s="49">
        <f>G475</f>
        <v>316.39999999999998</v>
      </c>
      <c r="H487" s="49">
        <f>H475</f>
        <v>330.8</v>
      </c>
      <c r="I487" s="71"/>
      <c r="J487" s="49">
        <f t="shared" ref="J487" si="271">J475</f>
        <v>334.04169740090776</v>
      </c>
      <c r="K487" s="62"/>
      <c r="L487" s="67">
        <f t="shared" si="254"/>
        <v>-9.7044693106596025E-3</v>
      </c>
    </row>
    <row r="488" spans="1:12" ht="12" customHeight="1" outlineLevel="1" x14ac:dyDescent="0.25">
      <c r="A488" s="70" t="str">
        <f t="shared" si="255"/>
        <v>XRAY</v>
      </c>
      <c r="B488" s="42" t="s">
        <v>346</v>
      </c>
      <c r="C488" s="46"/>
      <c r="D488" s="46"/>
      <c r="E488" s="72" t="str">
        <f t="shared" si="253"/>
        <v>% Total Revenue (XRAY)</v>
      </c>
      <c r="F488" s="47">
        <f>F487/F472</f>
        <v>7.2544255466851781E-2</v>
      </c>
      <c r="G488" s="47">
        <f>G487/G472</f>
        <v>7.9230730705664332E-2</v>
      </c>
      <c r="H488" s="47">
        <f>H487/H472</f>
        <v>8.2984220956776961E-2</v>
      </c>
      <c r="I488" s="71"/>
      <c r="J488" s="47">
        <f t="shared" ref="J488" si="272">J487/J472</f>
        <v>8.4642414216118747E-2</v>
      </c>
      <c r="K488" s="62"/>
      <c r="L488" s="67">
        <f t="shared" si="254"/>
        <v>-1.9590571402038459E-2</v>
      </c>
    </row>
    <row r="489" spans="1:12" ht="12" customHeight="1" outlineLevel="1" x14ac:dyDescent="0.25">
      <c r="A489" s="70" t="str">
        <f t="shared" si="255"/>
        <v>XRAY</v>
      </c>
      <c r="B489" s="43" t="s">
        <v>355</v>
      </c>
      <c r="C489" s="44"/>
      <c r="D489" s="44"/>
      <c r="E489" s="74" t="str">
        <f t="shared" si="253"/>
        <v>EBIT (XRAY)</v>
      </c>
      <c r="F489" s="54">
        <f>F485-F487</f>
        <v>474.80000000000035</v>
      </c>
      <c r="G489" s="54">
        <f>G485-G487</f>
        <v>-1567.6</v>
      </c>
      <c r="H489" s="54">
        <f>H485-H487</f>
        <v>-923.19999999999936</v>
      </c>
      <c r="I489" s="71"/>
      <c r="J489" s="54">
        <f t="shared" ref="J489" si="273">J485-J487</f>
        <v>-895.10706249458337</v>
      </c>
      <c r="K489" s="62"/>
      <c r="L489" s="67">
        <f t="shared" si="254"/>
        <v>3.1385002624293223E-2</v>
      </c>
    </row>
    <row r="490" spans="1:12" ht="12" customHeight="1" outlineLevel="1" x14ac:dyDescent="0.25">
      <c r="A490" s="70" t="str">
        <f t="shared" si="255"/>
        <v>XRAY</v>
      </c>
      <c r="B490" s="42" t="s">
        <v>356</v>
      </c>
      <c r="C490" s="46"/>
      <c r="D490" s="46"/>
      <c r="E490" s="72" t="str">
        <f t="shared" si="253"/>
        <v>EBIT Margin (%) (XRAY)</v>
      </c>
      <c r="F490" s="47">
        <f>F489/F472</f>
        <v>0.1267722211838839</v>
      </c>
      <c r="G490" s="47">
        <f>G489/G472</f>
        <v>-0.3925477037111233</v>
      </c>
      <c r="H490" s="47">
        <f>H489/H472</f>
        <v>-0.23159320673306055</v>
      </c>
      <c r="I490" s="71"/>
      <c r="J490" s="47">
        <f t="shared" ref="J490" si="274">J489/J472</f>
        <v>-0.22681007593046057</v>
      </c>
      <c r="K490" s="62"/>
      <c r="L490" s="67">
        <f t="shared" si="254"/>
        <v>2.1088705089391535E-2</v>
      </c>
    </row>
    <row r="491" spans="1:12" ht="12" customHeight="1" outlineLevel="1" x14ac:dyDescent="0.25">
      <c r="A491" s="70" t="str">
        <f t="shared" si="255"/>
        <v>XRAY</v>
      </c>
      <c r="B491" s="43" t="s">
        <v>357</v>
      </c>
      <c r="C491" s="44"/>
      <c r="D491" s="44"/>
      <c r="E491" s="74" t="str">
        <f t="shared" si="253"/>
        <v>Net Interest Expense (XRAY)</v>
      </c>
      <c r="F491" s="45">
        <f>SUM(F523,F524)</f>
        <v>33.9</v>
      </c>
      <c r="G491" s="45">
        <f t="shared" ref="G491:J491" si="275">SUM(G523,G524)</f>
        <v>35.9</v>
      </c>
      <c r="H491" s="45">
        <f t="shared" si="275"/>
        <v>35.199999999999996</v>
      </c>
      <c r="I491" s="71"/>
      <c r="J491" s="45">
        <f t="shared" si="275"/>
        <v>35.738512687343594</v>
      </c>
      <c r="K491" s="62"/>
      <c r="L491" s="67">
        <f t="shared" si="254"/>
        <v>-1.5068133698084907E-2</v>
      </c>
    </row>
    <row r="492" spans="1:12" ht="12" customHeight="1" outlineLevel="1" x14ac:dyDescent="0.25">
      <c r="A492" s="70" t="str">
        <f t="shared" si="255"/>
        <v>XRAY</v>
      </c>
      <c r="B492" s="42" t="s">
        <v>346</v>
      </c>
      <c r="C492" s="46"/>
      <c r="D492" s="46"/>
      <c r="E492" s="72" t="str">
        <f t="shared" si="253"/>
        <v>% Total Revenue (XRAY)</v>
      </c>
      <c r="F492" s="47">
        <f>F491/F472</f>
        <v>9.0513443515873211E-3</v>
      </c>
      <c r="G492" s="47">
        <f>G491/G472</f>
        <v>8.9898332248209544E-3</v>
      </c>
      <c r="H492" s="47">
        <f>H491/H472</f>
        <v>8.8302435842761446E-3</v>
      </c>
      <c r="I492" s="71"/>
      <c r="J492" s="47">
        <f t="shared" ref="J492" si="276">J491/J472</f>
        <v>9.0557377054626687E-3</v>
      </c>
      <c r="K492" s="62"/>
      <c r="L492" s="67">
        <f t="shared" si="254"/>
        <v>-2.4900690426413297E-2</v>
      </c>
    </row>
    <row r="493" spans="1:12" ht="12" customHeight="1" outlineLevel="1" x14ac:dyDescent="0.25">
      <c r="A493" s="70" t="str">
        <f t="shared" si="255"/>
        <v>XRAY</v>
      </c>
      <c r="B493" s="43" t="s">
        <v>358</v>
      </c>
      <c r="C493" s="44"/>
      <c r="D493" s="44"/>
      <c r="E493" s="74" t="str">
        <f t="shared" si="253"/>
        <v>EBT (XRAY)</v>
      </c>
      <c r="F493" s="54">
        <f>F489-F491</f>
        <v>440.90000000000038</v>
      </c>
      <c r="G493" s="54">
        <f>G489-G491</f>
        <v>-1603.5</v>
      </c>
      <c r="H493" s="54">
        <f>H489-H491</f>
        <v>-958.39999999999941</v>
      </c>
      <c r="I493" s="71"/>
      <c r="J493" s="54">
        <f t="shared" ref="J493" si="277">J489-J491</f>
        <v>-930.84557518192696</v>
      </c>
      <c r="K493" s="62"/>
      <c r="L493" s="67">
        <f t="shared" si="254"/>
        <v>2.9601499488985716E-2</v>
      </c>
    </row>
    <row r="494" spans="1:12" ht="12" customHeight="1" outlineLevel="1" x14ac:dyDescent="0.25">
      <c r="A494" s="70" t="str">
        <f t="shared" si="255"/>
        <v>XRAY</v>
      </c>
      <c r="B494" s="42" t="s">
        <v>359</v>
      </c>
      <c r="C494" s="46"/>
      <c r="D494" s="46"/>
      <c r="E494" s="72" t="str">
        <f t="shared" si="253"/>
        <v>EBT Margin (%) (XRAY)</v>
      </c>
      <c r="F494" s="47">
        <f>F493/F472</f>
        <v>0.11772087683229657</v>
      </c>
      <c r="G494" s="47">
        <f>G493/G472</f>
        <v>-0.40153753693594429</v>
      </c>
      <c r="H494" s="47">
        <f>H493/H472</f>
        <v>-0.24042345031733672</v>
      </c>
      <c r="I494" s="71"/>
      <c r="J494" s="47">
        <f t="shared" ref="J494" si="278">J493/J472</f>
        <v>-0.23586581363592324</v>
      </c>
      <c r="K494" s="62"/>
      <c r="L494" s="67">
        <f t="shared" si="254"/>
        <v>1.9323006633121143E-2</v>
      </c>
    </row>
    <row r="495" spans="1:12" ht="12" customHeight="1" outlineLevel="1" x14ac:dyDescent="0.25">
      <c r="A495" s="70" t="str">
        <f t="shared" si="255"/>
        <v>XRAY</v>
      </c>
      <c r="B495" s="42" t="s">
        <v>360</v>
      </c>
      <c r="C495" s="41"/>
      <c r="D495" s="41"/>
      <c r="E495" s="40" t="str">
        <f t="shared" si="253"/>
        <v>Income Tax Expense (XRAY)</v>
      </c>
      <c r="F495" s="55">
        <f>F527</f>
        <v>9.5</v>
      </c>
      <c r="G495" s="55">
        <f t="shared" ref="G495:J495" si="279">G527</f>
        <v>-53.2</v>
      </c>
      <c r="H495" s="55">
        <f t="shared" si="279"/>
        <v>52.5</v>
      </c>
      <c r="I495" s="71"/>
      <c r="J495" s="55">
        <f t="shared" si="279"/>
        <v>-3.4586592845661208</v>
      </c>
      <c r="K495" s="62"/>
      <c r="L495" s="67">
        <f t="shared" si="254"/>
        <v>-16.179292228718616</v>
      </c>
    </row>
    <row r="496" spans="1:12" ht="12" customHeight="1" outlineLevel="1" x14ac:dyDescent="0.25">
      <c r="A496" s="70" t="str">
        <f t="shared" si="255"/>
        <v>XRAY</v>
      </c>
      <c r="B496" s="42" t="s">
        <v>361</v>
      </c>
      <c r="C496" s="46"/>
      <c r="D496" s="46"/>
      <c r="E496" s="72" t="str">
        <f t="shared" si="253"/>
        <v>Effective Tax Rate (%) (XRAY)</v>
      </c>
      <c r="F496" s="47">
        <f>F495/F493</f>
        <v>2.1546836017237451E-2</v>
      </c>
      <c r="G496" s="47">
        <f>G495/G493</f>
        <v>3.3177424384159653E-2</v>
      </c>
      <c r="H496" s="47">
        <f>H495/H493</f>
        <v>-5.4778797996661133E-2</v>
      </c>
      <c r="I496" s="71"/>
      <c r="J496" s="47">
        <f t="shared" ref="J496" si="280">J495/J493</f>
        <v>3.7156101686256081E-3</v>
      </c>
      <c r="K496" s="62"/>
      <c r="L496" s="67">
        <f t="shared" si="254"/>
        <v>-15.742880848806491</v>
      </c>
    </row>
    <row r="497" spans="1:13" ht="12" customHeight="1" outlineLevel="1" x14ac:dyDescent="0.25">
      <c r="A497" s="70" t="str">
        <f t="shared" si="255"/>
        <v>XRAY</v>
      </c>
      <c r="B497" s="42" t="s">
        <v>362</v>
      </c>
      <c r="C497" s="41"/>
      <c r="D497" s="41"/>
      <c r="E497" s="40" t="str">
        <f t="shared" si="253"/>
        <v>Noncontrolling Interest (XRAY)</v>
      </c>
      <c r="F497" s="52">
        <f>F530</f>
        <v>1.5</v>
      </c>
      <c r="G497" s="52">
        <f t="shared" ref="G497:J497" si="281">G530</f>
        <v>-0.3</v>
      </c>
      <c r="H497" s="52">
        <f t="shared" si="281"/>
        <v>0.1</v>
      </c>
      <c r="I497" s="71"/>
      <c r="J497" s="52">
        <f t="shared" si="281"/>
        <v>0.5</v>
      </c>
      <c r="K497" s="62"/>
      <c r="L497" s="67">
        <f t="shared" si="254"/>
        <v>-0.8</v>
      </c>
    </row>
    <row r="498" spans="1:13" ht="12" customHeight="1" outlineLevel="1" thickBot="1" x14ac:dyDescent="0.3">
      <c r="A498" s="70" t="str">
        <f t="shared" si="255"/>
        <v>XRAY</v>
      </c>
      <c r="B498" s="43" t="s">
        <v>170</v>
      </c>
      <c r="C498" s="44"/>
      <c r="D498" s="44"/>
      <c r="E498" s="74" t="str">
        <f t="shared" si="253"/>
        <v>Net Income (XRAY)</v>
      </c>
      <c r="F498" s="56">
        <f>F493-SUM(F495,F497)</f>
        <v>429.90000000000038</v>
      </c>
      <c r="G498" s="56">
        <f>G493-SUM(G495,G497)</f>
        <v>-1550</v>
      </c>
      <c r="H498" s="56">
        <f>H493-SUM(H495,H497)</f>
        <v>-1010.9999999999994</v>
      </c>
      <c r="I498" s="71"/>
      <c r="J498" s="56">
        <f t="shared" ref="J498" si="282">J493-SUM(J495,J497)</f>
        <v>-927.88691589736084</v>
      </c>
      <c r="K498" s="62"/>
      <c r="L498" s="67">
        <f t="shared" si="254"/>
        <v>8.9572428146871497E-2</v>
      </c>
    </row>
    <row r="499" spans="1:13" ht="12" customHeight="1" outlineLevel="1" thickTop="1" x14ac:dyDescent="0.25">
      <c r="A499" s="70" t="str">
        <f t="shared" si="255"/>
        <v>XRAY</v>
      </c>
      <c r="B499" s="42" t="s">
        <v>363</v>
      </c>
      <c r="C499" s="46"/>
      <c r="D499" s="46"/>
      <c r="E499" s="72" t="str">
        <f t="shared" si="253"/>
        <v>Net Profit Margin (%) (XRAY)</v>
      </c>
      <c r="F499" s="47">
        <f>F498/F472</f>
        <v>0.11478386244092606</v>
      </c>
      <c r="G499" s="47">
        <f>G498/G472</f>
        <v>-0.38814043171232532</v>
      </c>
      <c r="H499" s="47">
        <f>H498/H472</f>
        <v>-0.25361864385520394</v>
      </c>
      <c r="I499" s="71"/>
      <c r="J499" s="47">
        <f t="shared" ref="J499" si="283">J498/J472</f>
        <v>-0.23511612260442288</v>
      </c>
      <c r="K499" s="62"/>
      <c r="L499" s="67">
        <f t="shared" si="254"/>
        <v>7.8695246611867109E-2</v>
      </c>
    </row>
    <row r="500" spans="1:13" ht="12" customHeight="1" outlineLevel="1" x14ac:dyDescent="0.25">
      <c r="A500" s="70" t="str">
        <f t="shared" si="255"/>
        <v>XRAY</v>
      </c>
      <c r="B500" s="42"/>
      <c r="C500" s="41"/>
      <c r="D500" s="41"/>
      <c r="E500" s="40" t="str">
        <f t="shared" si="253"/>
        <v xml:space="preserve"> (XRAY)</v>
      </c>
      <c r="F500" s="41"/>
      <c r="G500" s="41"/>
      <c r="H500" s="41"/>
      <c r="I500" s="71"/>
      <c r="J500" s="41"/>
      <c r="K500" s="62"/>
      <c r="L500" s="67"/>
    </row>
    <row r="501" spans="1:13" ht="12" customHeight="1" outlineLevel="1" x14ac:dyDescent="0.25">
      <c r="A501" s="70" t="str">
        <f t="shared" si="255"/>
        <v>XRAY</v>
      </c>
      <c r="B501" s="42"/>
      <c r="C501" s="41"/>
      <c r="D501" s="41"/>
      <c r="E501" s="40" t="str">
        <f t="shared" si="253"/>
        <v xml:space="preserve"> (XRAY)</v>
      </c>
      <c r="F501" s="41"/>
      <c r="G501" s="41"/>
      <c r="H501" s="41"/>
      <c r="I501" s="71"/>
      <c r="J501" s="41"/>
      <c r="K501" s="62"/>
      <c r="L501" s="67"/>
    </row>
    <row r="502" spans="1:13" ht="12" customHeight="1" outlineLevel="1" x14ac:dyDescent="0.25">
      <c r="A502" s="70" t="str">
        <f t="shared" si="255"/>
        <v>XRAY</v>
      </c>
      <c r="B502" s="42" t="s">
        <v>364</v>
      </c>
      <c r="C502" s="41"/>
      <c r="D502" s="41"/>
      <c r="E502" s="40" t="str">
        <f t="shared" si="253"/>
        <v>Earnings Per Share (XRAY)</v>
      </c>
      <c r="F502" s="41"/>
      <c r="G502" s="41"/>
      <c r="H502" s="41"/>
      <c r="I502" s="71"/>
      <c r="J502" s="41"/>
      <c r="K502" s="62"/>
      <c r="L502" s="67"/>
    </row>
    <row r="503" spans="1:13" ht="12" customHeight="1" outlineLevel="1" x14ac:dyDescent="0.25">
      <c r="A503" s="70" t="str">
        <f t="shared" si="255"/>
        <v>XRAY</v>
      </c>
      <c r="B503" s="42" t="s">
        <v>365</v>
      </c>
      <c r="C503" s="57"/>
      <c r="D503" s="57"/>
      <c r="E503" s="73" t="str">
        <f t="shared" si="253"/>
        <v>Basic (XRAY)</v>
      </c>
      <c r="F503" s="58">
        <f>F533</f>
        <v>1.97</v>
      </c>
      <c r="G503" s="58">
        <f t="shared" ref="G503:H503" si="284">G533</f>
        <v>-6.76</v>
      </c>
      <c r="H503" s="58">
        <f t="shared" si="284"/>
        <v>-4.51</v>
      </c>
      <c r="I503" s="71"/>
      <c r="J503" s="58">
        <f t="shared" ref="J503" si="285">J533</f>
        <v>-4.1081965642866951</v>
      </c>
      <c r="K503" s="62"/>
      <c r="L503" s="67">
        <f t="shared" si="254"/>
        <v>9.7805309318997891E-2</v>
      </c>
    </row>
    <row r="504" spans="1:13" ht="12" customHeight="1" outlineLevel="1" x14ac:dyDescent="0.25">
      <c r="A504" s="70" t="str">
        <f t="shared" si="255"/>
        <v>XRAY</v>
      </c>
      <c r="B504" s="42" t="s">
        <v>366</v>
      </c>
      <c r="C504" s="57"/>
      <c r="D504" s="57"/>
      <c r="E504" s="73" t="str">
        <f t="shared" si="253"/>
        <v>Diluted (XRAY)</v>
      </c>
      <c r="F504" s="58">
        <f>F534</f>
        <v>1.94</v>
      </c>
      <c r="G504" s="58">
        <f t="shared" ref="G504:H504" si="286">G534</f>
        <v>-6.76</v>
      </c>
      <c r="H504" s="58">
        <f t="shared" si="286"/>
        <v>-4.51</v>
      </c>
      <c r="I504" s="71"/>
      <c r="J504" s="58">
        <f t="shared" ref="J504" si="287">J534</f>
        <v>-4.1204153593981268</v>
      </c>
      <c r="K504" s="62"/>
      <c r="L504" s="67">
        <f t="shared" si="254"/>
        <v>9.4549846707391083E-2</v>
      </c>
    </row>
    <row r="505" spans="1:13" ht="12" customHeight="1" outlineLevel="1" x14ac:dyDescent="0.25">
      <c r="A505" s="70" t="str">
        <f t="shared" si="255"/>
        <v>XRAY</v>
      </c>
      <c r="B505" s="42"/>
      <c r="C505" s="41"/>
      <c r="D505" s="41"/>
      <c r="E505" s="40" t="str">
        <f t="shared" si="253"/>
        <v xml:space="preserve"> (XRAY)</v>
      </c>
      <c r="F505" s="41"/>
      <c r="G505" s="41"/>
      <c r="H505" s="41"/>
      <c r="I505" s="71"/>
      <c r="J505" s="41"/>
      <c r="K505" s="62"/>
      <c r="L505" s="67"/>
    </row>
    <row r="506" spans="1:13" ht="12" customHeight="1" outlineLevel="1" x14ac:dyDescent="0.25">
      <c r="A506" s="70" t="str">
        <f t="shared" si="255"/>
        <v>XRAY</v>
      </c>
      <c r="B506" s="42" t="s">
        <v>367</v>
      </c>
      <c r="C506" s="41"/>
      <c r="D506" s="41"/>
      <c r="E506" s="40" t="str">
        <f t="shared" si="253"/>
        <v>Avg. Common Shares Outstanding (XRAY)</v>
      </c>
      <c r="F506" s="41"/>
      <c r="G506" s="41"/>
      <c r="H506" s="41"/>
      <c r="I506" s="71"/>
      <c r="J506" s="41"/>
      <c r="K506" s="62"/>
      <c r="L506" s="67"/>
    </row>
    <row r="507" spans="1:13" ht="12" customHeight="1" outlineLevel="1" x14ac:dyDescent="0.25">
      <c r="A507" s="70" t="str">
        <f t="shared" si="255"/>
        <v>XRAY</v>
      </c>
      <c r="B507" s="42" t="s">
        <v>365</v>
      </c>
      <c r="C507" s="41"/>
      <c r="D507" s="41"/>
      <c r="E507" s="40" t="str">
        <f t="shared" si="253"/>
        <v>Basic (XRAY)</v>
      </c>
      <c r="F507" s="53">
        <f>F498/F503</f>
        <v>218.2233502538073</v>
      </c>
      <c r="G507" s="53">
        <f>G498/G503</f>
        <v>229.28994082840237</v>
      </c>
      <c r="H507" s="53">
        <f>H498/H503</f>
        <v>224.16851441241673</v>
      </c>
      <c r="I507" s="71"/>
      <c r="J507" s="53">
        <f t="shared" ref="J507" si="288">J498/J503</f>
        <v>225.86234650105393</v>
      </c>
      <c r="K507" s="62"/>
      <c r="L507" s="67">
        <f t="shared" si="254"/>
        <v>-7.4994000322639032E-3</v>
      </c>
    </row>
    <row r="508" spans="1:13" ht="12" customHeight="1" outlineLevel="1" x14ac:dyDescent="0.25">
      <c r="A508" s="70" t="str">
        <f t="shared" si="255"/>
        <v>XRAY</v>
      </c>
      <c r="B508" s="42" t="s">
        <v>366</v>
      </c>
      <c r="C508" s="41"/>
      <c r="D508" s="41"/>
      <c r="E508" s="40" t="str">
        <f t="shared" si="253"/>
        <v>Diluted (XRAY)</v>
      </c>
      <c r="F508" s="53">
        <f>F498/F504</f>
        <v>221.5979381443301</v>
      </c>
      <c r="G508" s="53">
        <f>G498/G504</f>
        <v>229.28994082840237</v>
      </c>
      <c r="H508" s="53">
        <f>H498/H504</f>
        <v>224.16851441241673</v>
      </c>
      <c r="I508" s="71"/>
      <c r="J508" s="53">
        <f t="shared" ref="J508" si="289">J498/J504</f>
        <v>225.19256797278277</v>
      </c>
      <c r="K508" s="62"/>
      <c r="L508" s="67">
        <f t="shared" si="254"/>
        <v>-4.5474571811349174E-3</v>
      </c>
    </row>
    <row r="509" spans="1:13" ht="12" customHeight="1" outlineLevel="1" x14ac:dyDescent="0.25">
      <c r="B509" s="62"/>
      <c r="C509" s="62"/>
      <c r="D509" s="62"/>
      <c r="E509" s="62"/>
      <c r="F509" s="62"/>
      <c r="G509" s="62"/>
      <c r="H509" s="62"/>
      <c r="I509" s="15"/>
      <c r="J509" s="62"/>
      <c r="K509" s="62"/>
      <c r="L509" s="62"/>
    </row>
    <row r="510" spans="1:13" ht="12" customHeight="1" outlineLevel="1" x14ac:dyDescent="0.25">
      <c r="B510" s="63" t="s">
        <v>371</v>
      </c>
      <c r="C510" s="63"/>
      <c r="D510" s="63"/>
      <c r="E510" s="63"/>
      <c r="F510" s="63"/>
      <c r="G510" s="63"/>
      <c r="H510" s="63"/>
      <c r="I510" s="63"/>
      <c r="J510" s="63"/>
      <c r="K510" s="63"/>
      <c r="L510" s="64"/>
      <c r="M510" s="64"/>
    </row>
    <row r="511" spans="1:13" ht="12" hidden="1" customHeight="1" outlineLevel="2" x14ac:dyDescent="0.25">
      <c r="B511" s="1"/>
    </row>
    <row r="512" spans="1:13" ht="12" hidden="1" customHeight="1" outlineLevel="2" x14ac:dyDescent="0.25">
      <c r="B512" s="8" t="s">
        <v>1</v>
      </c>
    </row>
    <row r="513" spans="2:12" ht="12" hidden="1" customHeight="1" outlineLevel="2" x14ac:dyDescent="0.25">
      <c r="B513" s="8" t="s">
        <v>230</v>
      </c>
      <c r="F513" s="3" t="s">
        <v>4</v>
      </c>
      <c r="G513" s="3" t="s">
        <v>3</v>
      </c>
      <c r="H513" s="3" t="s">
        <v>2</v>
      </c>
      <c r="J513" s="14" t="s">
        <v>2</v>
      </c>
      <c r="L513" s="36">
        <f>MEDIAN(L515:L542)</f>
        <v>6.0764734853602231E-3</v>
      </c>
    </row>
    <row r="514" spans="2:12" ht="12" hidden="1" customHeight="1" outlineLevel="2" x14ac:dyDescent="0.25">
      <c r="B514" s="8" t="s">
        <v>5</v>
      </c>
      <c r="J514" s="15"/>
    </row>
    <row r="515" spans="2:12" ht="12" hidden="1" customHeight="1" outlineLevel="2" x14ac:dyDescent="0.25">
      <c r="B515" s="8" t="s">
        <v>6</v>
      </c>
      <c r="F515" s="3">
        <v>3745.3</v>
      </c>
      <c r="G515" s="3">
        <v>3993.4</v>
      </c>
      <c r="H515" s="3">
        <v>3986.3</v>
      </c>
      <c r="J515" s="14">
        <v>3946.5048403273809</v>
      </c>
      <c r="L515" s="36">
        <f t="shared" ref="L515:L537" si="290">IF(ISERROR(H515/J515-1),0,(H515/J515-1))</f>
        <v>1.0083646487892839E-2</v>
      </c>
    </row>
    <row r="516" spans="2:12" ht="12" hidden="1" customHeight="1" outlineLevel="2" x14ac:dyDescent="0.25">
      <c r="B516" s="8" t="s">
        <v>114</v>
      </c>
      <c r="F516" s="6">
        <v>1744.4</v>
      </c>
      <c r="G516" s="6">
        <v>1804.9</v>
      </c>
      <c r="H516" s="6">
        <v>1918.5</v>
      </c>
      <c r="J516" s="14">
        <v>1857.1066857873363</v>
      </c>
      <c r="L516" s="36">
        <f t="shared" si="290"/>
        <v>3.3058582300367734E-2</v>
      </c>
    </row>
    <row r="517" spans="2:12" ht="12" hidden="1" customHeight="1" outlineLevel="2" x14ac:dyDescent="0.25">
      <c r="B517" s="8" t="s">
        <v>8</v>
      </c>
      <c r="F517" s="9">
        <f>F515-F516</f>
        <v>2000.9</v>
      </c>
      <c r="G517" s="9">
        <f t="shared" ref="G517:H517" si="291">G515-G516</f>
        <v>2188.5</v>
      </c>
      <c r="H517" s="9">
        <f t="shared" si="291"/>
        <v>2067.8000000000002</v>
      </c>
      <c r="J517" s="17">
        <v>2089.3981545400447</v>
      </c>
      <c r="L517" s="36">
        <f t="shared" si="290"/>
        <v>-1.0337021928115475E-2</v>
      </c>
    </row>
    <row r="518" spans="2:12" ht="12" hidden="1" customHeight="1" outlineLevel="2" x14ac:dyDescent="0.25">
      <c r="B518" s="8" t="s">
        <v>219</v>
      </c>
      <c r="F518" s="2">
        <v>1523</v>
      </c>
      <c r="G518" s="2">
        <v>1674.7</v>
      </c>
      <c r="H518" s="2">
        <v>1719.1</v>
      </c>
      <c r="J518" s="14">
        <v>1709.4400068599109</v>
      </c>
      <c r="L518" s="36">
        <f t="shared" si="290"/>
        <v>5.650969382560378E-3</v>
      </c>
    </row>
    <row r="519" spans="2:12" ht="12" hidden="1" customHeight="1" outlineLevel="2" x14ac:dyDescent="0.25">
      <c r="B519" s="8" t="s">
        <v>220</v>
      </c>
      <c r="F519" s="3">
        <v>0</v>
      </c>
      <c r="G519" s="3">
        <v>1650.9</v>
      </c>
      <c r="H519" s="3">
        <v>1085.8</v>
      </c>
      <c r="J519" s="14">
        <v>1085.8</v>
      </c>
      <c r="L519" s="36">
        <f t="shared" si="290"/>
        <v>0</v>
      </c>
    </row>
    <row r="520" spans="2:12" ht="12" hidden="1" customHeight="1" outlineLevel="2" x14ac:dyDescent="0.25">
      <c r="B520" s="8" t="s">
        <v>221</v>
      </c>
      <c r="F520" s="3">
        <v>23.2</v>
      </c>
      <c r="G520" s="3">
        <v>425.2</v>
      </c>
      <c r="H520" s="3">
        <v>221</v>
      </c>
      <c r="J520" s="14">
        <v>219.66521017471726</v>
      </c>
      <c r="L520" s="36">
        <f t="shared" si="290"/>
        <v>6.0764734853602231E-3</v>
      </c>
    </row>
    <row r="521" spans="2:12" ht="12" hidden="1" customHeight="1" outlineLevel="2" x14ac:dyDescent="0.25">
      <c r="B521" s="8" t="s">
        <v>222</v>
      </c>
      <c r="F521" s="9">
        <f>F517-SUM(F518:F520)</f>
        <v>454.70000000000005</v>
      </c>
      <c r="G521" s="9">
        <f t="shared" ref="G521:H521" si="292">G517-SUM(G518:G520)</f>
        <v>-1562.3000000000002</v>
      </c>
      <c r="H521" s="9">
        <f t="shared" si="292"/>
        <v>-958.09999999999945</v>
      </c>
      <c r="J521" s="17">
        <v>-925.50706249458335</v>
      </c>
      <c r="L521" s="36">
        <f t="shared" si="290"/>
        <v>3.5216303393262205E-2</v>
      </c>
    </row>
    <row r="522" spans="2:12" ht="12" hidden="1" customHeight="1" outlineLevel="2" x14ac:dyDescent="0.25">
      <c r="B522" s="8" t="s">
        <v>223</v>
      </c>
      <c r="J522" s="15"/>
      <c r="L522" s="35"/>
    </row>
    <row r="523" spans="2:12" ht="12" hidden="1" customHeight="1" outlineLevel="2" x14ac:dyDescent="0.25">
      <c r="B523" s="8" t="s">
        <v>13</v>
      </c>
      <c r="F523" s="3">
        <v>35.9</v>
      </c>
      <c r="G523" s="3">
        <v>38.299999999999997</v>
      </c>
      <c r="H523" s="3">
        <v>37.299999999999997</v>
      </c>
      <c r="J523" s="14">
        <v>37.95045559154002</v>
      </c>
      <c r="L523" s="36">
        <f t="shared" si="290"/>
        <v>-1.7139599021968599E-2</v>
      </c>
    </row>
    <row r="524" spans="2:12" ht="12" hidden="1" customHeight="1" outlineLevel="2" x14ac:dyDescent="0.25">
      <c r="B524" s="8" t="s">
        <v>14</v>
      </c>
      <c r="F524" s="3">
        <v>-2</v>
      </c>
      <c r="G524" s="3">
        <v>-2.4</v>
      </c>
      <c r="H524" s="3">
        <v>-2.1</v>
      </c>
      <c r="J524" s="14">
        <v>-2.2119429041964285</v>
      </c>
      <c r="L524" s="36">
        <f t="shared" si="290"/>
        <v>-5.0608405842688664E-2</v>
      </c>
    </row>
    <row r="525" spans="2:12" ht="12" hidden="1" customHeight="1" outlineLevel="2" x14ac:dyDescent="0.25">
      <c r="B525" s="8" t="s">
        <v>224</v>
      </c>
      <c r="F525" s="3">
        <v>-20.100000000000001</v>
      </c>
      <c r="G525" s="3">
        <v>5.3</v>
      </c>
      <c r="H525" s="3">
        <v>-34.9</v>
      </c>
      <c r="J525" s="14">
        <v>-30.400000000000002</v>
      </c>
      <c r="L525" s="36">
        <f t="shared" si="290"/>
        <v>0.14802631578947345</v>
      </c>
    </row>
    <row r="526" spans="2:12" ht="12" hidden="1" customHeight="1" outlineLevel="2" x14ac:dyDescent="0.25">
      <c r="B526" s="8" t="s">
        <v>225</v>
      </c>
      <c r="F526" s="9">
        <f>F521-SUM(F523:F525)</f>
        <v>440.90000000000003</v>
      </c>
      <c r="G526" s="9">
        <f t="shared" ref="G526:H526" si="293">G521-SUM(G523:G525)</f>
        <v>-1603.5000000000002</v>
      </c>
      <c r="H526" s="9">
        <f t="shared" si="293"/>
        <v>-958.39999999999941</v>
      </c>
      <c r="J526" s="17">
        <v>-930.84557518192696</v>
      </c>
      <c r="L526" s="36">
        <f t="shared" si="290"/>
        <v>2.9601499488985716E-2</v>
      </c>
    </row>
    <row r="527" spans="2:12" ht="12" hidden="1" customHeight="1" outlineLevel="2" x14ac:dyDescent="0.25">
      <c r="B527" s="8" t="s">
        <v>288</v>
      </c>
      <c r="F527" s="3">
        <v>9.5</v>
      </c>
      <c r="G527" s="3">
        <v>-53.2</v>
      </c>
      <c r="H527" s="3">
        <v>52.5</v>
      </c>
      <c r="J527" s="14">
        <v>-3.4586592845661208</v>
      </c>
      <c r="L527" s="36">
        <f t="shared" si="290"/>
        <v>-16.179292228718616</v>
      </c>
    </row>
    <row r="528" spans="2:12" ht="12" hidden="1" customHeight="1" outlineLevel="2" x14ac:dyDescent="0.25">
      <c r="B528" s="8" t="s">
        <v>289</v>
      </c>
      <c r="F528" s="6">
        <v>0</v>
      </c>
      <c r="G528" s="6">
        <v>0</v>
      </c>
      <c r="H528" s="6">
        <v>0</v>
      </c>
      <c r="J528" s="14">
        <v>0</v>
      </c>
      <c r="L528" s="36">
        <f t="shared" si="290"/>
        <v>0</v>
      </c>
    </row>
    <row r="529" spans="2:13" ht="12" hidden="1" customHeight="1" outlineLevel="2" thickBot="1" x14ac:dyDescent="0.3">
      <c r="B529" s="8" t="s">
        <v>226</v>
      </c>
      <c r="F529" s="10">
        <f>F526-F527+F528</f>
        <v>431.40000000000003</v>
      </c>
      <c r="G529" s="10">
        <f t="shared" ref="G529:H529" si="294">G526-G527+G528</f>
        <v>-1550.3000000000002</v>
      </c>
      <c r="H529" s="10">
        <f t="shared" si="294"/>
        <v>-1010.8999999999994</v>
      </c>
      <c r="J529" s="19">
        <v>-927.38691589736084</v>
      </c>
      <c r="L529" s="36">
        <f t="shared" si="290"/>
        <v>9.0052040492537566E-2</v>
      </c>
    </row>
    <row r="530" spans="2:13" ht="12" hidden="1" customHeight="1" outlineLevel="2" thickTop="1" x14ac:dyDescent="0.25">
      <c r="B530" s="8" t="s">
        <v>290</v>
      </c>
      <c r="F530" s="2">
        <v>1.5</v>
      </c>
      <c r="G530" s="2">
        <v>-0.3</v>
      </c>
      <c r="H530" s="2">
        <v>0.1</v>
      </c>
      <c r="J530" s="14">
        <v>0.5</v>
      </c>
      <c r="L530" s="36">
        <f t="shared" si="290"/>
        <v>-0.8</v>
      </c>
    </row>
    <row r="531" spans="2:13" ht="12" hidden="1" customHeight="1" outlineLevel="2" thickBot="1" x14ac:dyDescent="0.3">
      <c r="B531" s="8" t="s">
        <v>227</v>
      </c>
      <c r="F531" s="10">
        <f>F529-F530</f>
        <v>429.90000000000003</v>
      </c>
      <c r="G531" s="10">
        <f t="shared" ref="G531:H531" si="295">G529-G530</f>
        <v>-1550.0000000000002</v>
      </c>
      <c r="H531" s="10">
        <f t="shared" si="295"/>
        <v>-1010.9999999999994</v>
      </c>
      <c r="J531" s="19">
        <v>-927.88691589736084</v>
      </c>
      <c r="L531" s="36">
        <f t="shared" si="290"/>
        <v>8.9572428146871497E-2</v>
      </c>
    </row>
    <row r="532" spans="2:13" ht="12" hidden="1" customHeight="1" outlineLevel="2" thickTop="1" x14ac:dyDescent="0.25">
      <c r="B532" s="8" t="s">
        <v>228</v>
      </c>
      <c r="J532" s="15"/>
      <c r="L532" s="35"/>
    </row>
    <row r="533" spans="2:13" ht="12" hidden="1" customHeight="1" outlineLevel="2" x14ac:dyDescent="0.25">
      <c r="B533" s="8" t="s">
        <v>19</v>
      </c>
      <c r="F533" s="11">
        <v>1.97</v>
      </c>
      <c r="G533" s="11">
        <v>-6.76</v>
      </c>
      <c r="H533" s="11">
        <v>-4.51</v>
      </c>
      <c r="J533" s="20">
        <v>-4.1081965642866951</v>
      </c>
      <c r="L533" s="36">
        <f t="shared" si="290"/>
        <v>9.7805309318997891E-2</v>
      </c>
    </row>
    <row r="534" spans="2:13" ht="12" hidden="1" customHeight="1" outlineLevel="2" x14ac:dyDescent="0.25">
      <c r="B534" s="8" t="s">
        <v>20</v>
      </c>
      <c r="F534" s="11">
        <v>1.94</v>
      </c>
      <c r="G534" s="11">
        <v>-6.76</v>
      </c>
      <c r="H534" s="11">
        <v>-4.51</v>
      </c>
      <c r="J534" s="20">
        <v>-4.1204153593981268</v>
      </c>
      <c r="L534" s="36">
        <f t="shared" si="290"/>
        <v>9.4549846707391083E-2</v>
      </c>
    </row>
    <row r="535" spans="2:13" ht="12" hidden="1" customHeight="1" outlineLevel="2" x14ac:dyDescent="0.25">
      <c r="B535" s="8" t="s">
        <v>229</v>
      </c>
      <c r="J535" s="15"/>
      <c r="L535" s="35"/>
    </row>
    <row r="536" spans="2:13" ht="12" hidden="1" customHeight="1" outlineLevel="2" x14ac:dyDescent="0.25">
      <c r="B536" s="8" t="s">
        <v>22</v>
      </c>
      <c r="F536" s="3">
        <v>218</v>
      </c>
      <c r="G536" s="3">
        <v>229.4</v>
      </c>
      <c r="H536" s="3">
        <v>224.3</v>
      </c>
      <c r="J536" s="14">
        <v>222.4</v>
      </c>
      <c r="L536" s="36">
        <f t="shared" si="290"/>
        <v>8.5431654676260127E-3</v>
      </c>
    </row>
    <row r="537" spans="2:13" ht="12" hidden="1" customHeight="1" outlineLevel="2" x14ac:dyDescent="0.25">
      <c r="B537" s="8" t="s">
        <v>23</v>
      </c>
      <c r="F537" s="3">
        <v>221.6</v>
      </c>
      <c r="G537" s="3">
        <v>229.4</v>
      </c>
      <c r="H537" s="3">
        <v>224.3</v>
      </c>
      <c r="J537" s="14">
        <v>223.7</v>
      </c>
      <c r="L537" s="36">
        <f t="shared" si="290"/>
        <v>2.6821636119804815E-3</v>
      </c>
    </row>
    <row r="538" spans="2:13" ht="12" hidden="1" customHeight="1" outlineLevel="2" x14ac:dyDescent="0.25">
      <c r="B538" s="8" t="s">
        <v>291</v>
      </c>
      <c r="L538" s="35"/>
    </row>
    <row r="539" spans="2:13" ht="12" hidden="1" customHeight="1" outlineLevel="2" x14ac:dyDescent="0.25">
      <c r="J539" s="31"/>
      <c r="L539" s="35"/>
    </row>
    <row r="540" spans="2:13" ht="12" hidden="1" customHeight="1" outlineLevel="2" x14ac:dyDescent="0.25">
      <c r="B540" s="8" t="s">
        <v>109</v>
      </c>
      <c r="F540" s="3">
        <v>116.6</v>
      </c>
      <c r="G540" s="3">
        <v>127.3</v>
      </c>
      <c r="H540" s="3">
        <v>132.9</v>
      </c>
      <c r="J540" s="14">
        <v>136.40616990552084</v>
      </c>
      <c r="L540" s="36">
        <f t="shared" ref="L540:L542" si="296">IF(ISERROR(H540/J540-1),0,(H540/J540-1))</f>
        <v>-2.570389527064143E-2</v>
      </c>
    </row>
    <row r="541" spans="2:13" ht="12" hidden="1" customHeight="1" outlineLevel="2" x14ac:dyDescent="0.25">
      <c r="B541" s="8" t="s">
        <v>80</v>
      </c>
      <c r="F541" s="3">
        <v>155.1</v>
      </c>
      <c r="G541" s="3">
        <v>189.1</v>
      </c>
      <c r="H541" s="3">
        <v>197.9</v>
      </c>
      <c r="J541" s="14">
        <v>197.6355274953869</v>
      </c>
      <c r="L541" s="36">
        <f t="shared" si="296"/>
        <v>1.3381830077048296E-3</v>
      </c>
    </row>
    <row r="542" spans="2:13" ht="12" hidden="1" customHeight="1" outlineLevel="2" x14ac:dyDescent="0.25">
      <c r="B542" s="8" t="s">
        <v>26</v>
      </c>
      <c r="F542" s="3">
        <v>-125</v>
      </c>
      <c r="G542" s="3">
        <v>-144.30000000000001</v>
      </c>
      <c r="H542" s="3">
        <v>-182.5</v>
      </c>
      <c r="J542" s="14">
        <v>-176.92945238309949</v>
      </c>
      <c r="L542" s="36">
        <f t="shared" si="296"/>
        <v>3.1484569368579685E-2</v>
      </c>
    </row>
    <row r="543" spans="2:13" ht="12" customHeight="1" outlineLevel="1" collapsed="1" x14ac:dyDescent="0.25"/>
    <row r="544" spans="2:13" ht="12" customHeight="1" x14ac:dyDescent="0.25">
      <c r="B544" s="61" t="s">
        <v>378</v>
      </c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91" t="s">
        <v>33</v>
      </c>
    </row>
    <row r="545" spans="1:12" ht="12" customHeight="1" x14ac:dyDescent="0.25">
      <c r="B545" s="38"/>
      <c r="C545" s="15"/>
      <c r="D545" s="15"/>
      <c r="E545" s="15"/>
      <c r="F545" s="15"/>
      <c r="G545" s="15"/>
      <c r="H545" s="15"/>
      <c r="I545" s="15"/>
      <c r="J545" s="15"/>
      <c r="K545" s="62"/>
      <c r="L545" s="62"/>
    </row>
    <row r="546" spans="1:12" ht="12" customHeight="1" outlineLevel="1" x14ac:dyDescent="0.25">
      <c r="B546" s="85" t="s">
        <v>338</v>
      </c>
      <c r="C546" s="86"/>
      <c r="D546" s="86"/>
      <c r="E546" s="86"/>
      <c r="F546" s="89" t="s">
        <v>369</v>
      </c>
      <c r="G546" s="89"/>
      <c r="H546" s="90"/>
      <c r="I546" s="15"/>
      <c r="J546" s="82" t="s">
        <v>370</v>
      </c>
      <c r="K546" s="62"/>
      <c r="L546" s="68" t="s">
        <v>386</v>
      </c>
    </row>
    <row r="547" spans="1:12" ht="12" customHeight="1" outlineLevel="1" x14ac:dyDescent="0.25">
      <c r="B547" s="87"/>
      <c r="C547" s="88"/>
      <c r="D547" s="88"/>
      <c r="E547" s="88"/>
      <c r="F547" s="39">
        <f>G547-1</f>
        <v>2016</v>
      </c>
      <c r="G547" s="39">
        <f>H547-1</f>
        <v>2017</v>
      </c>
      <c r="H547" s="60">
        <f>J547</f>
        <v>2018</v>
      </c>
      <c r="I547" s="15"/>
      <c r="J547" s="81">
        <v>2018</v>
      </c>
      <c r="K547" s="62"/>
      <c r="L547" s="68" t="s">
        <v>370</v>
      </c>
    </row>
    <row r="548" spans="1:12" ht="12" customHeight="1" outlineLevel="1" x14ac:dyDescent="0.25">
      <c r="B548" s="62"/>
      <c r="C548" s="62"/>
      <c r="D548" s="62"/>
      <c r="E548" s="62"/>
      <c r="F548" s="40"/>
      <c r="G548" s="40"/>
      <c r="H548" s="40"/>
      <c r="I548" s="15"/>
      <c r="J548" s="40"/>
      <c r="K548" s="62"/>
      <c r="L548" s="62"/>
    </row>
    <row r="549" spans="1:12" ht="12" customHeight="1" outlineLevel="1" x14ac:dyDescent="0.25">
      <c r="A549" s="70" t="str">
        <f>M544</f>
        <v>BMY</v>
      </c>
      <c r="B549" s="43" t="s">
        <v>340</v>
      </c>
      <c r="C549" s="44"/>
      <c r="D549" s="44"/>
      <c r="E549" s="74" t="str">
        <f>B549&amp;" ("&amp;A549&amp;")"</f>
        <v>Total Revenue (BMY)</v>
      </c>
      <c r="F549" s="45">
        <f>F594</f>
        <v>19427</v>
      </c>
      <c r="G549" s="45">
        <f t="shared" ref="G549:J549" si="297">G594</f>
        <v>20776</v>
      </c>
      <c r="H549" s="45">
        <f t="shared" si="297"/>
        <v>22561</v>
      </c>
      <c r="I549" s="71"/>
      <c r="J549" s="45">
        <f t="shared" si="297"/>
        <v>22537.430771523119</v>
      </c>
      <c r="K549" s="62"/>
      <c r="L549" s="67">
        <f>IF(ISERROR(H549/J549-1),0,(H549/J549-1))</f>
        <v>1.045781514131594E-3</v>
      </c>
    </row>
    <row r="550" spans="1:12" ht="12" customHeight="1" outlineLevel="1" x14ac:dyDescent="0.25">
      <c r="A550" s="70" t="str">
        <f>A549</f>
        <v>BMY</v>
      </c>
      <c r="B550" s="42" t="s">
        <v>341</v>
      </c>
      <c r="C550" s="46"/>
      <c r="D550" s="46"/>
      <c r="E550" s="72" t="str">
        <f t="shared" ref="E550:E585" si="298">B550&amp;" ("&amp;A550&amp;")"</f>
        <v>% Growth (BMY)</v>
      </c>
      <c r="F550" s="47" t="s">
        <v>342</v>
      </c>
      <c r="G550" s="47">
        <f>G549/F549-1</f>
        <v>6.9439439954702253E-2</v>
      </c>
      <c r="H550" s="47">
        <f>H549/G549-1</f>
        <v>8.591644204851745E-2</v>
      </c>
      <c r="I550" s="71"/>
      <c r="J550" s="47">
        <f>J549/G549-1</f>
        <v>8.4781997089098837E-2</v>
      </c>
      <c r="K550" s="62"/>
      <c r="L550" s="67">
        <f t="shared" ref="L550:L585" si="299">IF(ISERROR(H550/J550-1),0,(H550/J550-1))</f>
        <v>1.3380729380866097E-2</v>
      </c>
    </row>
    <row r="551" spans="1:12" ht="12" customHeight="1" outlineLevel="1" x14ac:dyDescent="0.25">
      <c r="A551" s="70" t="str">
        <f t="shared" ref="A551:A585" si="300">A550</f>
        <v>BMY</v>
      </c>
      <c r="B551" s="42" t="s">
        <v>343</v>
      </c>
      <c r="C551" s="41"/>
      <c r="D551" s="41"/>
      <c r="E551" s="40" t="str">
        <f t="shared" si="298"/>
        <v>COGS (BMY)</v>
      </c>
      <c r="F551" s="48">
        <f>F595</f>
        <v>4969</v>
      </c>
      <c r="G551" s="48">
        <f t="shared" ref="G551:H551" si="301">G595</f>
        <v>6094</v>
      </c>
      <c r="H551" s="48">
        <f t="shared" si="301"/>
        <v>6547</v>
      </c>
      <c r="I551" s="71"/>
      <c r="J551" s="48">
        <f t="shared" ref="J551" si="302">J595</f>
        <v>6578.7537115999776</v>
      </c>
      <c r="K551" s="62"/>
      <c r="L551" s="67">
        <f t="shared" si="299"/>
        <v>-4.8267062413338557E-3</v>
      </c>
    </row>
    <row r="552" spans="1:12" ht="12" customHeight="1" outlineLevel="1" x14ac:dyDescent="0.25">
      <c r="A552" s="70" t="str">
        <f t="shared" si="300"/>
        <v>BMY</v>
      </c>
      <c r="B552" s="42" t="s">
        <v>344</v>
      </c>
      <c r="C552" s="41"/>
      <c r="D552" s="41"/>
      <c r="E552" s="40" t="str">
        <f t="shared" si="298"/>
        <v>Total Depreciation &amp; Amortization (BMY)</v>
      </c>
      <c r="F552" s="48">
        <f>F612</f>
        <v>382</v>
      </c>
      <c r="G552" s="48">
        <f t="shared" ref="G552:H552" si="303">G612</f>
        <v>789</v>
      </c>
      <c r="H552" s="48">
        <f t="shared" si="303"/>
        <v>637</v>
      </c>
      <c r="I552" s="71"/>
      <c r="J552" s="48">
        <f t="shared" ref="J552" si="304">J612</f>
        <v>663.35536161754749</v>
      </c>
      <c r="K552" s="62"/>
      <c r="L552" s="67">
        <f t="shared" si="299"/>
        <v>-3.9730381545845517E-2</v>
      </c>
    </row>
    <row r="553" spans="1:12" ht="12" customHeight="1" outlineLevel="1" x14ac:dyDescent="0.25">
      <c r="A553" s="70" t="str">
        <f t="shared" si="300"/>
        <v>BMY</v>
      </c>
      <c r="B553" s="42" t="s">
        <v>345</v>
      </c>
      <c r="C553" s="41"/>
      <c r="D553" s="41"/>
      <c r="E553" s="40" t="str">
        <f t="shared" si="298"/>
        <v>COGS (Exclusive of D&amp;A) (BMY)</v>
      </c>
      <c r="F553" s="49">
        <f>F551-F552</f>
        <v>4587</v>
      </c>
      <c r="G553" s="49">
        <f>G551-G552</f>
        <v>5305</v>
      </c>
      <c r="H553" s="49">
        <f>H551-H552</f>
        <v>5910</v>
      </c>
      <c r="I553" s="71"/>
      <c r="J553" s="49">
        <f t="shared" ref="J553" si="305">J551-J552</f>
        <v>5915.3983499824299</v>
      </c>
      <c r="K553" s="62"/>
      <c r="L553" s="67">
        <f t="shared" si="299"/>
        <v>-9.1259280661060149E-4</v>
      </c>
    </row>
    <row r="554" spans="1:12" ht="12" customHeight="1" outlineLevel="1" x14ac:dyDescent="0.25">
      <c r="A554" s="70" t="str">
        <f t="shared" si="300"/>
        <v>BMY</v>
      </c>
      <c r="B554" s="42" t="s">
        <v>346</v>
      </c>
      <c r="C554" s="46"/>
      <c r="D554" s="46"/>
      <c r="E554" s="72" t="str">
        <f t="shared" si="298"/>
        <v>% Total Revenue (BMY)</v>
      </c>
      <c r="F554" s="50">
        <f>F553/F549</f>
        <v>0.23611468574664127</v>
      </c>
      <c r="G554" s="50">
        <f>G553/G549</f>
        <v>0.25534270311898344</v>
      </c>
      <c r="H554" s="50">
        <f>H553/H549</f>
        <v>0.26195647356056911</v>
      </c>
      <c r="I554" s="71"/>
      <c r="J554" s="50">
        <f t="shared" ref="J554" si="306">J553/J549</f>
        <v>0.26246995098734838</v>
      </c>
      <c r="K554" s="62"/>
      <c r="L554" s="67">
        <f t="shared" si="299"/>
        <v>-1.9563284286360227E-3</v>
      </c>
    </row>
    <row r="555" spans="1:12" ht="12" customHeight="1" outlineLevel="1" x14ac:dyDescent="0.25">
      <c r="A555" s="70" t="str">
        <f t="shared" si="300"/>
        <v>BMY</v>
      </c>
      <c r="B555" s="43" t="s">
        <v>347</v>
      </c>
      <c r="C555" s="44"/>
      <c r="D555" s="44"/>
      <c r="E555" s="74" t="str">
        <f t="shared" si="298"/>
        <v>Gross Profit (BMY)</v>
      </c>
      <c r="F555" s="51">
        <f>F549-F553</f>
        <v>14840</v>
      </c>
      <c r="G555" s="51">
        <f>G549-G553</f>
        <v>15471</v>
      </c>
      <c r="H555" s="51">
        <f>H549-H553</f>
        <v>16651</v>
      </c>
      <c r="I555" s="71"/>
      <c r="J555" s="51">
        <f t="shared" ref="J555" si="307">J549-J553</f>
        <v>16622.032421540687</v>
      </c>
      <c r="K555" s="62"/>
      <c r="L555" s="67">
        <f t="shared" si="299"/>
        <v>1.742721811911041E-3</v>
      </c>
    </row>
    <row r="556" spans="1:12" ht="12" customHeight="1" outlineLevel="1" x14ac:dyDescent="0.25">
      <c r="A556" s="70" t="str">
        <f t="shared" si="300"/>
        <v>BMY</v>
      </c>
      <c r="B556" s="42" t="s">
        <v>348</v>
      </c>
      <c r="C556" s="46"/>
      <c r="D556" s="46"/>
      <c r="E556" s="72" t="str">
        <f t="shared" si="298"/>
        <v>Gross Profit Margin (%) (BMY)</v>
      </c>
      <c r="F556" s="47">
        <f>F555/F549</f>
        <v>0.7638853142533587</v>
      </c>
      <c r="G556" s="47">
        <f>G555/G549</f>
        <v>0.74465729688101656</v>
      </c>
      <c r="H556" s="47">
        <f>H555/H549</f>
        <v>0.73804352643943083</v>
      </c>
      <c r="I556" s="71"/>
      <c r="J556" s="47">
        <f t="shared" ref="J556" si="308">J555/J549</f>
        <v>0.73753004901265151</v>
      </c>
      <c r="K556" s="62"/>
      <c r="L556" s="67">
        <f t="shared" si="299"/>
        <v>6.9621221191829008E-4</v>
      </c>
    </row>
    <row r="557" spans="1:12" ht="12" customHeight="1" outlineLevel="1" x14ac:dyDescent="0.25">
      <c r="A557" s="70" t="str">
        <f t="shared" si="300"/>
        <v>BMY</v>
      </c>
      <c r="B557" s="42" t="s">
        <v>349</v>
      </c>
      <c r="C557" s="41"/>
      <c r="D557" s="41"/>
      <c r="E557" s="40" t="str">
        <f t="shared" si="298"/>
        <v>Operating expenses (BMY)</v>
      </c>
      <c r="F557" s="48">
        <f>SUM(F596,F597,F598)</f>
        <v>9991</v>
      </c>
      <c r="G557" s="48">
        <f t="shared" ref="G557:J557" si="309">SUM(G596,G597,G598)</f>
        <v>11233</v>
      </c>
      <c r="H557" s="48">
        <f t="shared" si="309"/>
        <v>10896</v>
      </c>
      <c r="I557" s="71"/>
      <c r="J557" s="48">
        <f t="shared" si="309"/>
        <v>11641.168983752224</v>
      </c>
      <c r="K557" s="62"/>
      <c r="L557" s="67">
        <f t="shared" si="299"/>
        <v>-6.4011525371057587E-2</v>
      </c>
    </row>
    <row r="558" spans="1:12" ht="12" customHeight="1" outlineLevel="1" x14ac:dyDescent="0.25">
      <c r="A558" s="70" t="str">
        <f t="shared" si="300"/>
        <v>BMY</v>
      </c>
      <c r="B558" s="42" t="s">
        <v>346</v>
      </c>
      <c r="C558" s="46"/>
      <c r="D558" s="46"/>
      <c r="E558" s="72" t="str">
        <f t="shared" si="298"/>
        <v>% Total Revenue (BMY)</v>
      </c>
      <c r="F558" s="50">
        <f>F557/F549</f>
        <v>0.51428424357852476</v>
      </c>
      <c r="G558" s="50">
        <f>G557/G549</f>
        <v>0.54067192914901807</v>
      </c>
      <c r="H558" s="50">
        <f>H557/H549</f>
        <v>0.48295731572182082</v>
      </c>
      <c r="I558" s="71"/>
      <c r="J558" s="50">
        <f t="shared" ref="J558" si="310">J557/J549</f>
        <v>0.51652600075698396</v>
      </c>
      <c r="K558" s="62"/>
      <c r="L558" s="67">
        <f t="shared" si="299"/>
        <v>-6.4989342232466996E-2</v>
      </c>
    </row>
    <row r="559" spans="1:12" ht="12" customHeight="1" outlineLevel="1" x14ac:dyDescent="0.25">
      <c r="A559" s="70" t="str">
        <f t="shared" si="300"/>
        <v>BMY</v>
      </c>
      <c r="B559" s="43" t="s">
        <v>350</v>
      </c>
      <c r="C559" s="44"/>
      <c r="D559" s="44"/>
      <c r="E559" s="74" t="str">
        <f t="shared" si="298"/>
        <v>Operating Profit (BMY)</v>
      </c>
      <c r="F559" s="51">
        <f>F555-F557</f>
        <v>4849</v>
      </c>
      <c r="G559" s="51">
        <f>G555-G557</f>
        <v>4238</v>
      </c>
      <c r="H559" s="51">
        <f>H555-H557</f>
        <v>5755</v>
      </c>
      <c r="I559" s="71"/>
      <c r="J559" s="51">
        <f t="shared" ref="J559" si="311">J555-J557</f>
        <v>4980.8634377884628</v>
      </c>
      <c r="K559" s="62"/>
      <c r="L559" s="67">
        <f t="shared" si="299"/>
        <v>0.15542216161526778</v>
      </c>
    </row>
    <row r="560" spans="1:12" ht="12" customHeight="1" outlineLevel="1" x14ac:dyDescent="0.25">
      <c r="A560" s="70" t="str">
        <f t="shared" si="300"/>
        <v>BMY</v>
      </c>
      <c r="B560" s="42" t="s">
        <v>351</v>
      </c>
      <c r="C560" s="46"/>
      <c r="D560" s="46"/>
      <c r="E560" s="72" t="str">
        <f t="shared" si="298"/>
        <v>Operating Profit Margin (%) (BMY)</v>
      </c>
      <c r="F560" s="47">
        <f>F559/F549</f>
        <v>0.249601070674834</v>
      </c>
      <c r="G560" s="47">
        <f>G559/G549</f>
        <v>0.20398536773199846</v>
      </c>
      <c r="H560" s="47">
        <f>H559/H549</f>
        <v>0.25508621071761006</v>
      </c>
      <c r="I560" s="71"/>
      <c r="J560" s="47">
        <f t="shared" ref="J560" si="312">J559/J549</f>
        <v>0.22100404825566758</v>
      </c>
      <c r="K560" s="62"/>
      <c r="L560" s="67">
        <f t="shared" si="299"/>
        <v>0.15421510479534151</v>
      </c>
    </row>
    <row r="561" spans="1:12" ht="12" customHeight="1" outlineLevel="1" x14ac:dyDescent="0.25">
      <c r="A561" s="70" t="str">
        <f t="shared" si="300"/>
        <v>BMY</v>
      </c>
      <c r="B561" s="42" t="s">
        <v>352</v>
      </c>
      <c r="C561" s="41"/>
      <c r="D561" s="41"/>
      <c r="E561" s="40" t="str">
        <f t="shared" si="298"/>
        <v>Total Other Expenses / (Income) (BMY)</v>
      </c>
      <c r="F561" s="52">
        <f>SUM(F599,F600)</f>
        <v>-1448</v>
      </c>
      <c r="G561" s="52">
        <f t="shared" ref="G561:J561" si="313">SUM(G599,G600)</f>
        <v>-1682</v>
      </c>
      <c r="H561" s="52">
        <f t="shared" si="313"/>
        <v>-850</v>
      </c>
      <c r="I561" s="71"/>
      <c r="J561" s="52">
        <f t="shared" si="313"/>
        <v>-1084.4829231456936</v>
      </c>
      <c r="K561" s="62"/>
      <c r="L561" s="67">
        <f t="shared" si="299"/>
        <v>-0.21621633512268057</v>
      </c>
    </row>
    <row r="562" spans="1:12" ht="12" customHeight="1" outlineLevel="1" x14ac:dyDescent="0.25">
      <c r="A562" s="70" t="str">
        <f t="shared" si="300"/>
        <v>BMY</v>
      </c>
      <c r="B562" s="43" t="s">
        <v>353</v>
      </c>
      <c r="C562" s="44"/>
      <c r="D562" s="44"/>
      <c r="E562" s="74" t="str">
        <f t="shared" si="298"/>
        <v>EBITDA (BMY)</v>
      </c>
      <c r="F562" s="51">
        <f>F559-F561</f>
        <v>6297</v>
      </c>
      <c r="G562" s="51">
        <f>G559-G561</f>
        <v>5920</v>
      </c>
      <c r="H562" s="51">
        <f>H559-H561</f>
        <v>6605</v>
      </c>
      <c r="I562" s="71"/>
      <c r="J562" s="51">
        <f t="shared" ref="J562" si="314">J559-J561</f>
        <v>6065.3463609341561</v>
      </c>
      <c r="K562" s="62"/>
      <c r="L562" s="67">
        <f t="shared" si="299"/>
        <v>8.897326005018602E-2</v>
      </c>
    </row>
    <row r="563" spans="1:12" ht="12" customHeight="1" outlineLevel="1" x14ac:dyDescent="0.25">
      <c r="A563" s="70" t="str">
        <f t="shared" si="300"/>
        <v>BMY</v>
      </c>
      <c r="B563" s="42" t="s">
        <v>354</v>
      </c>
      <c r="C563" s="46"/>
      <c r="D563" s="46"/>
      <c r="E563" s="72" t="str">
        <f t="shared" si="298"/>
        <v>EBITDA Margin (%) (BMY)</v>
      </c>
      <c r="F563" s="47">
        <f>F562/F549</f>
        <v>0.32413651104133423</v>
      </c>
      <c r="G563" s="47">
        <f>G562/G549</f>
        <v>0.28494416634578362</v>
      </c>
      <c r="H563" s="47">
        <f>H562/H549</f>
        <v>0.29276184566286956</v>
      </c>
      <c r="I563" s="71"/>
      <c r="J563" s="47">
        <f t="shared" ref="J563" si="315">J562/J549</f>
        <v>0.26912323868778987</v>
      </c>
      <c r="K563" s="62"/>
      <c r="L563" s="67">
        <f t="shared" si="299"/>
        <v>8.7835621666632946E-2</v>
      </c>
    </row>
    <row r="564" spans="1:12" ht="12" customHeight="1" outlineLevel="1" x14ac:dyDescent="0.25">
      <c r="A564" s="70" t="str">
        <f t="shared" si="300"/>
        <v>BMY</v>
      </c>
      <c r="B564" s="42" t="s">
        <v>344</v>
      </c>
      <c r="C564" s="53"/>
      <c r="D564" s="53"/>
      <c r="E564" s="40" t="str">
        <f t="shared" si="298"/>
        <v>Total Depreciation &amp; Amortization (BMY)</v>
      </c>
      <c r="F564" s="49">
        <f>F552</f>
        <v>382</v>
      </c>
      <c r="G564" s="49">
        <f>G552</f>
        <v>789</v>
      </c>
      <c r="H564" s="49">
        <f>H552</f>
        <v>637</v>
      </c>
      <c r="I564" s="71"/>
      <c r="J564" s="49">
        <f t="shared" ref="J564" si="316">J552</f>
        <v>663.35536161754749</v>
      </c>
      <c r="K564" s="62"/>
      <c r="L564" s="67">
        <f t="shared" si="299"/>
        <v>-3.9730381545845517E-2</v>
      </c>
    </row>
    <row r="565" spans="1:12" ht="12" customHeight="1" outlineLevel="1" x14ac:dyDescent="0.25">
      <c r="A565" s="70" t="str">
        <f t="shared" si="300"/>
        <v>BMY</v>
      </c>
      <c r="B565" s="42" t="s">
        <v>346</v>
      </c>
      <c r="C565" s="46"/>
      <c r="D565" s="46"/>
      <c r="E565" s="72" t="str">
        <f t="shared" si="298"/>
        <v>% Total Revenue (BMY)</v>
      </c>
      <c r="F565" s="47">
        <f>F564/F549</f>
        <v>1.9663355124311527E-2</v>
      </c>
      <c r="G565" s="47">
        <f>G564/G549</f>
        <v>3.7976511359260688E-2</v>
      </c>
      <c r="H565" s="47">
        <f>H564/H549</f>
        <v>2.8234564070741545E-2</v>
      </c>
      <c r="I565" s="71"/>
      <c r="J565" s="47">
        <f t="shared" ref="J565" si="317">J564/J549</f>
        <v>2.9433495252516609E-2</v>
      </c>
      <c r="K565" s="62"/>
      <c r="L565" s="67">
        <f t="shared" si="299"/>
        <v>-4.0733564651060372E-2</v>
      </c>
    </row>
    <row r="566" spans="1:12" ht="12" customHeight="1" outlineLevel="1" x14ac:dyDescent="0.25">
      <c r="A566" s="70" t="str">
        <f t="shared" si="300"/>
        <v>BMY</v>
      </c>
      <c r="B566" s="43" t="s">
        <v>355</v>
      </c>
      <c r="C566" s="44"/>
      <c r="D566" s="44"/>
      <c r="E566" s="74" t="str">
        <f t="shared" si="298"/>
        <v>EBIT (BMY)</v>
      </c>
      <c r="F566" s="54">
        <f>F562-F564</f>
        <v>5915</v>
      </c>
      <c r="G566" s="54">
        <f>G562-G564</f>
        <v>5131</v>
      </c>
      <c r="H566" s="54">
        <f>H562-H564</f>
        <v>5968</v>
      </c>
      <c r="I566" s="71"/>
      <c r="J566" s="54">
        <f t="shared" ref="J566" si="318">J562-J564</f>
        <v>5401.9909993166084</v>
      </c>
      <c r="K566" s="62"/>
      <c r="L566" s="67">
        <f t="shared" si="299"/>
        <v>0.10477784964006709</v>
      </c>
    </row>
    <row r="567" spans="1:12" ht="12" customHeight="1" outlineLevel="1" x14ac:dyDescent="0.25">
      <c r="A567" s="70" t="str">
        <f t="shared" si="300"/>
        <v>BMY</v>
      </c>
      <c r="B567" s="42" t="s">
        <v>356</v>
      </c>
      <c r="C567" s="46"/>
      <c r="D567" s="46"/>
      <c r="E567" s="72" t="str">
        <f t="shared" si="298"/>
        <v>EBIT Margin (%) (BMY)</v>
      </c>
      <c r="F567" s="47">
        <f>F566/F549</f>
        <v>0.30447315591702268</v>
      </c>
      <c r="G567" s="47">
        <f>G566/G549</f>
        <v>0.2469676549865229</v>
      </c>
      <c r="H567" s="47">
        <f>H566/H549</f>
        <v>0.26452728159212802</v>
      </c>
      <c r="I567" s="71"/>
      <c r="J567" s="47">
        <f t="shared" ref="J567" si="319">J566/J549</f>
        <v>0.23968974343527324</v>
      </c>
      <c r="K567" s="62"/>
      <c r="L567" s="67">
        <f t="shared" si="299"/>
        <v>0.1036237003756566</v>
      </c>
    </row>
    <row r="568" spans="1:12" ht="12" customHeight="1" outlineLevel="1" x14ac:dyDescent="0.25">
      <c r="A568" s="70" t="str">
        <f t="shared" si="300"/>
        <v>BMY</v>
      </c>
      <c r="B568" s="43" t="s">
        <v>357</v>
      </c>
      <c r="C568" s="44"/>
      <c r="D568" s="44"/>
      <c r="E568" s="74" t="str">
        <f t="shared" si="298"/>
        <v>Net Interest Expense (BMY)</v>
      </c>
      <c r="F568" s="45">
        <v>0</v>
      </c>
      <c r="G568" s="45">
        <v>0</v>
      </c>
      <c r="H568" s="45">
        <v>0</v>
      </c>
      <c r="I568" s="71"/>
      <c r="J568" s="45">
        <v>0</v>
      </c>
      <c r="K568" s="62"/>
      <c r="L568" s="67">
        <f t="shared" si="299"/>
        <v>0</v>
      </c>
    </row>
    <row r="569" spans="1:12" ht="12" customHeight="1" outlineLevel="1" x14ac:dyDescent="0.25">
      <c r="A569" s="70" t="str">
        <f t="shared" si="300"/>
        <v>BMY</v>
      </c>
      <c r="B569" s="42" t="s">
        <v>346</v>
      </c>
      <c r="C569" s="46"/>
      <c r="D569" s="46"/>
      <c r="E569" s="72" t="str">
        <f t="shared" si="298"/>
        <v>% Total Revenue (BMY)</v>
      </c>
      <c r="F569" s="47">
        <f>F568/F549</f>
        <v>0</v>
      </c>
      <c r="G569" s="47">
        <f>G568/G549</f>
        <v>0</v>
      </c>
      <c r="H569" s="47">
        <f>H568/H549</f>
        <v>0</v>
      </c>
      <c r="I569" s="71"/>
      <c r="J569" s="47">
        <f t="shared" ref="J569" si="320">J568/J549</f>
        <v>0</v>
      </c>
      <c r="K569" s="62"/>
      <c r="L569" s="67">
        <f t="shared" si="299"/>
        <v>0</v>
      </c>
    </row>
    <row r="570" spans="1:12" ht="12" customHeight="1" outlineLevel="1" x14ac:dyDescent="0.25">
      <c r="A570" s="70" t="str">
        <f t="shared" si="300"/>
        <v>BMY</v>
      </c>
      <c r="B570" s="43" t="s">
        <v>358</v>
      </c>
      <c r="C570" s="44"/>
      <c r="D570" s="44"/>
      <c r="E570" s="74" t="str">
        <f t="shared" si="298"/>
        <v>EBT (BMY)</v>
      </c>
      <c r="F570" s="54">
        <f>F566-F568</f>
        <v>5915</v>
      </c>
      <c r="G570" s="54">
        <f>G566-G568</f>
        <v>5131</v>
      </c>
      <c r="H570" s="54">
        <f>H566-H568</f>
        <v>5968</v>
      </c>
      <c r="I570" s="71"/>
      <c r="J570" s="54">
        <f t="shared" ref="J570" si="321">J566-J568</f>
        <v>5401.9909993166084</v>
      </c>
      <c r="K570" s="62"/>
      <c r="L570" s="67">
        <f t="shared" si="299"/>
        <v>0.10477784964006709</v>
      </c>
    </row>
    <row r="571" spans="1:12" ht="12" customHeight="1" outlineLevel="1" x14ac:dyDescent="0.25">
      <c r="A571" s="70" t="str">
        <f t="shared" si="300"/>
        <v>BMY</v>
      </c>
      <c r="B571" s="42" t="s">
        <v>359</v>
      </c>
      <c r="C571" s="46"/>
      <c r="D571" s="46"/>
      <c r="E571" s="72" t="str">
        <f t="shared" si="298"/>
        <v>EBT Margin (%) (BMY)</v>
      </c>
      <c r="F571" s="47">
        <f>F570/F549</f>
        <v>0.30447315591702268</v>
      </c>
      <c r="G571" s="47">
        <f>G570/G549</f>
        <v>0.2469676549865229</v>
      </c>
      <c r="H571" s="47">
        <f>H570/H549</f>
        <v>0.26452728159212802</v>
      </c>
      <c r="I571" s="71"/>
      <c r="J571" s="47">
        <f t="shared" ref="J571" si="322">J570/J549</f>
        <v>0.23968974343527324</v>
      </c>
      <c r="K571" s="62"/>
      <c r="L571" s="67">
        <f t="shared" si="299"/>
        <v>0.1036237003756566</v>
      </c>
    </row>
    <row r="572" spans="1:12" ht="12" customHeight="1" outlineLevel="1" x14ac:dyDescent="0.25">
      <c r="A572" s="70" t="str">
        <f t="shared" si="300"/>
        <v>BMY</v>
      </c>
      <c r="B572" s="42" t="s">
        <v>360</v>
      </c>
      <c r="C572" s="41"/>
      <c r="D572" s="41"/>
      <c r="E572" s="40" t="str">
        <f t="shared" si="298"/>
        <v>Income Tax Expense (BMY)</v>
      </c>
      <c r="F572" s="55">
        <f>F603</f>
        <v>1408</v>
      </c>
      <c r="G572" s="55">
        <f t="shared" ref="G572:J572" si="323">G603</f>
        <v>4156</v>
      </c>
      <c r="H572" s="55">
        <f t="shared" si="323"/>
        <v>1021</v>
      </c>
      <c r="I572" s="71"/>
      <c r="J572" s="55">
        <f t="shared" si="323"/>
        <v>833.02112121179391</v>
      </c>
      <c r="K572" s="62"/>
      <c r="L572" s="67">
        <f t="shared" si="299"/>
        <v>0.22565919879048635</v>
      </c>
    </row>
    <row r="573" spans="1:12" ht="12" customHeight="1" outlineLevel="1" x14ac:dyDescent="0.25">
      <c r="A573" s="70" t="str">
        <f t="shared" si="300"/>
        <v>BMY</v>
      </c>
      <c r="B573" s="42" t="s">
        <v>361</v>
      </c>
      <c r="C573" s="46"/>
      <c r="D573" s="46"/>
      <c r="E573" s="72" t="str">
        <f t="shared" si="298"/>
        <v>Effective Tax Rate (%) (BMY)</v>
      </c>
      <c r="F573" s="47">
        <f>F572/F570</f>
        <v>0.23803888419273034</v>
      </c>
      <c r="G573" s="47">
        <f>G572/G570</f>
        <v>0.80997856168388227</v>
      </c>
      <c r="H573" s="47">
        <f>H572/H570</f>
        <v>0.17107908847184986</v>
      </c>
      <c r="I573" s="71"/>
      <c r="J573" s="47">
        <f t="shared" ref="J573" si="324">J572/J570</f>
        <v>0.15420631417512121</v>
      </c>
      <c r="K573" s="62"/>
      <c r="L573" s="67">
        <f t="shared" si="299"/>
        <v>0.10941688339407052</v>
      </c>
    </row>
    <row r="574" spans="1:12" ht="12" customHeight="1" outlineLevel="1" x14ac:dyDescent="0.25">
      <c r="A574" s="70" t="str">
        <f t="shared" si="300"/>
        <v>BMY</v>
      </c>
      <c r="B574" s="42" t="s">
        <v>362</v>
      </c>
      <c r="C574" s="41"/>
      <c r="D574" s="41"/>
      <c r="E574" s="40" t="str">
        <f t="shared" si="298"/>
        <v>Noncontrolling Interest (BMY)</v>
      </c>
      <c r="F574" s="52">
        <f>F605</f>
        <v>50</v>
      </c>
      <c r="G574" s="52">
        <f t="shared" ref="G574:J574" si="325">G605</f>
        <v>-32</v>
      </c>
      <c r="H574" s="52">
        <f t="shared" si="325"/>
        <v>27</v>
      </c>
      <c r="I574" s="71"/>
      <c r="J574" s="52">
        <f t="shared" si="325"/>
        <v>40.498861543046232</v>
      </c>
      <c r="K574" s="62"/>
      <c r="L574" s="67">
        <f t="shared" si="299"/>
        <v>-0.33331459277437447</v>
      </c>
    </row>
    <row r="575" spans="1:12" ht="12" customHeight="1" outlineLevel="1" thickBot="1" x14ac:dyDescent="0.3">
      <c r="A575" s="70" t="str">
        <f t="shared" si="300"/>
        <v>BMY</v>
      </c>
      <c r="B575" s="43" t="s">
        <v>170</v>
      </c>
      <c r="C575" s="44"/>
      <c r="D575" s="44"/>
      <c r="E575" s="74" t="str">
        <f t="shared" si="298"/>
        <v>Net Income (BMY)</v>
      </c>
      <c r="F575" s="56">
        <f>F570-SUM(F572,F574)</f>
        <v>4457</v>
      </c>
      <c r="G575" s="56">
        <f>G570-SUM(G572,G574)</f>
        <v>1007</v>
      </c>
      <c r="H575" s="56">
        <f>H570-SUM(H572,H574)</f>
        <v>4920</v>
      </c>
      <c r="I575" s="71"/>
      <c r="J575" s="56">
        <f t="shared" ref="J575" si="326">J570-SUM(J572,J574)</f>
        <v>4528.471016561768</v>
      </c>
      <c r="K575" s="62"/>
      <c r="L575" s="67">
        <f t="shared" si="299"/>
        <v>8.64594212939227E-2</v>
      </c>
    </row>
    <row r="576" spans="1:12" ht="12" customHeight="1" outlineLevel="1" thickTop="1" x14ac:dyDescent="0.25">
      <c r="A576" s="70" t="str">
        <f t="shared" si="300"/>
        <v>BMY</v>
      </c>
      <c r="B576" s="42" t="s">
        <v>363</v>
      </c>
      <c r="C576" s="46"/>
      <c r="D576" s="46"/>
      <c r="E576" s="72" t="str">
        <f t="shared" si="298"/>
        <v>Net Profit Margin (%) (BMY)</v>
      </c>
      <c r="F576" s="47">
        <f>F575/F549</f>
        <v>0.22942296803417925</v>
      </c>
      <c r="G576" s="47">
        <f>G575/G549</f>
        <v>4.8469387755102039E-2</v>
      </c>
      <c r="H576" s="47">
        <f>H575/H549</f>
        <v>0.21807543991844333</v>
      </c>
      <c r="I576" s="71"/>
      <c r="J576" s="47">
        <f t="shared" ref="J576" si="327">J575/J549</f>
        <v>0.20093111155703069</v>
      </c>
      <c r="K576" s="62"/>
      <c r="L576" s="67">
        <f t="shared" si="299"/>
        <v>8.5324409090060227E-2</v>
      </c>
    </row>
    <row r="577" spans="1:13" ht="12" customHeight="1" outlineLevel="1" x14ac:dyDescent="0.25">
      <c r="A577" s="70" t="str">
        <f t="shared" si="300"/>
        <v>BMY</v>
      </c>
      <c r="B577" s="42"/>
      <c r="C577" s="41"/>
      <c r="D577" s="41"/>
      <c r="E577" s="40" t="str">
        <f t="shared" si="298"/>
        <v xml:space="preserve"> (BMY)</v>
      </c>
      <c r="F577" s="41"/>
      <c r="G577" s="41"/>
      <c r="H577" s="41"/>
      <c r="I577" s="71"/>
      <c r="J577" s="41"/>
      <c r="K577" s="62"/>
      <c r="L577" s="67"/>
    </row>
    <row r="578" spans="1:13" ht="12" customHeight="1" outlineLevel="1" x14ac:dyDescent="0.25">
      <c r="A578" s="70" t="str">
        <f t="shared" si="300"/>
        <v>BMY</v>
      </c>
      <c r="B578" s="42"/>
      <c r="C578" s="41"/>
      <c r="D578" s="41"/>
      <c r="E578" s="40" t="str">
        <f t="shared" si="298"/>
        <v xml:space="preserve"> (BMY)</v>
      </c>
      <c r="F578" s="41"/>
      <c r="G578" s="41"/>
      <c r="H578" s="41"/>
      <c r="I578" s="71"/>
      <c r="J578" s="41"/>
      <c r="K578" s="62"/>
      <c r="L578" s="67"/>
    </row>
    <row r="579" spans="1:13" ht="12" customHeight="1" outlineLevel="1" x14ac:dyDescent="0.25">
      <c r="A579" s="70" t="str">
        <f t="shared" si="300"/>
        <v>BMY</v>
      </c>
      <c r="B579" s="42" t="s">
        <v>364</v>
      </c>
      <c r="C579" s="41"/>
      <c r="D579" s="41"/>
      <c r="E579" s="40" t="str">
        <f t="shared" si="298"/>
        <v>Earnings Per Share (BMY)</v>
      </c>
      <c r="F579" s="41"/>
      <c r="G579" s="41"/>
      <c r="H579" s="41"/>
      <c r="I579" s="71"/>
      <c r="J579" s="41"/>
      <c r="K579" s="62"/>
      <c r="L579" s="67"/>
    </row>
    <row r="580" spans="1:13" ht="12" customHeight="1" outlineLevel="1" x14ac:dyDescent="0.25">
      <c r="A580" s="70" t="str">
        <f t="shared" si="300"/>
        <v>BMY</v>
      </c>
      <c r="B580" s="42" t="s">
        <v>365</v>
      </c>
      <c r="C580" s="57"/>
      <c r="D580" s="57"/>
      <c r="E580" s="73" t="str">
        <f t="shared" si="298"/>
        <v>Basic (BMY)</v>
      </c>
      <c r="F580" s="58">
        <f>F608</f>
        <v>2.67</v>
      </c>
      <c r="G580" s="58">
        <f t="shared" ref="G580:H580" si="328">G608</f>
        <v>0.61</v>
      </c>
      <c r="H580" s="58">
        <f t="shared" si="328"/>
        <v>3.01</v>
      </c>
      <c r="I580" s="71"/>
      <c r="J580" s="58">
        <f t="shared" ref="J580" si="329">J608</f>
        <v>2.7689249759135457</v>
      </c>
      <c r="K580" s="62"/>
      <c r="L580" s="67">
        <f t="shared" si="299"/>
        <v>8.706448393637567E-2</v>
      </c>
    </row>
    <row r="581" spans="1:13" ht="12" customHeight="1" outlineLevel="1" x14ac:dyDescent="0.25">
      <c r="A581" s="70" t="str">
        <f t="shared" si="300"/>
        <v>BMY</v>
      </c>
      <c r="B581" s="42" t="s">
        <v>366</v>
      </c>
      <c r="C581" s="57"/>
      <c r="D581" s="57"/>
      <c r="E581" s="73" t="str">
        <f t="shared" si="298"/>
        <v>Diluted (BMY)</v>
      </c>
      <c r="F581" s="58">
        <f>F609</f>
        <v>2.65</v>
      </c>
      <c r="G581" s="58">
        <f t="shared" ref="G581:H581" si="330">G609</f>
        <v>0.61</v>
      </c>
      <c r="H581" s="58">
        <f t="shared" si="330"/>
        <v>3.01</v>
      </c>
      <c r="I581" s="71"/>
      <c r="J581" s="58">
        <f t="shared" ref="J581" si="331">J609</f>
        <v>2.7689249759135457</v>
      </c>
      <c r="K581" s="62"/>
      <c r="L581" s="67">
        <f t="shared" si="299"/>
        <v>8.706448393637567E-2</v>
      </c>
    </row>
    <row r="582" spans="1:13" ht="12" customHeight="1" outlineLevel="1" x14ac:dyDescent="0.25">
      <c r="A582" s="70" t="str">
        <f t="shared" si="300"/>
        <v>BMY</v>
      </c>
      <c r="B582" s="42"/>
      <c r="C582" s="41"/>
      <c r="D582" s="41"/>
      <c r="E582" s="40" t="str">
        <f t="shared" si="298"/>
        <v xml:space="preserve"> (BMY)</v>
      </c>
      <c r="F582" s="41"/>
      <c r="G582" s="41"/>
      <c r="H582" s="41"/>
      <c r="I582" s="71"/>
      <c r="J582" s="41"/>
      <c r="K582" s="62"/>
      <c r="L582" s="67"/>
    </row>
    <row r="583" spans="1:13" ht="12" customHeight="1" outlineLevel="1" x14ac:dyDescent="0.25">
      <c r="A583" s="70" t="str">
        <f t="shared" si="300"/>
        <v>BMY</v>
      </c>
      <c r="B583" s="42" t="s">
        <v>367</v>
      </c>
      <c r="C583" s="41"/>
      <c r="D583" s="41"/>
      <c r="E583" s="40" t="str">
        <f t="shared" si="298"/>
        <v>Avg. Common Shares Outstanding (BMY)</v>
      </c>
      <c r="F583" s="41"/>
      <c r="G583" s="41"/>
      <c r="H583" s="41"/>
      <c r="I583" s="71"/>
      <c r="J583" s="41"/>
      <c r="K583" s="62"/>
      <c r="L583" s="67"/>
    </row>
    <row r="584" spans="1:13" ht="12" customHeight="1" outlineLevel="1" x14ac:dyDescent="0.25">
      <c r="A584" s="70" t="str">
        <f t="shared" si="300"/>
        <v>BMY</v>
      </c>
      <c r="B584" s="42" t="s">
        <v>365</v>
      </c>
      <c r="C584" s="41"/>
      <c r="D584" s="41"/>
      <c r="E584" s="40" t="str">
        <f t="shared" si="298"/>
        <v>Basic (BMY)</v>
      </c>
      <c r="F584" s="53">
        <f>F575/F580</f>
        <v>1669.2883895131088</v>
      </c>
      <c r="G584" s="53">
        <f>G575/G580</f>
        <v>1650.8196721311476</v>
      </c>
      <c r="H584" s="53">
        <f>H575/H580</f>
        <v>1634.5514950166114</v>
      </c>
      <c r="I584" s="71"/>
      <c r="J584" s="53">
        <f t="shared" ref="J584" si="332">J575/J580</f>
        <v>1635.4617968902169</v>
      </c>
      <c r="K584" s="62"/>
      <c r="L584" s="67">
        <f t="shared" si="299"/>
        <v>-5.566023464054215E-4</v>
      </c>
    </row>
    <row r="585" spans="1:13" ht="12" customHeight="1" outlineLevel="1" x14ac:dyDescent="0.25">
      <c r="A585" s="70" t="str">
        <f t="shared" si="300"/>
        <v>BMY</v>
      </c>
      <c r="B585" s="42" t="s">
        <v>366</v>
      </c>
      <c r="C585" s="41"/>
      <c r="D585" s="41"/>
      <c r="E585" s="40" t="str">
        <f t="shared" si="298"/>
        <v>Diluted (BMY)</v>
      </c>
      <c r="F585" s="53">
        <f>F575/F581</f>
        <v>1681.8867924528302</v>
      </c>
      <c r="G585" s="53">
        <f>G575/G581</f>
        <v>1650.8196721311476</v>
      </c>
      <c r="H585" s="53">
        <f>H575/H581</f>
        <v>1634.5514950166114</v>
      </c>
      <c r="I585" s="71"/>
      <c r="J585" s="53">
        <f t="shared" ref="J585" si="333">J575/J581</f>
        <v>1635.4617968902169</v>
      </c>
      <c r="K585" s="62"/>
      <c r="L585" s="67">
        <f t="shared" si="299"/>
        <v>-5.566023464054215E-4</v>
      </c>
    </row>
    <row r="586" spans="1:13" ht="12" customHeight="1" outlineLevel="1" x14ac:dyDescent="0.25">
      <c r="B586" s="62"/>
      <c r="C586" s="62"/>
      <c r="D586" s="62"/>
      <c r="E586" s="62"/>
      <c r="F586" s="62"/>
      <c r="G586" s="62"/>
      <c r="H586" s="62"/>
      <c r="I586" s="15"/>
      <c r="J586" s="62"/>
      <c r="K586" s="62"/>
      <c r="L586" s="62"/>
    </row>
    <row r="587" spans="1:13" ht="12" customHeight="1" outlineLevel="1" x14ac:dyDescent="0.25">
      <c r="B587" s="63" t="s">
        <v>371</v>
      </c>
      <c r="C587" s="63"/>
      <c r="D587" s="63"/>
      <c r="E587" s="63"/>
      <c r="F587" s="63"/>
      <c r="G587" s="63"/>
      <c r="H587" s="63"/>
      <c r="I587" s="63"/>
      <c r="J587" s="63"/>
      <c r="K587" s="63"/>
      <c r="L587" s="64"/>
      <c r="M587" s="64"/>
    </row>
    <row r="588" spans="1:13" ht="12" hidden="1" customHeight="1" outlineLevel="2" x14ac:dyDescent="0.25">
      <c r="B588" s="1"/>
    </row>
    <row r="589" spans="1:13" ht="12" hidden="1" customHeight="1" outlineLevel="2" x14ac:dyDescent="0.25">
      <c r="B589" s="8" t="s">
        <v>174</v>
      </c>
    </row>
    <row r="590" spans="1:13" ht="12" hidden="1" customHeight="1" outlineLevel="2" x14ac:dyDescent="0.25">
      <c r="B590" s="8" t="s">
        <v>230</v>
      </c>
      <c r="F590" s="3" t="s">
        <v>4</v>
      </c>
      <c r="G590" s="3" t="s">
        <v>3</v>
      </c>
      <c r="H590" s="3" t="s">
        <v>2</v>
      </c>
      <c r="J590" s="14" t="s">
        <v>2</v>
      </c>
      <c r="L590" s="36">
        <f>MEDIAN(L592:L613)</f>
        <v>0</v>
      </c>
    </row>
    <row r="591" spans="1:13" ht="12" hidden="1" customHeight="1" outlineLevel="2" x14ac:dyDescent="0.25">
      <c r="B591" s="8" t="s">
        <v>5</v>
      </c>
      <c r="J591" s="15"/>
    </row>
    <row r="592" spans="1:13" ht="12" hidden="1" customHeight="1" outlineLevel="2" x14ac:dyDescent="0.25">
      <c r="B592" s="8" t="s">
        <v>251</v>
      </c>
      <c r="F592" s="3">
        <v>17702</v>
      </c>
      <c r="G592" s="3">
        <v>19258</v>
      </c>
      <c r="H592" s="3">
        <v>21581</v>
      </c>
      <c r="J592" s="14">
        <v>21615.430771523119</v>
      </c>
      <c r="L592" s="36">
        <f t="shared" ref="L592:L613" si="334">IF(ISERROR(H592/J592-1),0,(H592/J592-1))</f>
        <v>-1.5928792669946956E-3</v>
      </c>
    </row>
    <row r="593" spans="2:12" ht="12" hidden="1" customHeight="1" outlineLevel="2" x14ac:dyDescent="0.25">
      <c r="B593" s="8" t="s">
        <v>292</v>
      </c>
      <c r="F593" s="6">
        <v>1725</v>
      </c>
      <c r="G593" s="6">
        <v>1518</v>
      </c>
      <c r="H593" s="6">
        <v>980</v>
      </c>
      <c r="J593" s="14">
        <v>922</v>
      </c>
      <c r="L593" s="36">
        <f t="shared" si="334"/>
        <v>6.2906724511930578E-2</v>
      </c>
    </row>
    <row r="594" spans="2:12" ht="12" hidden="1" customHeight="1" outlineLevel="2" x14ac:dyDescent="0.25">
      <c r="B594" s="8" t="s">
        <v>83</v>
      </c>
      <c r="F594" s="9">
        <f>SUM(F592:F593)</f>
        <v>19427</v>
      </c>
      <c r="G594" s="9">
        <f t="shared" ref="G594:H594" si="335">SUM(G592:G593)</f>
        <v>20776</v>
      </c>
      <c r="H594" s="9">
        <f t="shared" si="335"/>
        <v>22561</v>
      </c>
      <c r="J594" s="17">
        <v>22537.430771523119</v>
      </c>
      <c r="L594" s="36">
        <f t="shared" si="334"/>
        <v>1.045781514131594E-3</v>
      </c>
    </row>
    <row r="595" spans="2:12" ht="12" hidden="1" customHeight="1" outlineLevel="2" x14ac:dyDescent="0.25">
      <c r="B595" s="8" t="s">
        <v>114</v>
      </c>
      <c r="F595" s="2">
        <v>4969</v>
      </c>
      <c r="G595" s="2">
        <v>6094</v>
      </c>
      <c r="H595" s="2">
        <v>6547</v>
      </c>
      <c r="J595" s="14">
        <v>6578.7537115999776</v>
      </c>
      <c r="L595" s="36">
        <f t="shared" si="334"/>
        <v>-4.8267062413338557E-3</v>
      </c>
    </row>
    <row r="596" spans="2:12" ht="12" hidden="1" customHeight="1" outlineLevel="2" x14ac:dyDescent="0.25">
      <c r="B596" s="8" t="s">
        <v>175</v>
      </c>
      <c r="F596" s="3">
        <v>4979</v>
      </c>
      <c r="G596" s="3">
        <v>4751</v>
      </c>
      <c r="H596" s="3">
        <v>4551</v>
      </c>
      <c r="J596" s="14">
        <v>4799.7308470107582</v>
      </c>
      <c r="L596" s="36">
        <f t="shared" si="334"/>
        <v>-5.1821832294130843E-2</v>
      </c>
    </row>
    <row r="597" spans="2:12" ht="12" hidden="1" customHeight="1" outlineLevel="2" x14ac:dyDescent="0.25">
      <c r="B597" s="8" t="s">
        <v>293</v>
      </c>
      <c r="F597" s="3">
        <v>0</v>
      </c>
      <c r="G597" s="3">
        <v>0</v>
      </c>
      <c r="H597" s="3">
        <v>0</v>
      </c>
      <c r="J597" s="14">
        <v>0</v>
      </c>
      <c r="L597" s="36">
        <f t="shared" si="334"/>
        <v>0</v>
      </c>
    </row>
    <row r="598" spans="2:12" ht="12" hidden="1" customHeight="1" outlineLevel="2" x14ac:dyDescent="0.25">
      <c r="B598" s="8" t="s">
        <v>45</v>
      </c>
      <c r="F598" s="3">
        <v>5012</v>
      </c>
      <c r="G598" s="3">
        <v>6482</v>
      </c>
      <c r="H598" s="3">
        <v>6345</v>
      </c>
      <c r="J598" s="14">
        <v>6841.4381367414662</v>
      </c>
      <c r="L598" s="36">
        <f t="shared" si="334"/>
        <v>-7.2563418219830145E-2</v>
      </c>
    </row>
    <row r="599" spans="2:12" ht="12" hidden="1" customHeight="1" outlineLevel="2" x14ac:dyDescent="0.25">
      <c r="B599" s="8" t="s">
        <v>294</v>
      </c>
      <c r="F599" s="3">
        <v>0</v>
      </c>
      <c r="G599" s="3">
        <v>0</v>
      </c>
      <c r="H599" s="3">
        <v>0</v>
      </c>
      <c r="J599" s="14">
        <v>0</v>
      </c>
      <c r="L599" s="36">
        <f t="shared" si="334"/>
        <v>0</v>
      </c>
    </row>
    <row r="600" spans="2:12" ht="12" hidden="1" customHeight="1" outlineLevel="2" x14ac:dyDescent="0.25">
      <c r="B600" s="8" t="s">
        <v>295</v>
      </c>
      <c r="F600" s="3">
        <v>-1448</v>
      </c>
      <c r="G600" s="3">
        <v>-1682</v>
      </c>
      <c r="H600" s="3">
        <v>-850</v>
      </c>
      <c r="J600" s="14">
        <v>-1084.4829231456936</v>
      </c>
      <c r="L600" s="36">
        <f t="shared" si="334"/>
        <v>-0.21621633512268057</v>
      </c>
    </row>
    <row r="601" spans="2:12" ht="12" hidden="1" customHeight="1" outlineLevel="2" x14ac:dyDescent="0.25">
      <c r="B601" s="8" t="s">
        <v>176</v>
      </c>
      <c r="F601" s="9">
        <f>SUM(F595:F600)</f>
        <v>13512</v>
      </c>
      <c r="G601" s="9">
        <f t="shared" ref="G601:H601" si="336">SUM(G595:G600)</f>
        <v>15645</v>
      </c>
      <c r="H601" s="9">
        <f t="shared" si="336"/>
        <v>16593</v>
      </c>
      <c r="J601" s="17">
        <v>17135.439772206508</v>
      </c>
      <c r="L601" s="36">
        <f t="shared" si="334"/>
        <v>-3.1656016969365375E-2</v>
      </c>
    </row>
    <row r="602" spans="2:12" ht="12" hidden="1" customHeight="1" outlineLevel="2" x14ac:dyDescent="0.25">
      <c r="B602" s="8" t="s">
        <v>177</v>
      </c>
      <c r="F602" s="9">
        <f>F594-F601</f>
        <v>5915</v>
      </c>
      <c r="G602" s="9">
        <f t="shared" ref="G602:H602" si="337">G594-G601</f>
        <v>5131</v>
      </c>
      <c r="H602" s="9">
        <f t="shared" si="337"/>
        <v>5968</v>
      </c>
      <c r="J602" s="17">
        <v>5401.9909993166111</v>
      </c>
      <c r="L602" s="36">
        <f t="shared" si="334"/>
        <v>0.10477784964006664</v>
      </c>
    </row>
    <row r="603" spans="2:12" ht="12" hidden="1" customHeight="1" outlineLevel="2" x14ac:dyDescent="0.25">
      <c r="B603" s="8" t="s">
        <v>296</v>
      </c>
      <c r="F603" s="6">
        <v>1408</v>
      </c>
      <c r="G603" s="6">
        <v>4156</v>
      </c>
      <c r="H603" s="6">
        <v>1021</v>
      </c>
      <c r="J603" s="14">
        <v>833.02112121179391</v>
      </c>
      <c r="L603" s="36">
        <f t="shared" si="334"/>
        <v>0.22565919879048635</v>
      </c>
    </row>
    <row r="604" spans="2:12" ht="12" hidden="1" customHeight="1" outlineLevel="2" thickBot="1" x14ac:dyDescent="0.3">
      <c r="B604" s="8" t="s">
        <v>178</v>
      </c>
      <c r="F604" s="10">
        <f>F602-F603</f>
        <v>4507</v>
      </c>
      <c r="G604" s="10">
        <f t="shared" ref="G604:H604" si="338">G602-G603</f>
        <v>975</v>
      </c>
      <c r="H604" s="10">
        <f t="shared" si="338"/>
        <v>4947</v>
      </c>
      <c r="J604" s="19">
        <v>4568.9698781048173</v>
      </c>
      <c r="L604" s="36">
        <f t="shared" si="334"/>
        <v>8.273858921827415E-2</v>
      </c>
    </row>
    <row r="605" spans="2:12" ht="12" hidden="1" customHeight="1" outlineLevel="2" thickTop="1" x14ac:dyDescent="0.25">
      <c r="B605" s="8" t="s">
        <v>179</v>
      </c>
      <c r="F605" s="2">
        <v>50</v>
      </c>
      <c r="G605" s="2">
        <v>-32</v>
      </c>
      <c r="H605" s="2">
        <v>27</v>
      </c>
      <c r="J605" s="14">
        <v>40.498861543046232</v>
      </c>
      <c r="L605" s="36">
        <f t="shared" si="334"/>
        <v>-0.33331459277437447</v>
      </c>
    </row>
    <row r="606" spans="2:12" ht="12" hidden="1" customHeight="1" outlineLevel="2" thickBot="1" x14ac:dyDescent="0.3">
      <c r="B606" s="8" t="s">
        <v>180</v>
      </c>
      <c r="F606" s="10">
        <f>F604-F605</f>
        <v>4457</v>
      </c>
      <c r="G606" s="10">
        <f t="shared" ref="G606:H606" si="339">G604-G605</f>
        <v>1007</v>
      </c>
      <c r="H606" s="10">
        <f t="shared" si="339"/>
        <v>4920</v>
      </c>
      <c r="J606" s="19">
        <v>4528.4710165617707</v>
      </c>
      <c r="L606" s="36">
        <f t="shared" si="334"/>
        <v>8.6459421293922034E-2</v>
      </c>
    </row>
    <row r="607" spans="2:12" ht="12" hidden="1" customHeight="1" outlineLevel="2" thickTop="1" x14ac:dyDescent="0.25">
      <c r="B607" s="8" t="s">
        <v>181</v>
      </c>
      <c r="J607" s="15"/>
      <c r="L607" s="35"/>
    </row>
    <row r="608" spans="2:12" ht="12" hidden="1" customHeight="1" outlineLevel="2" x14ac:dyDescent="0.25">
      <c r="B608" s="8" t="s">
        <v>182</v>
      </c>
      <c r="F608" s="11">
        <v>2.67</v>
      </c>
      <c r="G608" s="11">
        <v>0.61</v>
      </c>
      <c r="H608" s="11">
        <v>3.01</v>
      </c>
      <c r="J608" s="20">
        <v>2.7689249759135457</v>
      </c>
      <c r="L608" s="36">
        <f t="shared" si="334"/>
        <v>8.706448393637567E-2</v>
      </c>
    </row>
    <row r="609" spans="1:13" ht="12" hidden="1" customHeight="1" outlineLevel="2" x14ac:dyDescent="0.25">
      <c r="B609" s="8" t="s">
        <v>183</v>
      </c>
      <c r="F609" s="11">
        <v>2.65</v>
      </c>
      <c r="G609" s="11">
        <v>0.61</v>
      </c>
      <c r="H609" s="11">
        <v>3.01</v>
      </c>
      <c r="J609" s="20">
        <v>2.7689249759135457</v>
      </c>
      <c r="L609" s="36">
        <f t="shared" si="334"/>
        <v>8.706448393637567E-2</v>
      </c>
    </row>
    <row r="610" spans="1:13" ht="12" hidden="1" customHeight="1" outlineLevel="2" x14ac:dyDescent="0.25">
      <c r="B610" s="8" t="s">
        <v>250</v>
      </c>
      <c r="F610" s="11">
        <v>0</v>
      </c>
      <c r="G610" s="11">
        <v>0</v>
      </c>
      <c r="H610" s="11">
        <v>0</v>
      </c>
      <c r="J610" s="20">
        <v>1.6</v>
      </c>
      <c r="L610" s="36">
        <f t="shared" si="334"/>
        <v>-1</v>
      </c>
    </row>
    <row r="611" spans="1:13" ht="12" hidden="1" customHeight="1" outlineLevel="2" x14ac:dyDescent="0.25">
      <c r="J611" s="31"/>
      <c r="L611" s="35"/>
    </row>
    <row r="612" spans="1:13" ht="12" hidden="1" customHeight="1" outlineLevel="2" x14ac:dyDescent="0.25">
      <c r="B612" s="8" t="s">
        <v>184</v>
      </c>
      <c r="F612" s="3">
        <v>382</v>
      </c>
      <c r="G612" s="3">
        <v>789</v>
      </c>
      <c r="H612" s="3">
        <v>637</v>
      </c>
      <c r="J612" s="14">
        <v>663.35536161754749</v>
      </c>
      <c r="L612" s="36">
        <f t="shared" si="334"/>
        <v>-3.9730381545845517E-2</v>
      </c>
    </row>
    <row r="613" spans="1:13" ht="12" hidden="1" customHeight="1" outlineLevel="2" x14ac:dyDescent="0.25">
      <c r="B613" s="8" t="s">
        <v>26</v>
      </c>
      <c r="F613" s="3">
        <v>-1215</v>
      </c>
      <c r="G613" s="3">
        <v>-1055</v>
      </c>
      <c r="H613" s="3">
        <v>-951</v>
      </c>
      <c r="J613" s="14">
        <v>-919.72438471854025</v>
      </c>
      <c r="L613" s="36">
        <f t="shared" si="334"/>
        <v>3.4005421407882874E-2</v>
      </c>
    </row>
    <row r="614" spans="1:13" ht="12" customHeight="1" outlineLevel="1" collapsed="1" x14ac:dyDescent="0.25"/>
    <row r="615" spans="1:13" ht="12" customHeight="1" x14ac:dyDescent="0.25">
      <c r="B615" s="61" t="s">
        <v>379</v>
      </c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91" t="s">
        <v>34</v>
      </c>
    </row>
    <row r="616" spans="1:13" ht="12" customHeight="1" x14ac:dyDescent="0.25">
      <c r="B616" s="38"/>
      <c r="C616" s="15"/>
      <c r="D616" s="15"/>
      <c r="E616" s="15"/>
      <c r="F616" s="15"/>
      <c r="G616" s="15"/>
      <c r="H616" s="15"/>
      <c r="I616" s="15"/>
      <c r="J616" s="15"/>
      <c r="K616" s="62"/>
      <c r="L616" s="62"/>
    </row>
    <row r="617" spans="1:13" ht="12" customHeight="1" outlineLevel="1" x14ac:dyDescent="0.25">
      <c r="B617" s="85" t="s">
        <v>338</v>
      </c>
      <c r="C617" s="86"/>
      <c r="D617" s="86"/>
      <c r="E617" s="86"/>
      <c r="F617" s="89" t="s">
        <v>369</v>
      </c>
      <c r="G617" s="89"/>
      <c r="H617" s="90"/>
      <c r="I617" s="15"/>
      <c r="J617" s="82" t="s">
        <v>370</v>
      </c>
      <c r="K617" s="62"/>
      <c r="L617" s="68" t="s">
        <v>386</v>
      </c>
    </row>
    <row r="618" spans="1:13" ht="12" customHeight="1" outlineLevel="1" x14ac:dyDescent="0.25">
      <c r="B618" s="87"/>
      <c r="C618" s="88"/>
      <c r="D618" s="88"/>
      <c r="E618" s="88"/>
      <c r="F618" s="39">
        <f>G618-1</f>
        <v>2016</v>
      </c>
      <c r="G618" s="39">
        <f>H618-1</f>
        <v>2017</v>
      </c>
      <c r="H618" s="60">
        <f>J618</f>
        <v>2018</v>
      </c>
      <c r="I618" s="15"/>
      <c r="J618" s="81">
        <v>2018</v>
      </c>
      <c r="K618" s="62"/>
      <c r="L618" s="68" t="s">
        <v>370</v>
      </c>
    </row>
    <row r="619" spans="1:13" ht="12" customHeight="1" outlineLevel="1" x14ac:dyDescent="0.25">
      <c r="B619" s="62"/>
      <c r="C619" s="62"/>
      <c r="D619" s="62"/>
      <c r="E619" s="62"/>
      <c r="F619" s="40"/>
      <c r="G619" s="40"/>
      <c r="H619" s="40"/>
      <c r="I619" s="15"/>
      <c r="J619" s="40"/>
      <c r="K619" s="62"/>
      <c r="L619" s="62"/>
    </row>
    <row r="620" spans="1:13" ht="12" customHeight="1" outlineLevel="1" x14ac:dyDescent="0.25">
      <c r="A620" s="70" t="str">
        <f>M615</f>
        <v>ABBV</v>
      </c>
      <c r="B620" s="43" t="s">
        <v>340</v>
      </c>
      <c r="C620" s="44"/>
      <c r="D620" s="44"/>
      <c r="E620" s="74" t="str">
        <f>B620&amp;" ("&amp;A620&amp;")"</f>
        <v>Total Revenue (ABBV)</v>
      </c>
      <c r="F620" s="45">
        <f>F663</f>
        <v>25638</v>
      </c>
      <c r="G620" s="45">
        <f t="shared" ref="G620:J620" si="340">G663</f>
        <v>28216</v>
      </c>
      <c r="H620" s="45">
        <f t="shared" si="340"/>
        <v>32753</v>
      </c>
      <c r="I620" s="71"/>
      <c r="J620" s="45">
        <f t="shared" si="340"/>
        <v>32906.622185066575</v>
      </c>
      <c r="K620" s="62"/>
      <c r="L620" s="67">
        <f>IF(ISERROR(H620/J620-1),0,(H620/J620-1))</f>
        <v>-4.6684276557650284E-3</v>
      </c>
    </row>
    <row r="621" spans="1:13" ht="12" customHeight="1" outlineLevel="1" x14ac:dyDescent="0.25">
      <c r="A621" s="70" t="str">
        <f>A620</f>
        <v>ABBV</v>
      </c>
      <c r="B621" s="42" t="s">
        <v>341</v>
      </c>
      <c r="C621" s="46"/>
      <c r="D621" s="46"/>
      <c r="E621" s="72" t="str">
        <f t="shared" ref="E621:E656" si="341">B621&amp;" ("&amp;A621&amp;")"</f>
        <v>% Growth (ABBV)</v>
      </c>
      <c r="F621" s="47" t="s">
        <v>342</v>
      </c>
      <c r="G621" s="47">
        <f>G620/F620-1</f>
        <v>0.10055386535611199</v>
      </c>
      <c r="H621" s="47">
        <f>H620/G620-1</f>
        <v>0.16079529345052457</v>
      </c>
      <c r="I621" s="71"/>
      <c r="J621" s="47">
        <f>J620/G620-1</f>
        <v>0.16623979958415713</v>
      </c>
      <c r="K621" s="62"/>
      <c r="L621" s="67">
        <f t="shared" ref="L621:L656" si="342">IF(ISERROR(H621/J621-1),0,(H621/J621-1))</f>
        <v>-3.2750918536065377E-2</v>
      </c>
    </row>
    <row r="622" spans="1:13" ht="12" customHeight="1" outlineLevel="1" x14ac:dyDescent="0.25">
      <c r="A622" s="70" t="str">
        <f t="shared" ref="A622:A656" si="343">A621</f>
        <v>ABBV</v>
      </c>
      <c r="B622" s="42" t="s">
        <v>343</v>
      </c>
      <c r="C622" s="41"/>
      <c r="D622" s="41"/>
      <c r="E622" s="40" t="str">
        <f t="shared" si="341"/>
        <v>COGS (ABBV)</v>
      </c>
      <c r="F622" s="48">
        <f>F664</f>
        <v>5832</v>
      </c>
      <c r="G622" s="48">
        <f t="shared" ref="G622:H622" si="344">G664</f>
        <v>7042</v>
      </c>
      <c r="H622" s="48">
        <f t="shared" si="344"/>
        <v>7718</v>
      </c>
      <c r="I622" s="71"/>
      <c r="J622" s="48">
        <f t="shared" ref="J622" si="345">J664</f>
        <v>7691.5129552744302</v>
      </c>
      <c r="K622" s="62"/>
      <c r="L622" s="67">
        <f t="shared" si="342"/>
        <v>3.4436716000596501E-3</v>
      </c>
    </row>
    <row r="623" spans="1:13" ht="12" customHeight="1" outlineLevel="1" x14ac:dyDescent="0.25">
      <c r="A623" s="70" t="str">
        <f t="shared" si="343"/>
        <v>ABBV</v>
      </c>
      <c r="B623" s="42" t="s">
        <v>344</v>
      </c>
      <c r="C623" s="41"/>
      <c r="D623" s="41"/>
      <c r="E623" s="40" t="str">
        <f t="shared" si="341"/>
        <v>Total Depreciation &amp; Amortization (ABBV)</v>
      </c>
      <c r="F623" s="48">
        <f>F684</f>
        <v>425</v>
      </c>
      <c r="G623" s="48">
        <f t="shared" ref="G623:H623" si="346">G684</f>
        <v>425</v>
      </c>
      <c r="H623" s="48">
        <f t="shared" si="346"/>
        <v>471</v>
      </c>
      <c r="I623" s="71"/>
      <c r="J623" s="48">
        <f t="shared" ref="J623" si="347">J684</f>
        <v>467.74253473432691</v>
      </c>
      <c r="K623" s="62"/>
      <c r="L623" s="67">
        <f t="shared" si="342"/>
        <v>6.9642271629697383E-3</v>
      </c>
    </row>
    <row r="624" spans="1:13" ht="12" customHeight="1" outlineLevel="1" x14ac:dyDescent="0.25">
      <c r="A624" s="70" t="str">
        <f t="shared" si="343"/>
        <v>ABBV</v>
      </c>
      <c r="B624" s="42" t="s">
        <v>345</v>
      </c>
      <c r="C624" s="41"/>
      <c r="D624" s="41"/>
      <c r="E624" s="40" t="str">
        <f t="shared" si="341"/>
        <v>COGS (Exclusive of D&amp;A) (ABBV)</v>
      </c>
      <c r="F624" s="49">
        <f>F622-F623</f>
        <v>5407</v>
      </c>
      <c r="G624" s="49">
        <f>G622-G623</f>
        <v>6617</v>
      </c>
      <c r="H624" s="49">
        <f>H622-H623</f>
        <v>7247</v>
      </c>
      <c r="I624" s="71"/>
      <c r="J624" s="49">
        <f t="shared" ref="J624" si="348">J622-J623</f>
        <v>7223.7704205401033</v>
      </c>
      <c r="K624" s="62"/>
      <c r="L624" s="67">
        <f t="shared" si="342"/>
        <v>3.2157139703450355E-3</v>
      </c>
    </row>
    <row r="625" spans="1:12" ht="12" customHeight="1" outlineLevel="1" x14ac:dyDescent="0.25">
      <c r="A625" s="70" t="str">
        <f t="shared" si="343"/>
        <v>ABBV</v>
      </c>
      <c r="B625" s="42" t="s">
        <v>346</v>
      </c>
      <c r="C625" s="46"/>
      <c r="D625" s="46"/>
      <c r="E625" s="72" t="str">
        <f t="shared" si="341"/>
        <v>% Total Revenue (ABBV)</v>
      </c>
      <c r="F625" s="50">
        <f>F624/F620</f>
        <v>0.21089788595054215</v>
      </c>
      <c r="G625" s="50">
        <f>G624/G620</f>
        <v>0.23451233342784236</v>
      </c>
      <c r="H625" s="50">
        <f>H624/H620</f>
        <v>0.22126217445730162</v>
      </c>
      <c r="I625" s="71"/>
      <c r="J625" s="50">
        <f t="shared" ref="J625" si="349">J624/J620</f>
        <v>0.21952330384789048</v>
      </c>
      <c r="K625" s="62"/>
      <c r="L625" s="67">
        <f t="shared" si="342"/>
        <v>7.9211208055434135E-3</v>
      </c>
    </row>
    <row r="626" spans="1:12" ht="12" customHeight="1" outlineLevel="1" x14ac:dyDescent="0.25">
      <c r="A626" s="70" t="str">
        <f t="shared" si="343"/>
        <v>ABBV</v>
      </c>
      <c r="B626" s="43" t="s">
        <v>347</v>
      </c>
      <c r="C626" s="44"/>
      <c r="D626" s="44"/>
      <c r="E626" s="74" t="str">
        <f t="shared" si="341"/>
        <v>Gross Profit (ABBV)</v>
      </c>
      <c r="F626" s="51">
        <f>F620-F624</f>
        <v>20231</v>
      </c>
      <c r="G626" s="51">
        <f>G620-G624</f>
        <v>21599</v>
      </c>
      <c r="H626" s="51">
        <f>H620-H624</f>
        <v>25506</v>
      </c>
      <c r="I626" s="71"/>
      <c r="J626" s="51">
        <f t="shared" ref="J626" si="350">J620-J624</f>
        <v>25682.851764526473</v>
      </c>
      <c r="K626" s="62"/>
      <c r="L626" s="67">
        <f t="shared" si="342"/>
        <v>-6.8859862661646565E-3</v>
      </c>
    </row>
    <row r="627" spans="1:12" ht="12" customHeight="1" outlineLevel="1" x14ac:dyDescent="0.25">
      <c r="A627" s="70" t="str">
        <f t="shared" si="343"/>
        <v>ABBV</v>
      </c>
      <c r="B627" s="42" t="s">
        <v>348</v>
      </c>
      <c r="C627" s="46"/>
      <c r="D627" s="46"/>
      <c r="E627" s="72" t="str">
        <f t="shared" si="341"/>
        <v>Gross Profit Margin (%) (ABBV)</v>
      </c>
      <c r="F627" s="47">
        <f>F626/F620</f>
        <v>0.78910211404945785</v>
      </c>
      <c r="G627" s="47">
        <f>G626/G620</f>
        <v>0.76548766657215761</v>
      </c>
      <c r="H627" s="47">
        <f>H626/H620</f>
        <v>0.77873782554269833</v>
      </c>
      <c r="I627" s="71"/>
      <c r="J627" s="47">
        <f t="shared" ref="J627" si="351">J626/J620</f>
        <v>0.78047669615210957</v>
      </c>
      <c r="K627" s="62"/>
      <c r="L627" s="67">
        <f t="shared" si="342"/>
        <v>-2.2279596789810396E-3</v>
      </c>
    </row>
    <row r="628" spans="1:12" ht="12" customHeight="1" outlineLevel="1" x14ac:dyDescent="0.25">
      <c r="A628" s="70" t="str">
        <f t="shared" si="343"/>
        <v>ABBV</v>
      </c>
      <c r="B628" s="42" t="s">
        <v>349</v>
      </c>
      <c r="C628" s="41"/>
      <c r="D628" s="41"/>
      <c r="E628" s="40" t="str">
        <f t="shared" si="341"/>
        <v>Operating expenses (ABBV)</v>
      </c>
      <c r="F628" s="48">
        <f>SUM(F665,F666)</f>
        <v>10266</v>
      </c>
      <c r="G628" s="48">
        <f t="shared" ref="G628:J628" si="352">SUM(G665,G666)</f>
        <v>11302</v>
      </c>
      <c r="H628" s="48">
        <f t="shared" si="352"/>
        <v>17728</v>
      </c>
      <c r="I628" s="71"/>
      <c r="J628" s="48">
        <f t="shared" si="352"/>
        <v>12969.353446625904</v>
      </c>
      <c r="K628" s="62"/>
      <c r="L628" s="67">
        <f t="shared" si="342"/>
        <v>0.36691470958501027</v>
      </c>
    </row>
    <row r="629" spans="1:12" ht="12" customHeight="1" outlineLevel="1" x14ac:dyDescent="0.25">
      <c r="A629" s="70" t="str">
        <f t="shared" si="343"/>
        <v>ABBV</v>
      </c>
      <c r="B629" s="42" t="s">
        <v>346</v>
      </c>
      <c r="C629" s="46"/>
      <c r="D629" s="46"/>
      <c r="E629" s="72" t="str">
        <f t="shared" si="341"/>
        <v>% Total Revenue (ABBV)</v>
      </c>
      <c r="F629" s="50">
        <f>F628/F620</f>
        <v>0.40042124970746545</v>
      </c>
      <c r="G629" s="50">
        <f>G628/G620</f>
        <v>0.4005528777998299</v>
      </c>
      <c r="H629" s="50">
        <f>H628/H620</f>
        <v>0.54126339571947613</v>
      </c>
      <c r="I629" s="71"/>
      <c r="J629" s="50">
        <f t="shared" ref="J629" si="353">J628/J620</f>
        <v>0.39412594138913337</v>
      </c>
      <c r="K629" s="62"/>
      <c r="L629" s="67">
        <f t="shared" si="342"/>
        <v>0.37332598258247907</v>
      </c>
    </row>
    <row r="630" spans="1:12" ht="12" customHeight="1" outlineLevel="1" x14ac:dyDescent="0.25">
      <c r="A630" s="70" t="str">
        <f t="shared" si="343"/>
        <v>ABBV</v>
      </c>
      <c r="B630" s="43" t="s">
        <v>350</v>
      </c>
      <c r="C630" s="44"/>
      <c r="D630" s="44"/>
      <c r="E630" s="74" t="str">
        <f t="shared" si="341"/>
        <v>Operating Profit (ABBV)</v>
      </c>
      <c r="F630" s="51">
        <f>F626-F628</f>
        <v>9965</v>
      </c>
      <c r="G630" s="51">
        <f>G626-G628</f>
        <v>10297</v>
      </c>
      <c r="H630" s="51">
        <f>H626-H628</f>
        <v>7778</v>
      </c>
      <c r="I630" s="71"/>
      <c r="J630" s="51">
        <f t="shared" ref="J630" si="354">J626-J628</f>
        <v>12713.498317900569</v>
      </c>
      <c r="K630" s="62"/>
      <c r="L630" s="67">
        <f t="shared" si="342"/>
        <v>-0.38820930278107646</v>
      </c>
    </row>
    <row r="631" spans="1:12" ht="12" customHeight="1" outlineLevel="1" x14ac:dyDescent="0.25">
      <c r="A631" s="70" t="str">
        <f t="shared" si="343"/>
        <v>ABBV</v>
      </c>
      <c r="B631" s="42" t="s">
        <v>351</v>
      </c>
      <c r="C631" s="46"/>
      <c r="D631" s="46"/>
      <c r="E631" s="72" t="str">
        <f t="shared" si="341"/>
        <v>Operating Profit Margin (%) (ABBV)</v>
      </c>
      <c r="F631" s="47">
        <f>F630/F620</f>
        <v>0.38868086434199234</v>
      </c>
      <c r="G631" s="47">
        <f>G630/G620</f>
        <v>0.36493478877232777</v>
      </c>
      <c r="H631" s="47">
        <f>H630/H620</f>
        <v>0.23747442982322231</v>
      </c>
      <c r="I631" s="71"/>
      <c r="J631" s="47">
        <f t="shared" ref="J631" si="355">J630/J620</f>
        <v>0.3863507547629762</v>
      </c>
      <c r="K631" s="62"/>
      <c r="L631" s="67">
        <f t="shared" si="342"/>
        <v>-0.38533980613313046</v>
      </c>
    </row>
    <row r="632" spans="1:12" ht="12" customHeight="1" outlineLevel="1" x14ac:dyDescent="0.25">
      <c r="A632" s="70" t="str">
        <f t="shared" si="343"/>
        <v>ABBV</v>
      </c>
      <c r="B632" s="42" t="s">
        <v>352</v>
      </c>
      <c r="C632" s="41"/>
      <c r="D632" s="41"/>
      <c r="E632" s="40" t="str">
        <f t="shared" si="341"/>
        <v>Total Other Expenses / (Income) (ABBV)</v>
      </c>
      <c r="F632" s="52">
        <f>SUM(F667,F668,F672,F673)</f>
        <v>691</v>
      </c>
      <c r="G632" s="52">
        <f t="shared" ref="G632:J632" si="356">SUM(G667,G668,G672,G673)</f>
        <v>1141</v>
      </c>
      <c r="H632" s="52">
        <f t="shared" si="356"/>
        <v>966</v>
      </c>
      <c r="I632" s="71"/>
      <c r="J632" s="52">
        <f t="shared" si="356"/>
        <v>1053</v>
      </c>
      <c r="K632" s="62"/>
      <c r="L632" s="67">
        <f t="shared" si="342"/>
        <v>-8.2621082621082587E-2</v>
      </c>
    </row>
    <row r="633" spans="1:12" ht="12" customHeight="1" outlineLevel="1" x14ac:dyDescent="0.25">
      <c r="A633" s="70" t="str">
        <f t="shared" si="343"/>
        <v>ABBV</v>
      </c>
      <c r="B633" s="43" t="s">
        <v>353</v>
      </c>
      <c r="C633" s="44"/>
      <c r="D633" s="44"/>
      <c r="E633" s="74" t="str">
        <f t="shared" si="341"/>
        <v>EBITDA (ABBV)</v>
      </c>
      <c r="F633" s="51">
        <f>F630-F632</f>
        <v>9274</v>
      </c>
      <c r="G633" s="51">
        <f>G630-G632</f>
        <v>9156</v>
      </c>
      <c r="H633" s="51">
        <f>H630-H632</f>
        <v>6812</v>
      </c>
      <c r="I633" s="71"/>
      <c r="J633" s="51">
        <f t="shared" ref="J633" si="357">J630-J632</f>
        <v>11660.498317900569</v>
      </c>
      <c r="K633" s="62"/>
      <c r="L633" s="67">
        <f t="shared" si="342"/>
        <v>-0.41580541291768081</v>
      </c>
    </row>
    <row r="634" spans="1:12" ht="12" customHeight="1" outlineLevel="1" x14ac:dyDescent="0.25">
      <c r="A634" s="70" t="str">
        <f t="shared" si="343"/>
        <v>ABBV</v>
      </c>
      <c r="B634" s="42" t="s">
        <v>354</v>
      </c>
      <c r="C634" s="46"/>
      <c r="D634" s="46"/>
      <c r="E634" s="72" t="str">
        <f t="shared" si="341"/>
        <v>EBITDA Margin (%) (ABBV)</v>
      </c>
      <c r="F634" s="47">
        <f>F633/F620</f>
        <v>0.3617286839847102</v>
      </c>
      <c r="G634" s="47">
        <f>G633/G620</f>
        <v>0.3244967394386164</v>
      </c>
      <c r="H634" s="47">
        <f>H633/H620</f>
        <v>0.20798094831007846</v>
      </c>
      <c r="I634" s="71"/>
      <c r="J634" s="47">
        <f t="shared" ref="J634" si="358">J633/J620</f>
        <v>0.35435111669383812</v>
      </c>
      <c r="K634" s="62"/>
      <c r="L634" s="67">
        <f t="shared" si="342"/>
        <v>-0.4130653509700225</v>
      </c>
    </row>
    <row r="635" spans="1:12" ht="12" customHeight="1" outlineLevel="1" x14ac:dyDescent="0.25">
      <c r="A635" s="70" t="str">
        <f t="shared" si="343"/>
        <v>ABBV</v>
      </c>
      <c r="B635" s="42" t="s">
        <v>344</v>
      </c>
      <c r="C635" s="53"/>
      <c r="D635" s="53"/>
      <c r="E635" s="40" t="str">
        <f t="shared" si="341"/>
        <v>Total Depreciation &amp; Amortization (ABBV)</v>
      </c>
      <c r="F635" s="49">
        <f>F623</f>
        <v>425</v>
      </c>
      <c r="G635" s="49">
        <f>G623</f>
        <v>425</v>
      </c>
      <c r="H635" s="49">
        <f>H623</f>
        <v>471</v>
      </c>
      <c r="I635" s="71"/>
      <c r="J635" s="49">
        <f t="shared" ref="J635" si="359">J623</f>
        <v>467.74253473432691</v>
      </c>
      <c r="K635" s="62"/>
      <c r="L635" s="67">
        <f t="shared" si="342"/>
        <v>6.9642271629697383E-3</v>
      </c>
    </row>
    <row r="636" spans="1:12" ht="12" customHeight="1" outlineLevel="1" x14ac:dyDescent="0.25">
      <c r="A636" s="70" t="str">
        <f t="shared" si="343"/>
        <v>ABBV</v>
      </c>
      <c r="B636" s="42" t="s">
        <v>346</v>
      </c>
      <c r="C636" s="46"/>
      <c r="D636" s="46"/>
      <c r="E636" s="72" t="str">
        <f t="shared" si="341"/>
        <v>% Total Revenue (ABBV)</v>
      </c>
      <c r="F636" s="47">
        <f>F635/F620</f>
        <v>1.6576956080817537E-2</v>
      </c>
      <c r="G636" s="47">
        <f>G635/G620</f>
        <v>1.5062375956903884E-2</v>
      </c>
      <c r="H636" s="47">
        <f>H635/H620</f>
        <v>1.4380362104234727E-2</v>
      </c>
      <c r="I636" s="71"/>
      <c r="J636" s="47">
        <f t="shared" ref="J636" si="360">J635/J620</f>
        <v>1.4214237246951289E-2</v>
      </c>
      <c r="K636" s="62"/>
      <c r="L636" s="67">
        <f t="shared" si="342"/>
        <v>1.1687215739913936E-2</v>
      </c>
    </row>
    <row r="637" spans="1:12" ht="12" customHeight="1" outlineLevel="1" x14ac:dyDescent="0.25">
      <c r="A637" s="70" t="str">
        <f t="shared" si="343"/>
        <v>ABBV</v>
      </c>
      <c r="B637" s="43" t="s">
        <v>355</v>
      </c>
      <c r="C637" s="44"/>
      <c r="D637" s="44"/>
      <c r="E637" s="74" t="str">
        <f t="shared" si="341"/>
        <v>EBIT (ABBV)</v>
      </c>
      <c r="F637" s="54">
        <f>F633-F635</f>
        <v>8849</v>
      </c>
      <c r="G637" s="54">
        <f>G633-G635</f>
        <v>8731</v>
      </c>
      <c r="H637" s="54">
        <f>H633-H635</f>
        <v>6341</v>
      </c>
      <c r="I637" s="71"/>
      <c r="J637" s="54">
        <f t="shared" ref="J637" si="361">J633-J635</f>
        <v>11192.755783166242</v>
      </c>
      <c r="K637" s="62"/>
      <c r="L637" s="67">
        <f t="shared" si="342"/>
        <v>-0.43347285308084882</v>
      </c>
    </row>
    <row r="638" spans="1:12" ht="12" customHeight="1" outlineLevel="1" x14ac:dyDescent="0.25">
      <c r="A638" s="70" t="str">
        <f t="shared" si="343"/>
        <v>ABBV</v>
      </c>
      <c r="B638" s="42" t="s">
        <v>356</v>
      </c>
      <c r="C638" s="46"/>
      <c r="D638" s="46"/>
      <c r="E638" s="72" t="str">
        <f t="shared" si="341"/>
        <v>EBIT Margin (%) (ABBV)</v>
      </c>
      <c r="F638" s="47">
        <f>F637/F620</f>
        <v>0.34515172790389265</v>
      </c>
      <c r="G638" s="47">
        <f>G637/G620</f>
        <v>0.30943436348171249</v>
      </c>
      <c r="H638" s="47">
        <f>H637/H620</f>
        <v>0.19360058620584375</v>
      </c>
      <c r="I638" s="71"/>
      <c r="J638" s="47">
        <f t="shared" ref="J638" si="362">J637/J620</f>
        <v>0.34013687944688686</v>
      </c>
      <c r="K638" s="62"/>
      <c r="L638" s="67">
        <f t="shared" si="342"/>
        <v>-0.4308156571534757</v>
      </c>
    </row>
    <row r="639" spans="1:12" ht="12" customHeight="1" outlineLevel="1" x14ac:dyDescent="0.25">
      <c r="A639" s="70" t="str">
        <f t="shared" si="343"/>
        <v>ABBV</v>
      </c>
      <c r="B639" s="43" t="s">
        <v>357</v>
      </c>
      <c r="C639" s="44"/>
      <c r="D639" s="44"/>
      <c r="E639" s="74" t="str">
        <f t="shared" si="341"/>
        <v>Net Interest Expense (ABBV)</v>
      </c>
      <c r="F639" s="45">
        <f>F671</f>
        <v>965</v>
      </c>
      <c r="G639" s="45">
        <f t="shared" ref="G639:J639" si="363">G671</f>
        <v>1004</v>
      </c>
      <c r="H639" s="45">
        <f t="shared" si="363"/>
        <v>1144</v>
      </c>
      <c r="I639" s="71"/>
      <c r="J639" s="45">
        <f t="shared" si="363"/>
        <v>1166.7197617952465</v>
      </c>
      <c r="K639" s="62"/>
      <c r="L639" s="67">
        <f t="shared" si="342"/>
        <v>-1.9473195311517921E-2</v>
      </c>
    </row>
    <row r="640" spans="1:12" ht="12" customHeight="1" outlineLevel="1" x14ac:dyDescent="0.25">
      <c r="A640" s="70" t="str">
        <f t="shared" si="343"/>
        <v>ABBV</v>
      </c>
      <c r="B640" s="42" t="s">
        <v>346</v>
      </c>
      <c r="C640" s="46"/>
      <c r="D640" s="46"/>
      <c r="E640" s="72" t="str">
        <f t="shared" si="341"/>
        <v>% Total Revenue (ABBV)</v>
      </c>
      <c r="F640" s="47">
        <f>F639/F620</f>
        <v>3.7639441454091579E-2</v>
      </c>
      <c r="G640" s="47">
        <f>G639/G620</f>
        <v>3.5582648142897647E-2</v>
      </c>
      <c r="H640" s="47">
        <f>H639/H620</f>
        <v>3.4928098189478826E-2</v>
      </c>
      <c r="I640" s="71"/>
      <c r="J640" s="47">
        <f t="shared" ref="J640" si="364">J639/J620</f>
        <v>3.5455470185715939E-2</v>
      </c>
      <c r="K640" s="62"/>
      <c r="L640" s="67">
        <f t="shared" si="342"/>
        <v>-1.487420681420204E-2</v>
      </c>
    </row>
    <row r="641" spans="1:12" ht="12" customHeight="1" outlineLevel="1" x14ac:dyDescent="0.25">
      <c r="A641" s="70" t="str">
        <f t="shared" si="343"/>
        <v>ABBV</v>
      </c>
      <c r="B641" s="43" t="s">
        <v>358</v>
      </c>
      <c r="C641" s="44"/>
      <c r="D641" s="44"/>
      <c r="E641" s="74" t="str">
        <f t="shared" si="341"/>
        <v>EBT (ABBV)</v>
      </c>
      <c r="F641" s="54">
        <f>F637-F639</f>
        <v>7884</v>
      </c>
      <c r="G641" s="54">
        <f>G637-G639</f>
        <v>7727</v>
      </c>
      <c r="H641" s="54">
        <f>H637-H639</f>
        <v>5197</v>
      </c>
      <c r="I641" s="71"/>
      <c r="J641" s="54">
        <f t="shared" ref="J641" si="365">J637-J639</f>
        <v>10026.036021370996</v>
      </c>
      <c r="K641" s="62"/>
      <c r="L641" s="67">
        <f t="shared" si="342"/>
        <v>-0.48164957826579369</v>
      </c>
    </row>
    <row r="642" spans="1:12" ht="12" customHeight="1" outlineLevel="1" x14ac:dyDescent="0.25">
      <c r="A642" s="70" t="str">
        <f t="shared" si="343"/>
        <v>ABBV</v>
      </c>
      <c r="B642" s="42" t="s">
        <v>359</v>
      </c>
      <c r="C642" s="46"/>
      <c r="D642" s="46"/>
      <c r="E642" s="72" t="str">
        <f t="shared" si="341"/>
        <v>EBT Margin (%) (ABBV)</v>
      </c>
      <c r="F642" s="47">
        <f>F641/F620</f>
        <v>0.30751228644980105</v>
      </c>
      <c r="G642" s="47">
        <f>G641/G620</f>
        <v>0.27385171533881486</v>
      </c>
      <c r="H642" s="47">
        <f>H641/H620</f>
        <v>0.15867248801636491</v>
      </c>
      <c r="I642" s="71"/>
      <c r="J642" s="47">
        <f t="shared" ref="J642" si="366">J641/J620</f>
        <v>0.30468140926117093</v>
      </c>
      <c r="K642" s="62"/>
      <c r="L642" s="67">
        <f t="shared" si="342"/>
        <v>-0.47921834679334874</v>
      </c>
    </row>
    <row r="643" spans="1:12" ht="12" customHeight="1" outlineLevel="1" x14ac:dyDescent="0.25">
      <c r="A643" s="70" t="str">
        <f t="shared" si="343"/>
        <v>ABBV</v>
      </c>
      <c r="B643" s="42" t="s">
        <v>360</v>
      </c>
      <c r="C643" s="41"/>
      <c r="D643" s="41"/>
      <c r="E643" s="40" t="str">
        <f t="shared" si="341"/>
        <v>Income Tax Expense (ABBV)</v>
      </c>
      <c r="F643" s="55">
        <f>F675</f>
        <v>1931</v>
      </c>
      <c r="G643" s="55">
        <f t="shared" ref="G643:J643" si="367">G675</f>
        <v>2418</v>
      </c>
      <c r="H643" s="55">
        <f t="shared" si="367"/>
        <v>-490</v>
      </c>
      <c r="I643" s="71"/>
      <c r="J643" s="55">
        <f t="shared" si="367"/>
        <v>597.32792470161769</v>
      </c>
      <c r="K643" s="62"/>
      <c r="L643" s="67">
        <f t="shared" si="342"/>
        <v>-1.820319927692597</v>
      </c>
    </row>
    <row r="644" spans="1:12" ht="12" customHeight="1" outlineLevel="1" x14ac:dyDescent="0.25">
      <c r="A644" s="70" t="str">
        <f t="shared" si="343"/>
        <v>ABBV</v>
      </c>
      <c r="B644" s="42" t="s">
        <v>361</v>
      </c>
      <c r="C644" s="46"/>
      <c r="D644" s="46"/>
      <c r="E644" s="72" t="str">
        <f t="shared" si="341"/>
        <v>Effective Tax Rate (%) (ABBV)</v>
      </c>
      <c r="F644" s="47">
        <f>F643/F641</f>
        <v>0.24492643328259767</v>
      </c>
      <c r="G644" s="47">
        <f>G643/G641</f>
        <v>0.31292869160088005</v>
      </c>
      <c r="H644" s="47">
        <f>H643/H641</f>
        <v>-9.4285164517991155E-2</v>
      </c>
      <c r="I644" s="71"/>
      <c r="J644" s="47">
        <f t="shared" ref="J644" si="368">J643/J641</f>
        <v>5.9577675905849871E-2</v>
      </c>
      <c r="K644" s="62"/>
      <c r="L644" s="67">
        <f t="shared" si="342"/>
        <v>-2.5825586192215564</v>
      </c>
    </row>
    <row r="645" spans="1:12" ht="12" customHeight="1" outlineLevel="1" x14ac:dyDescent="0.25">
      <c r="A645" s="70" t="str">
        <f t="shared" si="343"/>
        <v>ABBV</v>
      </c>
      <c r="B645" s="42" t="s">
        <v>362</v>
      </c>
      <c r="C645" s="41"/>
      <c r="D645" s="41"/>
      <c r="E645" s="40" t="str">
        <f t="shared" si="341"/>
        <v>Noncontrolling Interest (ABBV)</v>
      </c>
      <c r="F645" s="52">
        <v>0</v>
      </c>
      <c r="G645" s="52">
        <v>0</v>
      </c>
      <c r="H645" s="52">
        <v>0</v>
      </c>
      <c r="I645" s="71"/>
      <c r="J645" s="52">
        <v>0</v>
      </c>
      <c r="K645" s="62"/>
      <c r="L645" s="67">
        <f t="shared" si="342"/>
        <v>0</v>
      </c>
    </row>
    <row r="646" spans="1:12" ht="12" customHeight="1" outlineLevel="1" thickBot="1" x14ac:dyDescent="0.3">
      <c r="A646" s="70" t="str">
        <f t="shared" si="343"/>
        <v>ABBV</v>
      </c>
      <c r="B646" s="43" t="s">
        <v>170</v>
      </c>
      <c r="C646" s="44"/>
      <c r="D646" s="44"/>
      <c r="E646" s="74" t="str">
        <f t="shared" si="341"/>
        <v>Net Income (ABBV)</v>
      </c>
      <c r="F646" s="56">
        <f>F641-SUM(F643,F645)</f>
        <v>5953</v>
      </c>
      <c r="G646" s="56">
        <f>G641-SUM(G643,G645)</f>
        <v>5309</v>
      </c>
      <c r="H646" s="56">
        <f>H641-SUM(H643,H645)</f>
        <v>5687</v>
      </c>
      <c r="I646" s="71"/>
      <c r="J646" s="56">
        <f t="shared" ref="J646" si="369">J641-SUM(J643,J645)</f>
        <v>9428.7080966693775</v>
      </c>
      <c r="K646" s="62"/>
      <c r="L646" s="67">
        <f t="shared" si="342"/>
        <v>-0.39684207616853773</v>
      </c>
    </row>
    <row r="647" spans="1:12" ht="12" customHeight="1" outlineLevel="1" thickTop="1" x14ac:dyDescent="0.25">
      <c r="A647" s="70" t="str">
        <f t="shared" si="343"/>
        <v>ABBV</v>
      </c>
      <c r="B647" s="42" t="s">
        <v>363</v>
      </c>
      <c r="C647" s="46"/>
      <c r="D647" s="46"/>
      <c r="E647" s="72" t="str">
        <f t="shared" si="341"/>
        <v>Net Profit Margin (%) (ABBV)</v>
      </c>
      <c r="F647" s="47">
        <f>F646/F620</f>
        <v>0.23219439893907481</v>
      </c>
      <c r="G647" s="47">
        <f>G646/G620</f>
        <v>0.18815565636518289</v>
      </c>
      <c r="H647" s="47">
        <f>H646/H620</f>
        <v>0.17363294965346684</v>
      </c>
      <c r="I647" s="71"/>
      <c r="J647" s="47">
        <f t="shared" ref="J647" si="370">J646/J620</f>
        <v>0.28652919900567125</v>
      </c>
      <c r="K647" s="62"/>
      <c r="L647" s="67">
        <f t="shared" si="342"/>
        <v>-0.39401307002561325</v>
      </c>
    </row>
    <row r="648" spans="1:12" ht="12" customHeight="1" outlineLevel="1" x14ac:dyDescent="0.25">
      <c r="A648" s="70" t="str">
        <f t="shared" si="343"/>
        <v>ABBV</v>
      </c>
      <c r="B648" s="42"/>
      <c r="C648" s="41"/>
      <c r="D648" s="41"/>
      <c r="E648" s="40" t="str">
        <f t="shared" si="341"/>
        <v xml:space="preserve"> (ABBV)</v>
      </c>
      <c r="F648" s="41"/>
      <c r="G648" s="41"/>
      <c r="H648" s="41"/>
      <c r="I648" s="71"/>
      <c r="J648" s="41"/>
      <c r="K648" s="62"/>
      <c r="L648" s="67"/>
    </row>
    <row r="649" spans="1:12" ht="12" customHeight="1" outlineLevel="1" x14ac:dyDescent="0.25">
      <c r="A649" s="70" t="str">
        <f t="shared" si="343"/>
        <v>ABBV</v>
      </c>
      <c r="B649" s="42"/>
      <c r="C649" s="41"/>
      <c r="D649" s="41"/>
      <c r="E649" s="40" t="str">
        <f t="shared" si="341"/>
        <v xml:space="preserve"> (ABBV)</v>
      </c>
      <c r="F649" s="41"/>
      <c r="G649" s="41"/>
      <c r="H649" s="41"/>
      <c r="I649" s="71"/>
      <c r="J649" s="41"/>
      <c r="K649" s="62"/>
      <c r="L649" s="67"/>
    </row>
    <row r="650" spans="1:12" ht="12" customHeight="1" outlineLevel="1" x14ac:dyDescent="0.25">
      <c r="A650" s="70" t="str">
        <f t="shared" si="343"/>
        <v>ABBV</v>
      </c>
      <c r="B650" s="42" t="s">
        <v>364</v>
      </c>
      <c r="C650" s="41"/>
      <c r="D650" s="41"/>
      <c r="E650" s="40" t="str">
        <f t="shared" si="341"/>
        <v>Earnings Per Share (ABBV)</v>
      </c>
      <c r="F650" s="41"/>
      <c r="G650" s="41"/>
      <c r="H650" s="41"/>
      <c r="I650" s="71"/>
      <c r="J650" s="41"/>
      <c r="K650" s="62"/>
      <c r="L650" s="67"/>
    </row>
    <row r="651" spans="1:12" ht="12" customHeight="1" outlineLevel="1" x14ac:dyDescent="0.25">
      <c r="A651" s="70" t="str">
        <f t="shared" si="343"/>
        <v>ABBV</v>
      </c>
      <c r="B651" s="42" t="s">
        <v>365</v>
      </c>
      <c r="C651" s="57"/>
      <c r="D651" s="57"/>
      <c r="E651" s="73" t="str">
        <f t="shared" si="341"/>
        <v>Basic (ABBV)</v>
      </c>
      <c r="F651" s="58">
        <f>F678</f>
        <v>3.65</v>
      </c>
      <c r="G651" s="58">
        <f t="shared" ref="G651:H651" si="371">G678</f>
        <v>3.31</v>
      </c>
      <c r="H651" s="58">
        <f t="shared" si="371"/>
        <v>3.67</v>
      </c>
      <c r="I651" s="71"/>
      <c r="J651" s="58">
        <f t="shared" ref="J651" si="372">J678</f>
        <v>6.0778412287686123</v>
      </c>
      <c r="K651" s="62"/>
      <c r="L651" s="67">
        <f t="shared" si="342"/>
        <v>-0.3961671814280755</v>
      </c>
    </row>
    <row r="652" spans="1:12" ht="12" customHeight="1" outlineLevel="1" x14ac:dyDescent="0.25">
      <c r="A652" s="70" t="str">
        <f t="shared" si="343"/>
        <v>ABBV</v>
      </c>
      <c r="B652" s="42" t="s">
        <v>366</v>
      </c>
      <c r="C652" s="57"/>
      <c r="D652" s="57"/>
      <c r="E652" s="73" t="str">
        <f t="shared" si="341"/>
        <v>Diluted (ABBV)</v>
      </c>
      <c r="F652" s="58">
        <f>F679</f>
        <v>3.63</v>
      </c>
      <c r="G652" s="58">
        <f t="shared" ref="G652:H652" si="373">G679</f>
        <v>3.3</v>
      </c>
      <c r="H652" s="58">
        <f t="shared" si="373"/>
        <v>3.66</v>
      </c>
      <c r="I652" s="71"/>
      <c r="J652" s="58">
        <f t="shared" ref="J652" si="374">J679</f>
        <v>6.0744937931811043</v>
      </c>
      <c r="K652" s="62"/>
      <c r="L652" s="67">
        <f t="shared" si="342"/>
        <v>-0.39748065853511672</v>
      </c>
    </row>
    <row r="653" spans="1:12" ht="12" customHeight="1" outlineLevel="1" x14ac:dyDescent="0.25">
      <c r="A653" s="70" t="str">
        <f t="shared" si="343"/>
        <v>ABBV</v>
      </c>
      <c r="B653" s="42"/>
      <c r="C653" s="41"/>
      <c r="D653" s="41"/>
      <c r="E653" s="40" t="str">
        <f t="shared" si="341"/>
        <v xml:space="preserve"> (ABBV)</v>
      </c>
      <c r="F653" s="41"/>
      <c r="G653" s="41"/>
      <c r="H653" s="41"/>
      <c r="I653" s="71"/>
      <c r="J653" s="41"/>
      <c r="K653" s="62"/>
      <c r="L653" s="67"/>
    </row>
    <row r="654" spans="1:12" ht="12" customHeight="1" outlineLevel="1" x14ac:dyDescent="0.25">
      <c r="A654" s="70" t="str">
        <f t="shared" si="343"/>
        <v>ABBV</v>
      </c>
      <c r="B654" s="42" t="s">
        <v>367</v>
      </c>
      <c r="C654" s="41"/>
      <c r="D654" s="41"/>
      <c r="E654" s="40" t="str">
        <f t="shared" si="341"/>
        <v>Avg. Common Shares Outstanding (ABBV)</v>
      </c>
      <c r="F654" s="41"/>
      <c r="G654" s="41"/>
      <c r="H654" s="41"/>
      <c r="I654" s="71"/>
      <c r="J654" s="41"/>
      <c r="K654" s="62"/>
      <c r="L654" s="67"/>
    </row>
    <row r="655" spans="1:12" ht="12" customHeight="1" outlineLevel="1" x14ac:dyDescent="0.25">
      <c r="A655" s="70" t="str">
        <f t="shared" si="343"/>
        <v>ABBV</v>
      </c>
      <c r="B655" s="42" t="s">
        <v>365</v>
      </c>
      <c r="C655" s="41"/>
      <c r="D655" s="41"/>
      <c r="E655" s="40" t="str">
        <f t="shared" si="341"/>
        <v>Basic (ABBV)</v>
      </c>
      <c r="F655" s="53">
        <f>F646/F651</f>
        <v>1630.9589041095892</v>
      </c>
      <c r="G655" s="53">
        <f>G646/G651</f>
        <v>1603.9274924471299</v>
      </c>
      <c r="H655" s="53">
        <f>H646/H651</f>
        <v>1549.5912806539509</v>
      </c>
      <c r="I655" s="71"/>
      <c r="J655" s="53">
        <f t="shared" ref="J655" si="375">J646/J651</f>
        <v>1551.3251731617972</v>
      </c>
      <c r="K655" s="62"/>
      <c r="L655" s="67">
        <f t="shared" si="342"/>
        <v>-1.1176847625777864E-3</v>
      </c>
    </row>
    <row r="656" spans="1:12" ht="12" customHeight="1" outlineLevel="1" x14ac:dyDescent="0.25">
      <c r="A656" s="70" t="str">
        <f t="shared" si="343"/>
        <v>ABBV</v>
      </c>
      <c r="B656" s="42" t="s">
        <v>366</v>
      </c>
      <c r="C656" s="41"/>
      <c r="D656" s="41"/>
      <c r="E656" s="40" t="str">
        <f t="shared" si="341"/>
        <v>Diluted (ABBV)</v>
      </c>
      <c r="F656" s="53">
        <f>F646/F652</f>
        <v>1639.9449035812672</v>
      </c>
      <c r="G656" s="53">
        <f>G646/G652</f>
        <v>1608.787878787879</v>
      </c>
      <c r="H656" s="53">
        <f>H646/H652</f>
        <v>1553.8251366120219</v>
      </c>
      <c r="I656" s="71"/>
      <c r="J656" s="53">
        <f t="shared" ref="J656" si="376">J646/J652</f>
        <v>1552.1800528059691</v>
      </c>
      <c r="K656" s="62"/>
      <c r="L656" s="67">
        <f t="shared" si="342"/>
        <v>1.0598537219177473E-3</v>
      </c>
    </row>
    <row r="657" spans="2:13" ht="12" customHeight="1" outlineLevel="1" x14ac:dyDescent="0.25">
      <c r="B657" s="62"/>
      <c r="C657" s="62"/>
      <c r="D657" s="62"/>
      <c r="E657" s="62"/>
      <c r="F657" s="62"/>
      <c r="G657" s="62"/>
      <c r="H657" s="62"/>
      <c r="I657" s="15"/>
      <c r="J657" s="62"/>
      <c r="K657" s="62"/>
      <c r="L657" s="62"/>
    </row>
    <row r="658" spans="2:13" ht="12" customHeight="1" outlineLevel="1" x14ac:dyDescent="0.25">
      <c r="B658" s="63" t="s">
        <v>371</v>
      </c>
      <c r="C658" s="63"/>
      <c r="D658" s="63"/>
      <c r="E658" s="63"/>
      <c r="F658" s="63"/>
      <c r="G658" s="63"/>
      <c r="H658" s="63"/>
      <c r="I658" s="63"/>
      <c r="J658" s="63"/>
      <c r="K658" s="63"/>
      <c r="L658" s="64"/>
      <c r="M658" s="64"/>
    </row>
    <row r="659" spans="2:13" ht="12" hidden="1" customHeight="1" outlineLevel="2" x14ac:dyDescent="0.25">
      <c r="B659" s="1"/>
    </row>
    <row r="660" spans="2:13" ht="12" hidden="1" customHeight="1" outlineLevel="2" x14ac:dyDescent="0.25">
      <c r="B660" s="8" t="s">
        <v>110</v>
      </c>
    </row>
    <row r="661" spans="2:13" ht="12" hidden="1" customHeight="1" outlineLevel="2" x14ac:dyDescent="0.25">
      <c r="B661" s="8" t="s">
        <v>230</v>
      </c>
      <c r="F661" s="3" t="s">
        <v>4</v>
      </c>
      <c r="G661" s="3" t="s">
        <v>3</v>
      </c>
      <c r="H661" s="3" t="s">
        <v>2</v>
      </c>
      <c r="J661" s="14" t="s">
        <v>2</v>
      </c>
      <c r="L661" s="36">
        <f>MEDIAN(L663:L685)</f>
        <v>-1.9473195311517921E-2</v>
      </c>
    </row>
    <row r="662" spans="2:13" ht="12" hidden="1" customHeight="1" outlineLevel="2" x14ac:dyDescent="0.25">
      <c r="B662" s="8" t="s">
        <v>5</v>
      </c>
      <c r="J662" s="15"/>
    </row>
    <row r="663" spans="2:13" ht="12" hidden="1" customHeight="1" outlineLevel="2" x14ac:dyDescent="0.25">
      <c r="B663" s="8" t="s">
        <v>145</v>
      </c>
      <c r="F663" s="3">
        <v>25638</v>
      </c>
      <c r="G663" s="3">
        <v>28216</v>
      </c>
      <c r="H663" s="3">
        <v>32753</v>
      </c>
      <c r="J663" s="14">
        <v>32906.622185066575</v>
      </c>
      <c r="L663" s="36">
        <f t="shared" ref="L663:L685" si="377">IF(ISERROR(H663/J663-1),0,(H663/J663-1))</f>
        <v>-4.6684276557650284E-3</v>
      </c>
    </row>
    <row r="664" spans="2:13" ht="12" hidden="1" customHeight="1" outlineLevel="2" x14ac:dyDescent="0.25">
      <c r="B664" s="8" t="s">
        <v>114</v>
      </c>
      <c r="F664" s="3">
        <v>5832</v>
      </c>
      <c r="G664" s="3">
        <v>7042</v>
      </c>
      <c r="H664" s="3">
        <v>7718</v>
      </c>
      <c r="J664" s="14">
        <v>7691.5129552744302</v>
      </c>
      <c r="L664" s="36">
        <f t="shared" si="377"/>
        <v>3.4436716000596501E-3</v>
      </c>
    </row>
    <row r="665" spans="2:13" ht="12" hidden="1" customHeight="1" outlineLevel="2" x14ac:dyDescent="0.25">
      <c r="B665" s="8" t="s">
        <v>75</v>
      </c>
      <c r="F665" s="3">
        <v>5881</v>
      </c>
      <c r="G665" s="3">
        <v>6295</v>
      </c>
      <c r="H665" s="3">
        <v>7399</v>
      </c>
      <c r="J665" s="14">
        <v>7689.4668666584021</v>
      </c>
      <c r="L665" s="36">
        <f t="shared" si="377"/>
        <v>-3.7774643118350548E-2</v>
      </c>
    </row>
    <row r="666" spans="2:13" ht="12" hidden="1" customHeight="1" outlineLevel="2" x14ac:dyDescent="0.25">
      <c r="B666" s="8" t="s">
        <v>45</v>
      </c>
      <c r="F666" s="3">
        <v>4385</v>
      </c>
      <c r="G666" s="3">
        <v>5007</v>
      </c>
      <c r="H666" s="3">
        <v>10329</v>
      </c>
      <c r="J666" s="14">
        <v>5279.8865799675023</v>
      </c>
      <c r="L666" s="36">
        <f t="shared" si="377"/>
        <v>0.95629202323955509</v>
      </c>
    </row>
    <row r="667" spans="2:13" ht="12" hidden="1" customHeight="1" outlineLevel="2" x14ac:dyDescent="0.25">
      <c r="B667" s="8" t="s">
        <v>67</v>
      </c>
      <c r="F667" s="3">
        <v>200</v>
      </c>
      <c r="G667" s="3">
        <v>327</v>
      </c>
      <c r="H667" s="3">
        <v>424</v>
      </c>
      <c r="J667" s="14">
        <v>124</v>
      </c>
      <c r="L667" s="36">
        <f t="shared" si="377"/>
        <v>2.4193548387096775</v>
      </c>
    </row>
    <row r="668" spans="2:13" ht="12" hidden="1" customHeight="1" outlineLevel="2" x14ac:dyDescent="0.25">
      <c r="B668" s="8" t="s">
        <v>297</v>
      </c>
      <c r="F668" s="6">
        <v>0</v>
      </c>
      <c r="G668" s="6">
        <v>0</v>
      </c>
      <c r="H668" s="6">
        <v>500</v>
      </c>
      <c r="J668" s="14">
        <v>500</v>
      </c>
      <c r="L668" s="36">
        <f t="shared" si="377"/>
        <v>0</v>
      </c>
    </row>
    <row r="669" spans="2:13" ht="12" hidden="1" customHeight="1" outlineLevel="2" x14ac:dyDescent="0.25">
      <c r="B669" s="8" t="s">
        <v>185</v>
      </c>
      <c r="F669" s="9">
        <f>SUM(F664:F668)</f>
        <v>16298</v>
      </c>
      <c r="G669" s="9">
        <f t="shared" ref="G669:H669" si="378">SUM(G664:G668)</f>
        <v>18671</v>
      </c>
      <c r="H669" s="9">
        <f t="shared" si="378"/>
        <v>26370</v>
      </c>
      <c r="J669" s="17">
        <v>21284.866401900334</v>
      </c>
      <c r="L669" s="36">
        <f t="shared" si="377"/>
        <v>0.23890841042092048</v>
      </c>
    </row>
    <row r="670" spans="2:13" ht="12" hidden="1" customHeight="1" outlineLevel="2" x14ac:dyDescent="0.25">
      <c r="B670" s="8" t="s">
        <v>105</v>
      </c>
      <c r="F670" s="9">
        <f>F663-F669</f>
        <v>9340</v>
      </c>
      <c r="G670" s="9">
        <f t="shared" ref="G670:H670" si="379">G663-G669</f>
        <v>9545</v>
      </c>
      <c r="H670" s="9">
        <f t="shared" si="379"/>
        <v>6383</v>
      </c>
      <c r="J670" s="17">
        <v>11621.755783166242</v>
      </c>
      <c r="L670" s="36">
        <f t="shared" si="377"/>
        <v>-0.45077145664637175</v>
      </c>
    </row>
    <row r="671" spans="2:13" ht="12" hidden="1" customHeight="1" outlineLevel="2" x14ac:dyDescent="0.25">
      <c r="B671" s="8" t="s">
        <v>152</v>
      </c>
      <c r="F671" s="3">
        <v>965</v>
      </c>
      <c r="G671" s="3">
        <v>1004</v>
      </c>
      <c r="H671" s="3">
        <v>1144</v>
      </c>
      <c r="J671" s="14">
        <v>1166.7197617952465</v>
      </c>
      <c r="L671" s="36">
        <f t="shared" si="377"/>
        <v>-1.9473195311517921E-2</v>
      </c>
    </row>
    <row r="672" spans="2:13" ht="12" hidden="1" customHeight="1" outlineLevel="2" x14ac:dyDescent="0.25">
      <c r="B672" s="8" t="s">
        <v>186</v>
      </c>
      <c r="F672" s="3">
        <v>303</v>
      </c>
      <c r="G672" s="3">
        <v>348</v>
      </c>
      <c r="H672" s="3">
        <v>24</v>
      </c>
      <c r="J672" s="14">
        <v>18</v>
      </c>
      <c r="L672" s="36">
        <f t="shared" si="377"/>
        <v>0.33333333333333326</v>
      </c>
    </row>
    <row r="673" spans="2:13" ht="12" hidden="1" customHeight="1" outlineLevel="2" x14ac:dyDescent="0.25">
      <c r="B673" s="8" t="s">
        <v>224</v>
      </c>
      <c r="F673" s="3">
        <v>188</v>
      </c>
      <c r="G673" s="3">
        <v>466</v>
      </c>
      <c r="H673" s="3">
        <v>18</v>
      </c>
      <c r="J673" s="14">
        <v>411</v>
      </c>
      <c r="L673" s="36">
        <f t="shared" si="377"/>
        <v>-0.95620437956204385</v>
      </c>
    </row>
    <row r="674" spans="2:13" ht="12" hidden="1" customHeight="1" outlineLevel="2" x14ac:dyDescent="0.25">
      <c r="B674" s="8" t="s">
        <v>298</v>
      </c>
      <c r="F674" s="9">
        <f>F670-SUM(F671:F673)</f>
        <v>7884</v>
      </c>
      <c r="G674" s="9">
        <f t="shared" ref="G674:H674" si="380">G670-SUM(G671:G673)</f>
        <v>7727</v>
      </c>
      <c r="H674" s="9">
        <f t="shared" si="380"/>
        <v>5197</v>
      </c>
      <c r="J674" s="17">
        <v>10026.036021370996</v>
      </c>
      <c r="L674" s="36">
        <f t="shared" si="377"/>
        <v>-0.48164957826579369</v>
      </c>
    </row>
    <row r="675" spans="2:13" ht="12" hidden="1" customHeight="1" outlineLevel="2" x14ac:dyDescent="0.25">
      <c r="B675" s="8" t="s">
        <v>53</v>
      </c>
      <c r="F675" s="6">
        <v>1931</v>
      </c>
      <c r="G675" s="6">
        <v>2418</v>
      </c>
      <c r="H675" s="6">
        <v>-490</v>
      </c>
      <c r="J675" s="14">
        <v>597.32792470161769</v>
      </c>
      <c r="L675" s="36">
        <f t="shared" si="377"/>
        <v>-1.820319927692597</v>
      </c>
    </row>
    <row r="676" spans="2:13" ht="12" hidden="1" customHeight="1" outlineLevel="2" thickBot="1" x14ac:dyDescent="0.3">
      <c r="B676" s="8" t="s">
        <v>123</v>
      </c>
      <c r="F676" s="10">
        <f>F674-F675</f>
        <v>5953</v>
      </c>
      <c r="G676" s="10">
        <f t="shared" ref="G676:H676" si="381">G674-G675</f>
        <v>5309</v>
      </c>
      <c r="H676" s="10">
        <f t="shared" si="381"/>
        <v>5687</v>
      </c>
      <c r="J676" s="19">
        <v>9428.7080966693775</v>
      </c>
      <c r="L676" s="36">
        <f t="shared" si="377"/>
        <v>-0.39684207616853773</v>
      </c>
    </row>
    <row r="677" spans="2:13" ht="12" hidden="1" customHeight="1" outlineLevel="2" thickTop="1" x14ac:dyDescent="0.25">
      <c r="B677" s="8" t="s">
        <v>187</v>
      </c>
      <c r="J677" s="15"/>
      <c r="L677" s="35"/>
    </row>
    <row r="678" spans="2:13" ht="12" hidden="1" customHeight="1" outlineLevel="2" x14ac:dyDescent="0.25">
      <c r="B678" s="8" t="s">
        <v>188</v>
      </c>
      <c r="F678" s="11">
        <v>3.65</v>
      </c>
      <c r="G678" s="11">
        <v>3.31</v>
      </c>
      <c r="H678" s="11">
        <v>3.67</v>
      </c>
      <c r="J678" s="20">
        <v>6.0778412287686123</v>
      </c>
      <c r="L678" s="36">
        <f t="shared" si="377"/>
        <v>-0.3961671814280755</v>
      </c>
    </row>
    <row r="679" spans="2:13" ht="12" hidden="1" customHeight="1" outlineLevel="2" x14ac:dyDescent="0.25">
      <c r="B679" s="8" t="s">
        <v>189</v>
      </c>
      <c r="F679" s="11">
        <v>3.63</v>
      </c>
      <c r="G679" s="11">
        <v>3.3</v>
      </c>
      <c r="H679" s="11">
        <v>3.66</v>
      </c>
      <c r="J679" s="20">
        <v>6.0744937931811043</v>
      </c>
      <c r="L679" s="36">
        <f t="shared" si="377"/>
        <v>-0.39748065853511672</v>
      </c>
    </row>
    <row r="680" spans="2:13" ht="12" hidden="1" customHeight="1" outlineLevel="2" x14ac:dyDescent="0.25">
      <c r="B680" s="8" t="s">
        <v>299</v>
      </c>
      <c r="F680" s="11">
        <v>0</v>
      </c>
      <c r="G680" s="11">
        <v>0</v>
      </c>
      <c r="H680" s="11">
        <v>0</v>
      </c>
      <c r="J680" s="20">
        <v>2.7037240939174851</v>
      </c>
      <c r="L680" s="36">
        <f t="shared" si="377"/>
        <v>-1</v>
      </c>
    </row>
    <row r="681" spans="2:13" ht="12" hidden="1" customHeight="1" outlineLevel="2" x14ac:dyDescent="0.25">
      <c r="B681" s="8" t="s">
        <v>190</v>
      </c>
      <c r="F681" s="3">
        <v>1622</v>
      </c>
      <c r="G681" s="3">
        <v>1596</v>
      </c>
      <c r="H681" s="3">
        <v>1541</v>
      </c>
      <c r="J681" s="14">
        <v>1511</v>
      </c>
      <c r="L681" s="36">
        <f t="shared" si="377"/>
        <v>1.9854401058901461E-2</v>
      </c>
    </row>
    <row r="682" spans="2:13" ht="12" hidden="1" customHeight="1" outlineLevel="2" x14ac:dyDescent="0.25">
      <c r="B682" s="8" t="s">
        <v>191</v>
      </c>
      <c r="F682" s="3">
        <v>1631</v>
      </c>
      <c r="G682" s="3">
        <v>1603</v>
      </c>
      <c r="H682" s="3">
        <v>1546</v>
      </c>
      <c r="J682" s="14">
        <v>1515</v>
      </c>
      <c r="L682" s="36">
        <f t="shared" si="377"/>
        <v>2.0462046204620554E-2</v>
      </c>
    </row>
    <row r="683" spans="2:13" ht="12" hidden="1" customHeight="1" outlineLevel="2" x14ac:dyDescent="0.25">
      <c r="J683" s="21"/>
      <c r="L683" s="35"/>
    </row>
    <row r="684" spans="2:13" ht="12" hidden="1" customHeight="1" outlineLevel="2" x14ac:dyDescent="0.25">
      <c r="B684" s="8" t="s">
        <v>109</v>
      </c>
      <c r="F684" s="3">
        <v>425</v>
      </c>
      <c r="G684" s="3">
        <v>425</v>
      </c>
      <c r="H684" s="3">
        <v>471</v>
      </c>
      <c r="J684" s="14">
        <v>467.74253473432691</v>
      </c>
      <c r="L684" s="36">
        <f t="shared" si="377"/>
        <v>6.9642271629697383E-3</v>
      </c>
    </row>
    <row r="685" spans="2:13" ht="12" hidden="1" customHeight="1" outlineLevel="2" x14ac:dyDescent="0.25">
      <c r="B685" s="8" t="s">
        <v>192</v>
      </c>
      <c r="F685" s="3">
        <v>-479</v>
      </c>
      <c r="G685" s="3">
        <v>-529</v>
      </c>
      <c r="H685" s="3">
        <v>-638</v>
      </c>
      <c r="J685" s="14">
        <v>-692.63106588639801</v>
      </c>
      <c r="L685" s="36">
        <f t="shared" si="377"/>
        <v>-7.8874697623450674E-2</v>
      </c>
    </row>
    <row r="686" spans="2:13" ht="12" customHeight="1" outlineLevel="1" collapsed="1" x14ac:dyDescent="0.25"/>
    <row r="687" spans="2:13" ht="12" customHeight="1" x14ac:dyDescent="0.25">
      <c r="B687" s="61" t="s">
        <v>380</v>
      </c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91" t="s">
        <v>35</v>
      </c>
    </row>
    <row r="688" spans="2:13" ht="12" customHeight="1" x14ac:dyDescent="0.25">
      <c r="B688" s="38"/>
      <c r="C688" s="15"/>
      <c r="D688" s="15"/>
      <c r="E688" s="15"/>
      <c r="F688" s="15"/>
      <c r="G688" s="15"/>
      <c r="H688" s="15"/>
      <c r="I688" s="15"/>
      <c r="J688" s="15"/>
      <c r="K688" s="62"/>
      <c r="L688" s="62"/>
    </row>
    <row r="689" spans="1:12" ht="12" customHeight="1" outlineLevel="1" x14ac:dyDescent="0.25">
      <c r="B689" s="85" t="s">
        <v>338</v>
      </c>
      <c r="C689" s="86"/>
      <c r="D689" s="86"/>
      <c r="E689" s="86"/>
      <c r="F689" s="89" t="s">
        <v>369</v>
      </c>
      <c r="G689" s="89"/>
      <c r="H689" s="90"/>
      <c r="I689" s="15"/>
      <c r="J689" s="82" t="s">
        <v>370</v>
      </c>
      <c r="K689" s="62"/>
      <c r="L689" s="68" t="s">
        <v>386</v>
      </c>
    </row>
    <row r="690" spans="1:12" ht="12" customHeight="1" outlineLevel="1" x14ac:dyDescent="0.25">
      <c r="B690" s="87"/>
      <c r="C690" s="88"/>
      <c r="D690" s="88"/>
      <c r="E690" s="88"/>
      <c r="F690" s="39">
        <f>G690-1</f>
        <v>2016</v>
      </c>
      <c r="G690" s="39">
        <f>H690-1</f>
        <v>2017</v>
      </c>
      <c r="H690" s="60">
        <f>J690</f>
        <v>2018</v>
      </c>
      <c r="I690" s="15"/>
      <c r="J690" s="81">
        <v>2018</v>
      </c>
      <c r="K690" s="62"/>
      <c r="L690" s="68" t="s">
        <v>370</v>
      </c>
    </row>
    <row r="691" spans="1:12" ht="12" customHeight="1" outlineLevel="1" x14ac:dyDescent="0.25">
      <c r="B691" s="62"/>
      <c r="C691" s="62"/>
      <c r="D691" s="62"/>
      <c r="E691" s="62"/>
      <c r="F691" s="40"/>
      <c r="G691" s="40"/>
      <c r="H691" s="40"/>
      <c r="I691" s="15"/>
      <c r="J691" s="40"/>
      <c r="K691" s="62"/>
      <c r="L691" s="62"/>
    </row>
    <row r="692" spans="1:12" ht="12" customHeight="1" outlineLevel="1" x14ac:dyDescent="0.25">
      <c r="A692" s="70" t="str">
        <f>M687</f>
        <v>JNJ</v>
      </c>
      <c r="B692" s="43" t="s">
        <v>340</v>
      </c>
      <c r="C692" s="44"/>
      <c r="D692" s="44"/>
      <c r="E692" s="74" t="str">
        <f>B692&amp;" ("&amp;A692&amp;")"</f>
        <v>Total Revenue (JNJ)</v>
      </c>
      <c r="F692" s="45">
        <f>F735</f>
        <v>71890</v>
      </c>
      <c r="G692" s="45">
        <f t="shared" ref="G692:J692" si="382">G735</f>
        <v>76450</v>
      </c>
      <c r="H692" s="45">
        <f t="shared" si="382"/>
        <v>81581</v>
      </c>
      <c r="I692" s="71"/>
      <c r="J692" s="45">
        <f t="shared" si="382"/>
        <v>81136.005047676226</v>
      </c>
      <c r="K692" s="62"/>
      <c r="L692" s="67">
        <f>IF(ISERROR(H692/J692-1),0,(H692/J692-1))</f>
        <v>5.4845558647149684E-3</v>
      </c>
    </row>
    <row r="693" spans="1:12" ht="12" customHeight="1" outlineLevel="1" x14ac:dyDescent="0.25">
      <c r="A693" s="70" t="str">
        <f>A692</f>
        <v>JNJ</v>
      </c>
      <c r="B693" s="42" t="s">
        <v>341</v>
      </c>
      <c r="C693" s="46"/>
      <c r="D693" s="46"/>
      <c r="E693" s="72" t="str">
        <f t="shared" ref="E693:E728" si="383">B693&amp;" ("&amp;A693&amp;")"</f>
        <v>% Growth (JNJ)</v>
      </c>
      <c r="F693" s="47" t="s">
        <v>342</v>
      </c>
      <c r="G693" s="47">
        <f>G692/F692-1</f>
        <v>6.3430240645430569E-2</v>
      </c>
      <c r="H693" s="47">
        <f>H692/G692-1</f>
        <v>6.7115761935905738E-2</v>
      </c>
      <c r="I693" s="71"/>
      <c r="J693" s="47">
        <f>J692/G692-1</f>
        <v>6.1295030054626887E-2</v>
      </c>
      <c r="K693" s="62"/>
      <c r="L693" s="67">
        <f t="shared" ref="L693:L728" si="384">IF(ISERROR(H693/J693-1),0,(H693/J693-1))</f>
        <v>9.4962542250021542E-2</v>
      </c>
    </row>
    <row r="694" spans="1:12" ht="12" customHeight="1" outlineLevel="1" x14ac:dyDescent="0.25">
      <c r="A694" s="70" t="str">
        <f t="shared" ref="A694:A728" si="385">A693</f>
        <v>JNJ</v>
      </c>
      <c r="B694" s="42" t="s">
        <v>343</v>
      </c>
      <c r="C694" s="41"/>
      <c r="D694" s="41"/>
      <c r="E694" s="40" t="str">
        <f t="shared" si="383"/>
        <v>COGS (JNJ)</v>
      </c>
      <c r="F694" s="48">
        <f>F736</f>
        <v>21789</v>
      </c>
      <c r="G694" s="48">
        <f t="shared" ref="G694:H694" si="386">G736</f>
        <v>25439</v>
      </c>
      <c r="H694" s="48">
        <f t="shared" si="386"/>
        <v>27091</v>
      </c>
      <c r="I694" s="71"/>
      <c r="J694" s="48">
        <f t="shared" ref="J694" si="387">J736</f>
        <v>26848.131849526635</v>
      </c>
      <c r="K694" s="62"/>
      <c r="L694" s="67">
        <f t="shared" si="384"/>
        <v>9.0459981288286695E-3</v>
      </c>
    </row>
    <row r="695" spans="1:12" ht="12" customHeight="1" outlineLevel="1" x14ac:dyDescent="0.25">
      <c r="A695" s="70" t="str">
        <f t="shared" si="385"/>
        <v>JNJ</v>
      </c>
      <c r="B695" s="42" t="s">
        <v>344</v>
      </c>
      <c r="C695" s="41"/>
      <c r="D695" s="41"/>
      <c r="E695" s="40" t="str">
        <f t="shared" si="383"/>
        <v>Total Depreciation &amp; Amortization (JNJ)</v>
      </c>
      <c r="F695" s="48">
        <f>F758</f>
        <v>3754</v>
      </c>
      <c r="G695" s="48">
        <f t="shared" ref="G695:H695" si="388">G758</f>
        <v>5642</v>
      </c>
      <c r="H695" s="48">
        <f t="shared" si="388"/>
        <v>6929</v>
      </c>
      <c r="I695" s="71"/>
      <c r="J695" s="48">
        <f t="shared" ref="J695" si="389">J758</f>
        <v>6811.7927666484202</v>
      </c>
      <c r="K695" s="62"/>
      <c r="L695" s="67">
        <f t="shared" si="384"/>
        <v>1.7206517779789765E-2</v>
      </c>
    </row>
    <row r="696" spans="1:12" ht="12" customHeight="1" outlineLevel="1" x14ac:dyDescent="0.25">
      <c r="A696" s="70" t="str">
        <f t="shared" si="385"/>
        <v>JNJ</v>
      </c>
      <c r="B696" s="42" t="s">
        <v>345</v>
      </c>
      <c r="C696" s="41"/>
      <c r="D696" s="41"/>
      <c r="E696" s="40" t="str">
        <f t="shared" si="383"/>
        <v>COGS (Exclusive of D&amp;A) (JNJ)</v>
      </c>
      <c r="F696" s="49">
        <f>F694-F695</f>
        <v>18035</v>
      </c>
      <c r="G696" s="49">
        <f>G694-G695</f>
        <v>19797</v>
      </c>
      <c r="H696" s="49">
        <f>H694-H695</f>
        <v>20162</v>
      </c>
      <c r="I696" s="71"/>
      <c r="J696" s="49">
        <f t="shared" ref="J696" si="390">J694-J695</f>
        <v>20036.339082878214</v>
      </c>
      <c r="K696" s="62"/>
      <c r="L696" s="67">
        <f t="shared" si="384"/>
        <v>6.2716505546249746E-3</v>
      </c>
    </row>
    <row r="697" spans="1:12" ht="12" customHeight="1" outlineLevel="1" x14ac:dyDescent="0.25">
      <c r="A697" s="70" t="str">
        <f t="shared" si="385"/>
        <v>JNJ</v>
      </c>
      <c r="B697" s="42" t="s">
        <v>346</v>
      </c>
      <c r="C697" s="46"/>
      <c r="D697" s="46"/>
      <c r="E697" s="72" t="str">
        <f t="shared" si="383"/>
        <v>% Total Revenue (JNJ)</v>
      </c>
      <c r="F697" s="50">
        <f>F696/F692</f>
        <v>0.25086938378077617</v>
      </c>
      <c r="G697" s="50">
        <f>G696/G692</f>
        <v>0.25895356442119033</v>
      </c>
      <c r="H697" s="50">
        <f>H696/H692</f>
        <v>0.24714087839080179</v>
      </c>
      <c r="I697" s="71"/>
      <c r="J697" s="50">
        <f t="shared" ref="J697" si="391">J696/J692</f>
        <v>0.24694756749614041</v>
      </c>
      <c r="K697" s="62"/>
      <c r="L697" s="67">
        <f t="shared" si="384"/>
        <v>7.8280137205388733E-4</v>
      </c>
    </row>
    <row r="698" spans="1:12" ht="12" customHeight="1" outlineLevel="1" x14ac:dyDescent="0.25">
      <c r="A698" s="70" t="str">
        <f t="shared" si="385"/>
        <v>JNJ</v>
      </c>
      <c r="B698" s="43" t="s">
        <v>347</v>
      </c>
      <c r="C698" s="44"/>
      <c r="D698" s="44"/>
      <c r="E698" s="74" t="str">
        <f t="shared" si="383"/>
        <v>Gross Profit (JNJ)</v>
      </c>
      <c r="F698" s="51">
        <f>F692-F696</f>
        <v>53855</v>
      </c>
      <c r="G698" s="51">
        <f>G692-G696</f>
        <v>56653</v>
      </c>
      <c r="H698" s="51">
        <f>H692-H696</f>
        <v>61419</v>
      </c>
      <c r="I698" s="71"/>
      <c r="J698" s="51">
        <f t="shared" ref="J698" si="392">J692-J696</f>
        <v>61099.665964798012</v>
      </c>
      <c r="K698" s="62"/>
      <c r="L698" s="67">
        <f t="shared" si="384"/>
        <v>5.2264448611873959E-3</v>
      </c>
    </row>
    <row r="699" spans="1:12" ht="12" customHeight="1" outlineLevel="1" x14ac:dyDescent="0.25">
      <c r="A699" s="70" t="str">
        <f t="shared" si="385"/>
        <v>JNJ</v>
      </c>
      <c r="B699" s="42" t="s">
        <v>348</v>
      </c>
      <c r="C699" s="46"/>
      <c r="D699" s="46"/>
      <c r="E699" s="72" t="str">
        <f t="shared" si="383"/>
        <v>Gross Profit Margin (%) (JNJ)</v>
      </c>
      <c r="F699" s="47">
        <f>F698/F692</f>
        <v>0.74913061621922383</v>
      </c>
      <c r="G699" s="47">
        <f>G698/G692</f>
        <v>0.74104643557880967</v>
      </c>
      <c r="H699" s="47">
        <f>H698/H692</f>
        <v>0.75285912160919821</v>
      </c>
      <c r="I699" s="71"/>
      <c r="J699" s="47">
        <f t="shared" ref="J699" si="393">J698/J692</f>
        <v>0.75305243250385956</v>
      </c>
      <c r="K699" s="62"/>
      <c r="L699" s="67">
        <f t="shared" si="384"/>
        <v>-2.5670310102920979E-4</v>
      </c>
    </row>
    <row r="700" spans="1:12" ht="12" customHeight="1" outlineLevel="1" x14ac:dyDescent="0.25">
      <c r="A700" s="70" t="str">
        <f t="shared" si="385"/>
        <v>JNJ</v>
      </c>
      <c r="B700" s="42" t="s">
        <v>349</v>
      </c>
      <c r="C700" s="41"/>
      <c r="D700" s="41"/>
      <c r="E700" s="40" t="str">
        <f t="shared" si="383"/>
        <v>Operating expenses (JNJ)</v>
      </c>
      <c r="F700" s="48">
        <f>SUM(F738,F739)</f>
        <v>29210</v>
      </c>
      <c r="G700" s="48">
        <f t="shared" ref="G700:J700" si="394">SUM(G738,G739)</f>
        <v>32114</v>
      </c>
      <c r="H700" s="48">
        <f t="shared" si="394"/>
        <v>33315</v>
      </c>
      <c r="I700" s="71"/>
      <c r="J700" s="48">
        <f t="shared" si="394"/>
        <v>33211.466512939762</v>
      </c>
      <c r="K700" s="62"/>
      <c r="L700" s="67">
        <f t="shared" si="384"/>
        <v>3.1174018473378862E-3</v>
      </c>
    </row>
    <row r="701" spans="1:12" ht="12" customHeight="1" outlineLevel="1" x14ac:dyDescent="0.25">
      <c r="A701" s="70" t="str">
        <f t="shared" si="385"/>
        <v>JNJ</v>
      </c>
      <c r="B701" s="42" t="s">
        <v>346</v>
      </c>
      <c r="C701" s="46"/>
      <c r="D701" s="46"/>
      <c r="E701" s="72" t="str">
        <f t="shared" si="383"/>
        <v>% Total Revenue (JNJ)</v>
      </c>
      <c r="F701" s="50">
        <f>F700/F692</f>
        <v>0.40631520378355823</v>
      </c>
      <c r="G701" s="50">
        <f>G700/G692</f>
        <v>0.42006540222367561</v>
      </c>
      <c r="H701" s="50">
        <f>H700/H692</f>
        <v>0.40836714431056254</v>
      </c>
      <c r="I701" s="71"/>
      <c r="J701" s="50">
        <f t="shared" ref="J701" si="395">J700/J692</f>
        <v>0.40933080810947514</v>
      </c>
      <c r="K701" s="62"/>
      <c r="L701" s="67">
        <f t="shared" si="384"/>
        <v>-2.3542420453602775E-3</v>
      </c>
    </row>
    <row r="702" spans="1:12" ht="12" customHeight="1" outlineLevel="1" x14ac:dyDescent="0.25">
      <c r="A702" s="70" t="str">
        <f t="shared" si="385"/>
        <v>JNJ</v>
      </c>
      <c r="B702" s="43" t="s">
        <v>350</v>
      </c>
      <c r="C702" s="44"/>
      <c r="D702" s="44"/>
      <c r="E702" s="74" t="str">
        <f t="shared" si="383"/>
        <v>Operating Profit (JNJ)</v>
      </c>
      <c r="F702" s="51">
        <f>F698-F700</f>
        <v>24645</v>
      </c>
      <c r="G702" s="51">
        <f>G698-G700</f>
        <v>24539</v>
      </c>
      <c r="H702" s="51">
        <f>H698-H700</f>
        <v>28104</v>
      </c>
      <c r="I702" s="71"/>
      <c r="J702" s="51">
        <f t="shared" ref="J702" si="396">J698-J700</f>
        <v>27888.199451858251</v>
      </c>
      <c r="K702" s="62"/>
      <c r="L702" s="67">
        <f t="shared" si="384"/>
        <v>7.7380595514700001E-3</v>
      </c>
    </row>
    <row r="703" spans="1:12" ht="12" customHeight="1" outlineLevel="1" x14ac:dyDescent="0.25">
      <c r="A703" s="70" t="str">
        <f t="shared" si="385"/>
        <v>JNJ</v>
      </c>
      <c r="B703" s="42" t="s">
        <v>351</v>
      </c>
      <c r="C703" s="46"/>
      <c r="D703" s="46"/>
      <c r="E703" s="72" t="str">
        <f t="shared" si="383"/>
        <v>Operating Profit Margin (%) (JNJ)</v>
      </c>
      <c r="F703" s="47">
        <f>F702/F692</f>
        <v>0.3428154124356656</v>
      </c>
      <c r="G703" s="47">
        <f>G702/G692</f>
        <v>0.32098103335513406</v>
      </c>
      <c r="H703" s="47">
        <f>H702/H692</f>
        <v>0.34449197729863573</v>
      </c>
      <c r="I703" s="71"/>
      <c r="J703" s="47">
        <f t="shared" ref="J703" si="397">J702/J692</f>
        <v>0.34372162439438447</v>
      </c>
      <c r="K703" s="62"/>
      <c r="L703" s="67">
        <f t="shared" si="384"/>
        <v>2.2412116363308421E-3</v>
      </c>
    </row>
    <row r="704" spans="1:12" ht="12" customHeight="1" outlineLevel="1" x14ac:dyDescent="0.25">
      <c r="A704" s="70" t="str">
        <f t="shared" si="385"/>
        <v>JNJ</v>
      </c>
      <c r="B704" s="42" t="s">
        <v>352</v>
      </c>
      <c r="C704" s="41"/>
      <c r="D704" s="41"/>
      <c r="E704" s="40" t="str">
        <f t="shared" si="383"/>
        <v>Total Other Expenses / (Income) (JNJ)</v>
      </c>
      <c r="F704" s="52">
        <f>SUM(F740,F743,F744)</f>
        <v>730</v>
      </c>
      <c r="G704" s="52">
        <f t="shared" ref="G704:J704" si="398">SUM(G740,G743,G744)</f>
        <v>675</v>
      </c>
      <c r="H704" s="52">
        <f t="shared" si="398"/>
        <v>2782</v>
      </c>
      <c r="I704" s="71"/>
      <c r="J704" s="52">
        <f t="shared" si="398"/>
        <v>1925.5257469433889</v>
      </c>
      <c r="K704" s="62"/>
      <c r="L704" s="67">
        <f t="shared" si="384"/>
        <v>0.44480020815935206</v>
      </c>
    </row>
    <row r="705" spans="1:12" ht="12" customHeight="1" outlineLevel="1" x14ac:dyDescent="0.25">
      <c r="A705" s="70" t="str">
        <f t="shared" si="385"/>
        <v>JNJ</v>
      </c>
      <c r="B705" s="43" t="s">
        <v>353</v>
      </c>
      <c r="C705" s="44"/>
      <c r="D705" s="44"/>
      <c r="E705" s="74" t="str">
        <f t="shared" si="383"/>
        <v>EBITDA (JNJ)</v>
      </c>
      <c r="F705" s="51">
        <f>F702-F704</f>
        <v>23915</v>
      </c>
      <c r="G705" s="51">
        <f>G702-G704</f>
        <v>23864</v>
      </c>
      <c r="H705" s="51">
        <f>H702-H704</f>
        <v>25322</v>
      </c>
      <c r="I705" s="71"/>
      <c r="J705" s="51">
        <f t="shared" ref="J705" si="399">J702-J704</f>
        <v>25962.673704914861</v>
      </c>
      <c r="K705" s="62"/>
      <c r="L705" s="67">
        <f t="shared" si="384"/>
        <v>-2.4676722905991766E-2</v>
      </c>
    </row>
    <row r="706" spans="1:12" ht="12" customHeight="1" outlineLevel="1" x14ac:dyDescent="0.25">
      <c r="A706" s="70" t="str">
        <f t="shared" si="385"/>
        <v>JNJ</v>
      </c>
      <c r="B706" s="42" t="s">
        <v>354</v>
      </c>
      <c r="C706" s="46"/>
      <c r="D706" s="46"/>
      <c r="E706" s="72" t="str">
        <f t="shared" si="383"/>
        <v>EBITDA Margin (%) (JNJ)</v>
      </c>
      <c r="F706" s="47">
        <f>F705/F692</f>
        <v>0.33266100987619973</v>
      </c>
      <c r="G706" s="47">
        <f>G705/G692</f>
        <v>0.31215173315892741</v>
      </c>
      <c r="H706" s="47">
        <f>H705/H692</f>
        <v>0.31039089984187496</v>
      </c>
      <c r="I706" s="71"/>
      <c r="J706" s="47">
        <f t="shared" ref="J706" si="400">J705/J692</f>
        <v>0.31998954951823139</v>
      </c>
      <c r="K706" s="62"/>
      <c r="L706" s="67">
        <f t="shared" si="384"/>
        <v>-2.9996759865464129E-2</v>
      </c>
    </row>
    <row r="707" spans="1:12" ht="12" customHeight="1" outlineLevel="1" x14ac:dyDescent="0.25">
      <c r="A707" s="70" t="str">
        <f t="shared" si="385"/>
        <v>JNJ</v>
      </c>
      <c r="B707" s="42" t="s">
        <v>344</v>
      </c>
      <c r="C707" s="53"/>
      <c r="D707" s="53"/>
      <c r="E707" s="40" t="str">
        <f t="shared" si="383"/>
        <v>Total Depreciation &amp; Amortization (JNJ)</v>
      </c>
      <c r="F707" s="49">
        <f>F695</f>
        <v>3754</v>
      </c>
      <c r="G707" s="49">
        <f>G695</f>
        <v>5642</v>
      </c>
      <c r="H707" s="49">
        <f>H695</f>
        <v>6929</v>
      </c>
      <c r="I707" s="71"/>
      <c r="J707" s="49">
        <f t="shared" ref="J707" si="401">J695</f>
        <v>6811.7927666484202</v>
      </c>
      <c r="K707" s="62"/>
      <c r="L707" s="67">
        <f t="shared" si="384"/>
        <v>1.7206517779789765E-2</v>
      </c>
    </row>
    <row r="708" spans="1:12" ht="12" customHeight="1" outlineLevel="1" x14ac:dyDescent="0.25">
      <c r="A708" s="70" t="str">
        <f t="shared" si="385"/>
        <v>JNJ</v>
      </c>
      <c r="B708" s="42" t="s">
        <v>346</v>
      </c>
      <c r="C708" s="46"/>
      <c r="D708" s="46"/>
      <c r="E708" s="72" t="str">
        <f t="shared" si="383"/>
        <v>% Total Revenue (JNJ)</v>
      </c>
      <c r="F708" s="47">
        <f>F707/F692</f>
        <v>5.2218667408540829E-2</v>
      </c>
      <c r="G708" s="47">
        <f>G707/G692</f>
        <v>7.3799869195552648E-2</v>
      </c>
      <c r="H708" s="47">
        <f>H707/H692</f>
        <v>8.493399198342752E-2</v>
      </c>
      <c r="I708" s="71"/>
      <c r="J708" s="47">
        <f t="shared" ref="J708" si="402">J707/J692</f>
        <v>8.3955239879579369E-2</v>
      </c>
      <c r="K708" s="62"/>
      <c r="L708" s="67">
        <f t="shared" si="384"/>
        <v>1.1658022837550241E-2</v>
      </c>
    </row>
    <row r="709" spans="1:12" ht="12" customHeight="1" outlineLevel="1" x14ac:dyDescent="0.25">
      <c r="A709" s="70" t="str">
        <f t="shared" si="385"/>
        <v>JNJ</v>
      </c>
      <c r="B709" s="43" t="s">
        <v>355</v>
      </c>
      <c r="C709" s="44"/>
      <c r="D709" s="44"/>
      <c r="E709" s="74" t="str">
        <f t="shared" si="383"/>
        <v>EBIT (JNJ)</v>
      </c>
      <c r="F709" s="54">
        <f>F705-F707</f>
        <v>20161</v>
      </c>
      <c r="G709" s="54">
        <f>G705-G707</f>
        <v>18222</v>
      </c>
      <c r="H709" s="54">
        <f>H705-H707</f>
        <v>18393</v>
      </c>
      <c r="I709" s="71"/>
      <c r="J709" s="54">
        <f t="shared" ref="J709" si="403">J705-J707</f>
        <v>19150.88093826644</v>
      </c>
      <c r="K709" s="62"/>
      <c r="L709" s="67">
        <f t="shared" si="384"/>
        <v>-3.9574207615278745E-2</v>
      </c>
    </row>
    <row r="710" spans="1:12" ht="12" customHeight="1" outlineLevel="1" x14ac:dyDescent="0.25">
      <c r="A710" s="70" t="str">
        <f t="shared" si="385"/>
        <v>JNJ</v>
      </c>
      <c r="B710" s="42" t="s">
        <v>356</v>
      </c>
      <c r="C710" s="46"/>
      <c r="D710" s="46"/>
      <c r="E710" s="72" t="str">
        <f t="shared" si="383"/>
        <v>EBIT Margin (%) (JNJ)</v>
      </c>
      <c r="F710" s="47">
        <f>F709/F692</f>
        <v>0.28044234246765892</v>
      </c>
      <c r="G710" s="47">
        <f>G709/G692</f>
        <v>0.23835186396337477</v>
      </c>
      <c r="H710" s="47">
        <f>H709/H692</f>
        <v>0.22545690785844744</v>
      </c>
      <c r="I710" s="71"/>
      <c r="J710" s="47">
        <f t="shared" ref="J710" si="404">J709/J692</f>
        <v>0.23603430963865199</v>
      </c>
      <c r="K710" s="62"/>
      <c r="L710" s="67">
        <f t="shared" si="384"/>
        <v>-4.481298416487689E-2</v>
      </c>
    </row>
    <row r="711" spans="1:12" ht="12" customHeight="1" outlineLevel="1" x14ac:dyDescent="0.25">
      <c r="A711" s="70" t="str">
        <f t="shared" si="385"/>
        <v>JNJ</v>
      </c>
      <c r="B711" s="43" t="s">
        <v>357</v>
      </c>
      <c r="C711" s="44"/>
      <c r="D711" s="44"/>
      <c r="E711" s="74" t="str">
        <f t="shared" si="383"/>
        <v>Net Interest Expense (JNJ)</v>
      </c>
      <c r="F711" s="45">
        <f>SUM(F741,F742)</f>
        <v>358</v>
      </c>
      <c r="G711" s="45">
        <f t="shared" ref="G711:J711" si="405">SUM(G741,G742)</f>
        <v>549</v>
      </c>
      <c r="H711" s="45">
        <f t="shared" si="405"/>
        <v>394</v>
      </c>
      <c r="I711" s="71"/>
      <c r="J711" s="45">
        <f t="shared" si="405"/>
        <v>460.75728548094878</v>
      </c>
      <c r="K711" s="62"/>
      <c r="L711" s="67">
        <f t="shared" si="384"/>
        <v>-0.14488601175620264</v>
      </c>
    </row>
    <row r="712" spans="1:12" ht="12" customHeight="1" outlineLevel="1" x14ac:dyDescent="0.25">
      <c r="A712" s="70" t="str">
        <f t="shared" si="385"/>
        <v>JNJ</v>
      </c>
      <c r="B712" s="42" t="s">
        <v>346</v>
      </c>
      <c r="C712" s="46"/>
      <c r="D712" s="46"/>
      <c r="E712" s="72" t="str">
        <f t="shared" si="383"/>
        <v>% Total Revenue (JNJ)</v>
      </c>
      <c r="F712" s="47">
        <f>F711/F692</f>
        <v>4.9798302962859925E-3</v>
      </c>
      <c r="G712" s="47">
        <f>G711/G692</f>
        <v>7.1811641595814256E-3</v>
      </c>
      <c r="H712" s="47">
        <f>H711/H692</f>
        <v>4.8295559014966717E-3</v>
      </c>
      <c r="I712" s="71"/>
      <c r="J712" s="47">
        <f t="shared" ref="J712" si="406">J711/J692</f>
        <v>5.6788263756664351E-3</v>
      </c>
      <c r="K712" s="62"/>
      <c r="L712" s="67">
        <f t="shared" si="384"/>
        <v>-0.14955035036972719</v>
      </c>
    </row>
    <row r="713" spans="1:12" ht="12" customHeight="1" outlineLevel="1" x14ac:dyDescent="0.25">
      <c r="A713" s="70" t="str">
        <f t="shared" si="385"/>
        <v>JNJ</v>
      </c>
      <c r="B713" s="43" t="s">
        <v>358</v>
      </c>
      <c r="C713" s="44"/>
      <c r="D713" s="44"/>
      <c r="E713" s="74" t="str">
        <f t="shared" si="383"/>
        <v>EBT (JNJ)</v>
      </c>
      <c r="F713" s="54">
        <f>F709-F711</f>
        <v>19803</v>
      </c>
      <c r="G713" s="54">
        <f>G709-G711</f>
        <v>17673</v>
      </c>
      <c r="H713" s="54">
        <f>H709-H711</f>
        <v>17999</v>
      </c>
      <c r="I713" s="71"/>
      <c r="J713" s="54">
        <f t="shared" ref="J713" si="407">J709-J711</f>
        <v>18690.123652785493</v>
      </c>
      <c r="K713" s="62"/>
      <c r="L713" s="67">
        <f t="shared" si="384"/>
        <v>-3.6978013929966247E-2</v>
      </c>
    </row>
    <row r="714" spans="1:12" ht="12" customHeight="1" outlineLevel="1" x14ac:dyDescent="0.25">
      <c r="A714" s="70" t="str">
        <f t="shared" si="385"/>
        <v>JNJ</v>
      </c>
      <c r="B714" s="42" t="s">
        <v>359</v>
      </c>
      <c r="C714" s="46"/>
      <c r="D714" s="46"/>
      <c r="E714" s="72" t="str">
        <f t="shared" si="383"/>
        <v>EBT Margin (%) (JNJ)</v>
      </c>
      <c r="F714" s="47">
        <f>F713/F692</f>
        <v>0.27546251217137291</v>
      </c>
      <c r="G714" s="47">
        <f>G713/G692</f>
        <v>0.23117069980379332</v>
      </c>
      <c r="H714" s="47">
        <f>H713/H692</f>
        <v>0.22062735195695077</v>
      </c>
      <c r="I714" s="71"/>
      <c r="J714" s="47">
        <f t="shared" ref="J714" si="408">J713/J692</f>
        <v>0.23035548326298555</v>
      </c>
      <c r="K714" s="62"/>
      <c r="L714" s="67">
        <f t="shared" si="384"/>
        <v>-4.2230951780421244E-2</v>
      </c>
    </row>
    <row r="715" spans="1:12" ht="12" customHeight="1" outlineLevel="1" x14ac:dyDescent="0.25">
      <c r="A715" s="70" t="str">
        <f t="shared" si="385"/>
        <v>JNJ</v>
      </c>
      <c r="B715" s="42" t="s">
        <v>360</v>
      </c>
      <c r="C715" s="41"/>
      <c r="D715" s="41"/>
      <c r="E715" s="40" t="str">
        <f t="shared" si="383"/>
        <v>Income Tax Expense (JNJ)</v>
      </c>
      <c r="F715" s="55">
        <f>F746</f>
        <v>3263</v>
      </c>
      <c r="G715" s="55">
        <f t="shared" ref="G715:J715" si="409">G746</f>
        <v>16373</v>
      </c>
      <c r="H715" s="55">
        <f t="shared" si="409"/>
        <v>2702</v>
      </c>
      <c r="I715" s="71"/>
      <c r="J715" s="55">
        <f t="shared" si="409"/>
        <v>3361.7459886403858</v>
      </c>
      <c r="K715" s="62"/>
      <c r="L715" s="67">
        <f t="shared" si="384"/>
        <v>-0.1962509930463876</v>
      </c>
    </row>
    <row r="716" spans="1:12" ht="12" customHeight="1" outlineLevel="1" x14ac:dyDescent="0.25">
      <c r="A716" s="70" t="str">
        <f t="shared" si="385"/>
        <v>JNJ</v>
      </c>
      <c r="B716" s="42" t="s">
        <v>361</v>
      </c>
      <c r="C716" s="46"/>
      <c r="D716" s="46"/>
      <c r="E716" s="72" t="str">
        <f t="shared" si="383"/>
        <v>Effective Tax Rate (%) (JNJ)</v>
      </c>
      <c r="F716" s="47">
        <f>F715/F713</f>
        <v>0.16477301418976922</v>
      </c>
      <c r="G716" s="47">
        <f>G715/G713</f>
        <v>0.92644146438069375</v>
      </c>
      <c r="H716" s="47">
        <f>H715/H713</f>
        <v>0.15011945108061558</v>
      </c>
      <c r="I716" s="71"/>
      <c r="J716" s="47">
        <f t="shared" ref="J716" si="410">J715/J713</f>
        <v>0.17986750923070358</v>
      </c>
      <c r="K716" s="62"/>
      <c r="L716" s="67">
        <f t="shared" si="384"/>
        <v>-0.16538872571995322</v>
      </c>
    </row>
    <row r="717" spans="1:12" ht="12" customHeight="1" outlineLevel="1" x14ac:dyDescent="0.25">
      <c r="A717" s="70" t="str">
        <f t="shared" si="385"/>
        <v>JNJ</v>
      </c>
      <c r="B717" s="42" t="s">
        <v>362</v>
      </c>
      <c r="C717" s="41"/>
      <c r="D717" s="41"/>
      <c r="E717" s="40" t="str">
        <f t="shared" si="383"/>
        <v>Noncontrolling Interest (JNJ)</v>
      </c>
      <c r="F717" s="52">
        <f>F748</f>
        <v>0</v>
      </c>
      <c r="G717" s="52">
        <f t="shared" ref="G717:J717" si="411">G748</f>
        <v>0</v>
      </c>
      <c r="H717" s="52">
        <f t="shared" si="411"/>
        <v>0</v>
      </c>
      <c r="I717" s="71"/>
      <c r="J717" s="52">
        <f t="shared" si="411"/>
        <v>0</v>
      </c>
      <c r="K717" s="62"/>
      <c r="L717" s="67">
        <f t="shared" si="384"/>
        <v>0</v>
      </c>
    </row>
    <row r="718" spans="1:12" ht="12" customHeight="1" outlineLevel="1" thickBot="1" x14ac:dyDescent="0.3">
      <c r="A718" s="70" t="str">
        <f t="shared" si="385"/>
        <v>JNJ</v>
      </c>
      <c r="B718" s="43" t="s">
        <v>170</v>
      </c>
      <c r="C718" s="44"/>
      <c r="D718" s="44"/>
      <c r="E718" s="74" t="str">
        <f t="shared" si="383"/>
        <v>Net Income (JNJ)</v>
      </c>
      <c r="F718" s="56">
        <f>F713-SUM(F715,F717)</f>
        <v>16540</v>
      </c>
      <c r="G718" s="56">
        <f>G713-SUM(G715,G717)</f>
        <v>1300</v>
      </c>
      <c r="H718" s="56">
        <f>H713-SUM(H715,H717)</f>
        <v>15297</v>
      </c>
      <c r="I718" s="71"/>
      <c r="J718" s="56">
        <f t="shared" ref="J718" si="412">J713-SUM(J715,J717)</f>
        <v>15328.377664145108</v>
      </c>
      <c r="K718" s="62"/>
      <c r="L718" s="67">
        <f t="shared" si="384"/>
        <v>-2.0470309926211572E-3</v>
      </c>
    </row>
    <row r="719" spans="1:12" ht="12" customHeight="1" outlineLevel="1" thickTop="1" x14ac:dyDescent="0.25">
      <c r="A719" s="70" t="str">
        <f t="shared" si="385"/>
        <v>JNJ</v>
      </c>
      <c r="B719" s="42" t="s">
        <v>363</v>
      </c>
      <c r="C719" s="46"/>
      <c r="D719" s="46"/>
      <c r="E719" s="72" t="str">
        <f t="shared" si="383"/>
        <v>Net Profit Margin (%) (JNJ)</v>
      </c>
      <c r="F719" s="47">
        <f>F718/F692</f>
        <v>0.23007372374460983</v>
      </c>
      <c r="G719" s="47">
        <f>G718/G692</f>
        <v>1.7004578155657292E-2</v>
      </c>
      <c r="H719" s="47">
        <f>H718/H692</f>
        <v>0.18750689498780354</v>
      </c>
      <c r="I719" s="71"/>
      <c r="J719" s="47">
        <f t="shared" ref="J719" si="413">J718/J692</f>
        <v>0.18892201625083732</v>
      </c>
      <c r="K719" s="62"/>
      <c r="L719" s="67">
        <f t="shared" si="384"/>
        <v>-7.4905047654947321E-3</v>
      </c>
    </row>
    <row r="720" spans="1:12" ht="12" customHeight="1" outlineLevel="1" x14ac:dyDescent="0.25">
      <c r="A720" s="70" t="str">
        <f t="shared" si="385"/>
        <v>JNJ</v>
      </c>
      <c r="B720" s="42"/>
      <c r="C720" s="41"/>
      <c r="D720" s="41"/>
      <c r="E720" s="40" t="str">
        <f t="shared" si="383"/>
        <v xml:space="preserve"> (JNJ)</v>
      </c>
      <c r="F720" s="41"/>
      <c r="G720" s="41"/>
      <c r="H720" s="41"/>
      <c r="I720" s="71"/>
      <c r="J720" s="41"/>
      <c r="K720" s="62"/>
      <c r="L720" s="67"/>
    </row>
    <row r="721" spans="1:13" ht="12" customHeight="1" outlineLevel="1" x14ac:dyDescent="0.25">
      <c r="A721" s="70" t="str">
        <f t="shared" si="385"/>
        <v>JNJ</v>
      </c>
      <c r="B721" s="42"/>
      <c r="C721" s="41"/>
      <c r="D721" s="41"/>
      <c r="E721" s="40" t="str">
        <f t="shared" si="383"/>
        <v xml:space="preserve"> (JNJ)</v>
      </c>
      <c r="F721" s="41"/>
      <c r="G721" s="41"/>
      <c r="H721" s="41"/>
      <c r="I721" s="71"/>
      <c r="J721" s="41"/>
      <c r="K721" s="62"/>
      <c r="L721" s="67"/>
    </row>
    <row r="722" spans="1:13" ht="12" customHeight="1" outlineLevel="1" x14ac:dyDescent="0.25">
      <c r="A722" s="70" t="str">
        <f t="shared" si="385"/>
        <v>JNJ</v>
      </c>
      <c r="B722" s="42" t="s">
        <v>364</v>
      </c>
      <c r="C722" s="41"/>
      <c r="D722" s="41"/>
      <c r="E722" s="40" t="str">
        <f t="shared" si="383"/>
        <v>Earnings Per Share (JNJ)</v>
      </c>
      <c r="F722" s="41"/>
      <c r="G722" s="41"/>
      <c r="H722" s="41"/>
      <c r="I722" s="71"/>
      <c r="J722" s="41"/>
      <c r="K722" s="62"/>
      <c r="L722" s="67"/>
    </row>
    <row r="723" spans="1:13" ht="12" customHeight="1" outlineLevel="1" x14ac:dyDescent="0.25">
      <c r="A723" s="70" t="str">
        <f t="shared" si="385"/>
        <v>JNJ</v>
      </c>
      <c r="B723" s="42" t="s">
        <v>365</v>
      </c>
      <c r="C723" s="57"/>
      <c r="D723" s="57"/>
      <c r="E723" s="73" t="str">
        <f t="shared" si="383"/>
        <v>Basic (JNJ)</v>
      </c>
      <c r="F723" s="58">
        <f>F751</f>
        <v>6.04</v>
      </c>
      <c r="G723" s="58">
        <f t="shared" ref="G723:H723" si="414">G751</f>
        <v>0.48</v>
      </c>
      <c r="H723" s="58">
        <f t="shared" si="414"/>
        <v>5.7</v>
      </c>
      <c r="I723" s="71"/>
      <c r="J723" s="58">
        <f t="shared" ref="J723" si="415">J751</f>
        <v>5.7154150507398276</v>
      </c>
      <c r="K723" s="62"/>
      <c r="L723" s="67">
        <f t="shared" si="384"/>
        <v>-2.6971008409673036E-3</v>
      </c>
    </row>
    <row r="724" spans="1:13" ht="12" customHeight="1" outlineLevel="1" x14ac:dyDescent="0.25">
      <c r="A724" s="70" t="str">
        <f t="shared" si="385"/>
        <v>JNJ</v>
      </c>
      <c r="B724" s="42" t="s">
        <v>366</v>
      </c>
      <c r="C724" s="57"/>
      <c r="D724" s="57"/>
      <c r="E724" s="73" t="str">
        <f t="shared" si="383"/>
        <v>Diluted (JNJ)</v>
      </c>
      <c r="F724" s="58">
        <f>F752</f>
        <v>5.93</v>
      </c>
      <c r="G724" s="58">
        <f t="shared" ref="G724:H724" si="416">G752</f>
        <v>0.47</v>
      </c>
      <c r="H724" s="58">
        <f t="shared" si="416"/>
        <v>5.61</v>
      </c>
      <c r="I724" s="71"/>
      <c r="J724" s="58">
        <f t="shared" ref="J724" si="417">J752</f>
        <v>5.6167699311281378</v>
      </c>
      <c r="K724" s="62"/>
      <c r="L724" s="67">
        <f t="shared" si="384"/>
        <v>-1.2053068242333653E-3</v>
      </c>
    </row>
    <row r="725" spans="1:13" ht="12" customHeight="1" outlineLevel="1" x14ac:dyDescent="0.25">
      <c r="A725" s="70" t="str">
        <f t="shared" si="385"/>
        <v>JNJ</v>
      </c>
      <c r="B725" s="42"/>
      <c r="C725" s="41"/>
      <c r="D725" s="41"/>
      <c r="E725" s="40" t="str">
        <f t="shared" si="383"/>
        <v xml:space="preserve"> (JNJ)</v>
      </c>
      <c r="F725" s="41"/>
      <c r="G725" s="41"/>
      <c r="H725" s="41"/>
      <c r="I725" s="71"/>
      <c r="J725" s="41"/>
      <c r="K725" s="62"/>
      <c r="L725" s="67"/>
    </row>
    <row r="726" spans="1:13" ht="12" customHeight="1" outlineLevel="1" x14ac:dyDescent="0.25">
      <c r="A726" s="70" t="str">
        <f t="shared" si="385"/>
        <v>JNJ</v>
      </c>
      <c r="B726" s="42" t="s">
        <v>367</v>
      </c>
      <c r="C726" s="41"/>
      <c r="D726" s="41"/>
      <c r="E726" s="40" t="str">
        <f t="shared" si="383"/>
        <v>Avg. Common Shares Outstanding (JNJ)</v>
      </c>
      <c r="F726" s="41"/>
      <c r="G726" s="41"/>
      <c r="H726" s="41"/>
      <c r="I726" s="71"/>
      <c r="J726" s="41"/>
      <c r="K726" s="62"/>
      <c r="L726" s="67"/>
    </row>
    <row r="727" spans="1:13" ht="12" customHeight="1" outlineLevel="1" x14ac:dyDescent="0.25">
      <c r="A727" s="70" t="str">
        <f t="shared" si="385"/>
        <v>JNJ</v>
      </c>
      <c r="B727" s="42" t="s">
        <v>365</v>
      </c>
      <c r="C727" s="41"/>
      <c r="D727" s="41"/>
      <c r="E727" s="40" t="str">
        <f t="shared" si="383"/>
        <v>Basic (JNJ)</v>
      </c>
      <c r="F727" s="53">
        <f>F718/F723</f>
        <v>2738.4105960264901</v>
      </c>
      <c r="G727" s="53">
        <f>G718/G723</f>
        <v>2708.3333333333335</v>
      </c>
      <c r="H727" s="53">
        <f>H718/H723</f>
        <v>2683.6842105263158</v>
      </c>
      <c r="I727" s="71"/>
      <c r="J727" s="53">
        <f t="shared" ref="J727" si="418">J718/J723</f>
        <v>2681.9360497993821</v>
      </c>
      <c r="K727" s="62"/>
      <c r="L727" s="67">
        <f t="shared" si="384"/>
        <v>6.5182789390694218E-4</v>
      </c>
    </row>
    <row r="728" spans="1:13" ht="12" customHeight="1" outlineLevel="1" x14ac:dyDescent="0.25">
      <c r="A728" s="70" t="str">
        <f t="shared" si="385"/>
        <v>JNJ</v>
      </c>
      <c r="B728" s="42" t="s">
        <v>366</v>
      </c>
      <c r="C728" s="41"/>
      <c r="D728" s="41"/>
      <c r="E728" s="40" t="str">
        <f t="shared" si="383"/>
        <v>Diluted (JNJ)</v>
      </c>
      <c r="F728" s="53">
        <f>F718/F724</f>
        <v>2789.2074198988198</v>
      </c>
      <c r="G728" s="53">
        <f>G718/G724</f>
        <v>2765.9574468085107</v>
      </c>
      <c r="H728" s="53">
        <f>H718/H724</f>
        <v>2726.7379679144383</v>
      </c>
      <c r="I728" s="71"/>
      <c r="J728" s="53">
        <f t="shared" ref="J728" si="419">J718/J724</f>
        <v>2729.0378370663257</v>
      </c>
      <c r="K728" s="62"/>
      <c r="L728" s="67">
        <f t="shared" si="384"/>
        <v>-8.427399285748649E-4</v>
      </c>
    </row>
    <row r="729" spans="1:13" ht="12" customHeight="1" outlineLevel="1" x14ac:dyDescent="0.25">
      <c r="B729" s="62"/>
      <c r="C729" s="62"/>
      <c r="D729" s="62"/>
      <c r="E729" s="62"/>
      <c r="F729" s="62"/>
      <c r="G729" s="62"/>
      <c r="H729" s="62"/>
      <c r="I729" s="15"/>
      <c r="J729" s="62"/>
      <c r="K729" s="62"/>
      <c r="L729" s="62"/>
    </row>
    <row r="730" spans="1:13" ht="12" customHeight="1" outlineLevel="1" x14ac:dyDescent="0.25">
      <c r="B730" s="63" t="s">
        <v>371</v>
      </c>
      <c r="C730" s="63"/>
      <c r="D730" s="63"/>
      <c r="E730" s="63"/>
      <c r="F730" s="63"/>
      <c r="G730" s="63"/>
      <c r="H730" s="63"/>
      <c r="I730" s="63"/>
      <c r="J730" s="63"/>
      <c r="K730" s="63"/>
      <c r="L730" s="64"/>
      <c r="M730" s="64"/>
    </row>
    <row r="731" spans="1:13" ht="12" hidden="1" customHeight="1" outlineLevel="2" x14ac:dyDescent="0.25">
      <c r="B731" s="1"/>
    </row>
    <row r="732" spans="1:13" ht="12" hidden="1" customHeight="1" outlineLevel="2" x14ac:dyDescent="0.25">
      <c r="B732" s="8" t="s">
        <v>110</v>
      </c>
    </row>
    <row r="733" spans="1:13" ht="12" hidden="1" customHeight="1" outlineLevel="2" x14ac:dyDescent="0.25">
      <c r="B733" s="8" t="s">
        <v>230</v>
      </c>
      <c r="F733" s="3" t="s">
        <v>112</v>
      </c>
      <c r="G733" s="3" t="s">
        <v>3</v>
      </c>
      <c r="H733" s="3" t="s">
        <v>111</v>
      </c>
      <c r="J733" s="14" t="s">
        <v>337</v>
      </c>
      <c r="L733" s="36">
        <f>MEDIAN(L735:L759)</f>
        <v>-3.1678592725098431E-4</v>
      </c>
    </row>
    <row r="734" spans="1:13" ht="12" hidden="1" customHeight="1" outlineLevel="2" x14ac:dyDescent="0.25">
      <c r="B734" s="8" t="s">
        <v>5</v>
      </c>
      <c r="J734" s="15"/>
    </row>
    <row r="735" spans="1:13" ht="12" hidden="1" customHeight="1" outlineLevel="2" x14ac:dyDescent="0.25">
      <c r="B735" s="8" t="s">
        <v>113</v>
      </c>
      <c r="F735" s="3">
        <v>71890</v>
      </c>
      <c r="G735" s="3">
        <v>76450</v>
      </c>
      <c r="H735" s="3">
        <v>81581</v>
      </c>
      <c r="J735" s="14">
        <v>81136.005047676226</v>
      </c>
      <c r="L735" s="36">
        <f t="shared" ref="L735:L759" si="420">IF(ISERROR(H735/J735-1),0,(H735/J735-1))</f>
        <v>5.4845558647149684E-3</v>
      </c>
    </row>
    <row r="736" spans="1:13" ht="12" hidden="1" customHeight="1" outlineLevel="2" x14ac:dyDescent="0.25">
      <c r="B736" s="8" t="s">
        <v>114</v>
      </c>
      <c r="F736" s="6">
        <v>21789</v>
      </c>
      <c r="G736" s="6">
        <v>25439</v>
      </c>
      <c r="H736" s="6">
        <v>27091</v>
      </c>
      <c r="J736" s="14">
        <v>26848.131849526635</v>
      </c>
      <c r="L736" s="36">
        <f t="shared" si="420"/>
        <v>9.0459981288286695E-3</v>
      </c>
    </row>
    <row r="737" spans="2:12" ht="12" hidden="1" customHeight="1" outlineLevel="2" x14ac:dyDescent="0.25">
      <c r="B737" s="8" t="s">
        <v>8</v>
      </c>
      <c r="F737" s="9">
        <f t="shared" ref="F737:H737" si="421">F735-F736</f>
        <v>50101</v>
      </c>
      <c r="G737" s="9">
        <f t="shared" si="421"/>
        <v>51011</v>
      </c>
      <c r="H737" s="9">
        <f t="shared" si="421"/>
        <v>54490</v>
      </c>
      <c r="J737" s="17">
        <v>54287.873198149595</v>
      </c>
      <c r="L737" s="36">
        <f t="shared" si="420"/>
        <v>3.7232403839555506E-3</v>
      </c>
    </row>
    <row r="738" spans="2:12" ht="12" hidden="1" customHeight="1" outlineLevel="2" x14ac:dyDescent="0.25">
      <c r="B738" s="8" t="s">
        <v>115</v>
      </c>
      <c r="F738" s="2">
        <v>20067</v>
      </c>
      <c r="G738" s="2">
        <v>21520</v>
      </c>
      <c r="H738" s="2">
        <v>22540</v>
      </c>
      <c r="J738" s="14">
        <v>22371.249135409867</v>
      </c>
      <c r="L738" s="36">
        <f t="shared" si="420"/>
        <v>7.5432025976156503E-3</v>
      </c>
    </row>
    <row r="739" spans="2:12" ht="12" hidden="1" customHeight="1" outlineLevel="2" x14ac:dyDescent="0.25">
      <c r="B739" s="8" t="s">
        <v>116</v>
      </c>
      <c r="F739" s="3">
        <v>9143</v>
      </c>
      <c r="G739" s="3">
        <v>10594</v>
      </c>
      <c r="H739" s="3">
        <v>10775</v>
      </c>
      <c r="J739" s="14">
        <v>10840.217377529896</v>
      </c>
      <c r="L739" s="36">
        <f t="shared" si="420"/>
        <v>-6.0162425953820264E-3</v>
      </c>
    </row>
    <row r="740" spans="2:12" ht="12" hidden="1" customHeight="1" outlineLevel="2" x14ac:dyDescent="0.25">
      <c r="B740" s="8" t="s">
        <v>117</v>
      </c>
      <c r="F740" s="3">
        <v>29</v>
      </c>
      <c r="G740" s="3">
        <v>408</v>
      </c>
      <c r="H740" s="3">
        <v>1126</v>
      </c>
      <c r="J740" s="14">
        <v>1126</v>
      </c>
      <c r="L740" s="36">
        <f t="shared" si="420"/>
        <v>0</v>
      </c>
    </row>
    <row r="741" spans="2:12" ht="12" hidden="1" customHeight="1" outlineLevel="2" x14ac:dyDescent="0.25">
      <c r="B741" s="8" t="s">
        <v>14</v>
      </c>
      <c r="F741" s="3">
        <v>-368</v>
      </c>
      <c r="G741" s="3">
        <v>-385</v>
      </c>
      <c r="H741" s="3">
        <v>-611</v>
      </c>
      <c r="J741" s="14">
        <v>-543.00370082691563</v>
      </c>
      <c r="L741" s="36">
        <f t="shared" si="420"/>
        <v>0.12522253360250746</v>
      </c>
    </row>
    <row r="742" spans="2:12" ht="12" hidden="1" customHeight="1" outlineLevel="2" x14ac:dyDescent="0.25">
      <c r="B742" s="8" t="s">
        <v>118</v>
      </c>
      <c r="F742" s="3">
        <v>726</v>
      </c>
      <c r="G742" s="3">
        <v>934</v>
      </c>
      <c r="H742" s="3">
        <v>1005</v>
      </c>
      <c r="J742" s="14">
        <v>1003.7609863078644</v>
      </c>
      <c r="L742" s="36">
        <f t="shared" si="420"/>
        <v>1.2343712388076522E-3</v>
      </c>
    </row>
    <row r="743" spans="2:12" ht="12" hidden="1" customHeight="1" outlineLevel="2" x14ac:dyDescent="0.25">
      <c r="B743" s="8" t="s">
        <v>119</v>
      </c>
      <c r="F743" s="3">
        <v>210</v>
      </c>
      <c r="G743" s="3">
        <v>-42</v>
      </c>
      <c r="H743" s="3">
        <v>1405</v>
      </c>
      <c r="J743" s="14">
        <v>520.76032372407826</v>
      </c>
      <c r="L743" s="36">
        <f t="shared" si="420"/>
        <v>1.6979781984013647</v>
      </c>
    </row>
    <row r="744" spans="2:12" ht="12" hidden="1" customHeight="1" outlineLevel="2" x14ac:dyDescent="0.25">
      <c r="B744" s="8" t="s">
        <v>120</v>
      </c>
      <c r="F744" s="3">
        <v>491</v>
      </c>
      <c r="G744" s="3">
        <v>309</v>
      </c>
      <c r="H744" s="3">
        <v>251</v>
      </c>
      <c r="J744" s="14">
        <v>278.76542321931066</v>
      </c>
      <c r="L744" s="36">
        <f t="shared" si="420"/>
        <v>-9.9601388503146704E-2</v>
      </c>
    </row>
    <row r="745" spans="2:12" ht="12" hidden="1" customHeight="1" outlineLevel="2" x14ac:dyDescent="0.25">
      <c r="B745" s="8" t="s">
        <v>121</v>
      </c>
      <c r="F745" s="9">
        <f t="shared" ref="F745:H745" si="422">F737-SUM(F738:F744)</f>
        <v>19803</v>
      </c>
      <c r="G745" s="9">
        <f t="shared" si="422"/>
        <v>17673</v>
      </c>
      <c r="H745" s="9">
        <f t="shared" si="422"/>
        <v>17999</v>
      </c>
      <c r="J745" s="17">
        <v>18690.1236527855</v>
      </c>
      <c r="L745" s="36">
        <f t="shared" si="420"/>
        <v>-3.697801392996658E-2</v>
      </c>
    </row>
    <row r="746" spans="2:12" ht="12" hidden="1" customHeight="1" outlineLevel="2" x14ac:dyDescent="0.25">
      <c r="B746" s="8" t="s">
        <v>122</v>
      </c>
      <c r="F746" s="6">
        <v>3263</v>
      </c>
      <c r="G746" s="6">
        <v>16373</v>
      </c>
      <c r="H746" s="6">
        <v>2702</v>
      </c>
      <c r="J746" s="14">
        <v>3361.7459886403858</v>
      </c>
      <c r="L746" s="36">
        <f t="shared" si="420"/>
        <v>-0.1962509930463876</v>
      </c>
    </row>
    <row r="747" spans="2:12" ht="12" hidden="1" customHeight="1" outlineLevel="2" thickBot="1" x14ac:dyDescent="0.3">
      <c r="B747" s="8" t="s">
        <v>123</v>
      </c>
      <c r="F747" s="10">
        <f t="shared" ref="F747:H747" si="423">F745-F746</f>
        <v>16540</v>
      </c>
      <c r="G747" s="10">
        <f t="shared" si="423"/>
        <v>1300</v>
      </c>
      <c r="H747" s="10">
        <f t="shared" si="423"/>
        <v>15297</v>
      </c>
      <c r="J747" s="19">
        <v>15328.377664145115</v>
      </c>
      <c r="L747" s="36">
        <f t="shared" si="420"/>
        <v>-2.0470309926217123E-3</v>
      </c>
    </row>
    <row r="748" spans="2:12" ht="12" hidden="1" customHeight="1" outlineLevel="2" thickTop="1" x14ac:dyDescent="0.25">
      <c r="B748" s="8" t="s">
        <v>300</v>
      </c>
      <c r="F748" s="2">
        <v>0</v>
      </c>
      <c r="G748" s="2">
        <v>0</v>
      </c>
      <c r="H748" s="2">
        <v>0</v>
      </c>
      <c r="J748" s="18">
        <v>0</v>
      </c>
      <c r="L748" s="36">
        <f t="shared" si="420"/>
        <v>0</v>
      </c>
    </row>
    <row r="749" spans="2:12" ht="12" hidden="1" customHeight="1" outlineLevel="2" thickBot="1" x14ac:dyDescent="0.3">
      <c r="B749" s="8" t="s">
        <v>301</v>
      </c>
      <c r="F749" s="10">
        <f t="shared" ref="F749:H749" si="424">SUM(F747:F748)</f>
        <v>16540</v>
      </c>
      <c r="G749" s="10">
        <f t="shared" si="424"/>
        <v>1300</v>
      </c>
      <c r="H749" s="10">
        <f t="shared" si="424"/>
        <v>15297</v>
      </c>
      <c r="J749" s="19">
        <v>15328.377664145115</v>
      </c>
      <c r="L749" s="36">
        <f t="shared" si="420"/>
        <v>-2.0470309926217123E-3</v>
      </c>
    </row>
    <row r="750" spans="2:12" ht="12" hidden="1" customHeight="1" outlineLevel="2" thickTop="1" x14ac:dyDescent="0.25">
      <c r="B750" s="8" t="s">
        <v>124</v>
      </c>
      <c r="J750" s="15"/>
      <c r="L750" s="35"/>
    </row>
    <row r="751" spans="2:12" ht="12" hidden="1" customHeight="1" outlineLevel="2" x14ac:dyDescent="0.25">
      <c r="B751" s="8" t="s">
        <v>19</v>
      </c>
      <c r="F751" s="11">
        <v>6.04</v>
      </c>
      <c r="G751" s="11">
        <v>0.48</v>
      </c>
      <c r="H751" s="11">
        <v>5.7</v>
      </c>
      <c r="J751" s="20">
        <v>5.7154150507398276</v>
      </c>
      <c r="L751" s="36">
        <f t="shared" si="420"/>
        <v>-2.6971008409673036E-3</v>
      </c>
    </row>
    <row r="752" spans="2:12" ht="12" hidden="1" customHeight="1" outlineLevel="2" x14ac:dyDescent="0.25">
      <c r="B752" s="8" t="s">
        <v>20</v>
      </c>
      <c r="F752" s="11">
        <v>5.93</v>
      </c>
      <c r="G752" s="11">
        <v>0.47</v>
      </c>
      <c r="H752" s="11">
        <v>5.61</v>
      </c>
      <c r="J752" s="20">
        <v>5.6167699311281378</v>
      </c>
      <c r="L752" s="36">
        <f t="shared" si="420"/>
        <v>-1.2053068242333653E-3</v>
      </c>
    </row>
    <row r="753" spans="1:13" ht="12" hidden="1" customHeight="1" outlineLevel="2" x14ac:dyDescent="0.25">
      <c r="B753" s="8" t="s">
        <v>302</v>
      </c>
      <c r="F753" s="11">
        <v>0</v>
      </c>
      <c r="G753" s="11">
        <v>0</v>
      </c>
      <c r="H753" s="11">
        <v>0</v>
      </c>
      <c r="J753" s="20">
        <v>3.54</v>
      </c>
      <c r="L753" s="36">
        <f t="shared" si="420"/>
        <v>-1</v>
      </c>
    </row>
    <row r="754" spans="1:13" ht="12" hidden="1" customHeight="1" outlineLevel="2" x14ac:dyDescent="0.25">
      <c r="B754" s="8" t="s">
        <v>125</v>
      </c>
      <c r="J754" s="15"/>
      <c r="L754" s="35"/>
    </row>
    <row r="755" spans="1:13" ht="12" hidden="1" customHeight="1" outlineLevel="2" x14ac:dyDescent="0.25">
      <c r="B755" s="8" t="s">
        <v>22</v>
      </c>
      <c r="F755" s="3">
        <v>2737.3</v>
      </c>
      <c r="G755" s="3">
        <v>2692</v>
      </c>
      <c r="H755" s="3">
        <v>2681.5</v>
      </c>
      <c r="J755" s="14">
        <v>2683.2</v>
      </c>
      <c r="L755" s="36">
        <f t="shared" si="420"/>
        <v>-6.3357185450196862E-4</v>
      </c>
    </row>
    <row r="756" spans="1:13" ht="12" hidden="1" customHeight="1" outlineLevel="2" x14ac:dyDescent="0.25">
      <c r="B756" s="8" t="s">
        <v>23</v>
      </c>
      <c r="F756" s="3">
        <v>2788.9</v>
      </c>
      <c r="G756" s="3">
        <v>2745.3</v>
      </c>
      <c r="H756" s="3">
        <v>2728.7</v>
      </c>
      <c r="J756" s="14">
        <v>2727.6</v>
      </c>
      <c r="L756" s="36">
        <f t="shared" si="420"/>
        <v>4.0328493914065788E-4</v>
      </c>
    </row>
    <row r="757" spans="1:13" ht="12" hidden="1" customHeight="1" outlineLevel="2" x14ac:dyDescent="0.25">
      <c r="J757" s="21"/>
      <c r="L757" s="35"/>
    </row>
    <row r="758" spans="1:13" ht="12" hidden="1" customHeight="1" outlineLevel="2" x14ac:dyDescent="0.25">
      <c r="B758" s="8" t="s">
        <v>126</v>
      </c>
      <c r="F758" s="3">
        <v>3754</v>
      </c>
      <c r="G758" s="3">
        <v>5642</v>
      </c>
      <c r="H758" s="3">
        <v>6929</v>
      </c>
      <c r="J758" s="14">
        <v>6811.7927666484202</v>
      </c>
      <c r="L758" s="36">
        <f t="shared" si="420"/>
        <v>1.7206517779789765E-2</v>
      </c>
    </row>
    <row r="759" spans="1:13" ht="12" hidden="1" customHeight="1" outlineLevel="2" x14ac:dyDescent="0.25">
      <c r="B759" s="8" t="s">
        <v>127</v>
      </c>
      <c r="F759" s="3">
        <v>-3226</v>
      </c>
      <c r="G759" s="3">
        <v>-3279</v>
      </c>
      <c r="H759" s="3">
        <v>-3670</v>
      </c>
      <c r="J759" s="14">
        <v>-3714.8045141246876</v>
      </c>
      <c r="L759" s="36">
        <f t="shared" si="420"/>
        <v>-1.2061069150295478E-2</v>
      </c>
    </row>
    <row r="760" spans="1:13" ht="12" customHeight="1" outlineLevel="1" collapsed="1" x14ac:dyDescent="0.25"/>
    <row r="761" spans="1:13" ht="12" customHeight="1" x14ac:dyDescent="0.25">
      <c r="B761" s="61" t="s">
        <v>381</v>
      </c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91" t="s">
        <v>36</v>
      </c>
    </row>
    <row r="762" spans="1:13" ht="12" customHeight="1" x14ac:dyDescent="0.25">
      <c r="B762" s="38"/>
      <c r="C762" s="15"/>
      <c r="D762" s="15"/>
      <c r="E762" s="15"/>
      <c r="F762" s="15"/>
      <c r="G762" s="15"/>
      <c r="H762" s="15"/>
      <c r="I762" s="15"/>
      <c r="J762" s="15"/>
      <c r="K762" s="62"/>
      <c r="L762" s="62"/>
    </row>
    <row r="763" spans="1:13" ht="12" customHeight="1" outlineLevel="1" x14ac:dyDescent="0.25">
      <c r="B763" s="85" t="s">
        <v>338</v>
      </c>
      <c r="C763" s="86"/>
      <c r="D763" s="86"/>
      <c r="E763" s="86"/>
      <c r="F763" s="89" t="s">
        <v>369</v>
      </c>
      <c r="G763" s="89"/>
      <c r="H763" s="90"/>
      <c r="I763" s="15"/>
      <c r="J763" s="82" t="s">
        <v>370</v>
      </c>
      <c r="K763" s="62"/>
      <c r="L763" s="68" t="s">
        <v>386</v>
      </c>
    </row>
    <row r="764" spans="1:13" ht="12" customHeight="1" outlineLevel="1" x14ac:dyDescent="0.25">
      <c r="B764" s="87"/>
      <c r="C764" s="88"/>
      <c r="D764" s="88"/>
      <c r="E764" s="88"/>
      <c r="F764" s="39">
        <f>G764-1</f>
        <v>2016</v>
      </c>
      <c r="G764" s="39">
        <f>H764-1</f>
        <v>2017</v>
      </c>
      <c r="H764" s="60">
        <f>J764</f>
        <v>2018</v>
      </c>
      <c r="I764" s="15"/>
      <c r="J764" s="81">
        <v>2018</v>
      </c>
      <c r="K764" s="62"/>
      <c r="L764" s="68" t="s">
        <v>370</v>
      </c>
    </row>
    <row r="765" spans="1:13" ht="12" customHeight="1" outlineLevel="1" x14ac:dyDescent="0.25">
      <c r="B765" s="62"/>
      <c r="C765" s="62"/>
      <c r="D765" s="62"/>
      <c r="E765" s="62"/>
      <c r="F765" s="40"/>
      <c r="G765" s="40"/>
      <c r="H765" s="40"/>
      <c r="I765" s="15"/>
      <c r="J765" s="40"/>
      <c r="K765" s="62"/>
      <c r="L765" s="62"/>
    </row>
    <row r="766" spans="1:13" ht="12" customHeight="1" outlineLevel="1" x14ac:dyDescent="0.25">
      <c r="A766" s="70" t="str">
        <f>M761</f>
        <v>ABT</v>
      </c>
      <c r="B766" s="43" t="s">
        <v>340</v>
      </c>
      <c r="C766" s="44"/>
      <c r="D766" s="44"/>
      <c r="E766" s="74" t="str">
        <f>B766&amp;" ("&amp;A766&amp;")"</f>
        <v>Total Revenue (ABT)</v>
      </c>
      <c r="F766" s="45">
        <f>F809</f>
        <v>20853</v>
      </c>
      <c r="G766" s="45">
        <f t="shared" ref="G766:J766" si="425">G809</f>
        <v>27390</v>
      </c>
      <c r="H766" s="45">
        <f t="shared" si="425"/>
        <v>30578</v>
      </c>
      <c r="I766" s="71"/>
      <c r="J766" s="45">
        <f t="shared" si="425"/>
        <v>29337.206863397136</v>
      </c>
      <c r="K766" s="62"/>
      <c r="L766" s="67">
        <f>IF(ISERROR(H766/J766-1),0,(H766/J766-1))</f>
        <v>4.229418098254456E-2</v>
      </c>
    </row>
    <row r="767" spans="1:13" ht="12" customHeight="1" outlineLevel="1" x14ac:dyDescent="0.25">
      <c r="A767" s="70" t="str">
        <f>A766</f>
        <v>ABT</v>
      </c>
      <c r="B767" s="42" t="s">
        <v>341</v>
      </c>
      <c r="C767" s="46"/>
      <c r="D767" s="46"/>
      <c r="E767" s="72" t="str">
        <f t="shared" ref="E767:E802" si="426">B767&amp;" ("&amp;A767&amp;")"</f>
        <v>% Growth (ABT)</v>
      </c>
      <c r="F767" s="47" t="s">
        <v>342</v>
      </c>
      <c r="G767" s="47">
        <f>G766/F766-1</f>
        <v>0.31348007480938</v>
      </c>
      <c r="H767" s="47">
        <f>H766/G766-1</f>
        <v>0.11639284410368744</v>
      </c>
      <c r="I767" s="71"/>
      <c r="J767" s="47">
        <f>J766/G766-1</f>
        <v>7.1091889864809632E-2</v>
      </c>
      <c r="K767" s="62"/>
      <c r="L767" s="67">
        <f t="shared" ref="L767:L802" si="427">IF(ISERROR(H767/J767-1),0,(H767/J767-1))</f>
        <v>0.63721690793455332</v>
      </c>
    </row>
    <row r="768" spans="1:13" ht="12" customHeight="1" outlineLevel="1" x14ac:dyDescent="0.25">
      <c r="A768" s="70" t="str">
        <f t="shared" ref="A768:A802" si="428">A767</f>
        <v>ABT</v>
      </c>
      <c r="B768" s="42" t="s">
        <v>343</v>
      </c>
      <c r="C768" s="41"/>
      <c r="D768" s="41"/>
      <c r="E768" s="40" t="str">
        <f t="shared" si="426"/>
        <v>COGS (ABT)</v>
      </c>
      <c r="F768" s="48">
        <f>SUM(F810,F811)</f>
        <v>9644</v>
      </c>
      <c r="G768" s="48">
        <f t="shared" ref="G768:H768" si="429">SUM(G810,G811)</f>
        <v>14384</v>
      </c>
      <c r="H768" s="48">
        <f t="shared" si="429"/>
        <v>14884</v>
      </c>
      <c r="I768" s="71"/>
      <c r="J768" s="48">
        <f t="shared" ref="J768" si="430">SUM(J810,J811)</f>
        <v>14392.819864174631</v>
      </c>
      <c r="K768" s="62"/>
      <c r="L768" s="67">
        <f t="shared" si="427"/>
        <v>3.4126747952148762E-2</v>
      </c>
    </row>
    <row r="769" spans="1:12" ht="12" customHeight="1" outlineLevel="1" x14ac:dyDescent="0.25">
      <c r="A769" s="70" t="str">
        <f t="shared" si="428"/>
        <v>ABT</v>
      </c>
      <c r="B769" s="42" t="s">
        <v>344</v>
      </c>
      <c r="C769" s="41"/>
      <c r="D769" s="41"/>
      <c r="E769" s="40" t="str">
        <f t="shared" si="426"/>
        <v>Total Depreciation &amp; Amortization (ABT)</v>
      </c>
      <c r="F769" s="48">
        <f>SUM(F841,F842)</f>
        <v>1353</v>
      </c>
      <c r="G769" s="48">
        <f t="shared" ref="G769:H769" si="431">SUM(G841,G842)</f>
        <v>3021</v>
      </c>
      <c r="H769" s="48">
        <f t="shared" si="431"/>
        <v>3278</v>
      </c>
      <c r="I769" s="71"/>
      <c r="J769" s="48">
        <f t="shared" ref="J769" si="432">SUM(J841,J842)</f>
        <v>3142.1238435259702</v>
      </c>
      <c r="K769" s="62"/>
      <c r="L769" s="67">
        <f t="shared" si="427"/>
        <v>4.3243412176126927E-2</v>
      </c>
    </row>
    <row r="770" spans="1:12" ht="12" customHeight="1" outlineLevel="1" x14ac:dyDescent="0.25">
      <c r="A770" s="70" t="str">
        <f t="shared" si="428"/>
        <v>ABT</v>
      </c>
      <c r="B770" s="42" t="s">
        <v>345</v>
      </c>
      <c r="C770" s="41"/>
      <c r="D770" s="41"/>
      <c r="E770" s="40" t="str">
        <f t="shared" si="426"/>
        <v>COGS (Exclusive of D&amp;A) (ABT)</v>
      </c>
      <c r="F770" s="49">
        <f>F768-F769</f>
        <v>8291</v>
      </c>
      <c r="G770" s="49">
        <f>G768-G769</f>
        <v>11363</v>
      </c>
      <c r="H770" s="49">
        <f>H768-H769</f>
        <v>11606</v>
      </c>
      <c r="I770" s="71"/>
      <c r="J770" s="49">
        <f t="shared" ref="J770" si="433">J768-J769</f>
        <v>11250.696020648662</v>
      </c>
      <c r="K770" s="62"/>
      <c r="L770" s="67">
        <f t="shared" si="427"/>
        <v>3.1580622096556654E-2</v>
      </c>
    </row>
    <row r="771" spans="1:12" ht="12" customHeight="1" outlineLevel="1" x14ac:dyDescent="0.25">
      <c r="A771" s="70" t="str">
        <f t="shared" si="428"/>
        <v>ABT</v>
      </c>
      <c r="B771" s="42" t="s">
        <v>346</v>
      </c>
      <c r="C771" s="46"/>
      <c r="D771" s="46"/>
      <c r="E771" s="72" t="str">
        <f t="shared" si="426"/>
        <v>% Total Revenue (ABT)</v>
      </c>
      <c r="F771" s="50">
        <f>F770/F766</f>
        <v>0.39759267251714381</v>
      </c>
      <c r="G771" s="50">
        <f>G770/G766</f>
        <v>0.41485943775100403</v>
      </c>
      <c r="H771" s="50">
        <f>H770/H766</f>
        <v>0.37955392766040946</v>
      </c>
      <c r="I771" s="71"/>
      <c r="J771" s="50">
        <f t="shared" ref="J771" si="434">J770/J766</f>
        <v>0.38349581379833769</v>
      </c>
      <c r="K771" s="62"/>
      <c r="L771" s="67">
        <f t="shared" si="427"/>
        <v>-1.0278824425450139E-2</v>
      </c>
    </row>
    <row r="772" spans="1:12" ht="12" customHeight="1" outlineLevel="1" x14ac:dyDescent="0.25">
      <c r="A772" s="70" t="str">
        <f t="shared" si="428"/>
        <v>ABT</v>
      </c>
      <c r="B772" s="43" t="s">
        <v>347</v>
      </c>
      <c r="C772" s="44"/>
      <c r="D772" s="44"/>
      <c r="E772" s="74" t="str">
        <f t="shared" si="426"/>
        <v>Gross Profit (ABT)</v>
      </c>
      <c r="F772" s="51">
        <f>F766-F770</f>
        <v>12562</v>
      </c>
      <c r="G772" s="51">
        <f>G766-G770</f>
        <v>16027</v>
      </c>
      <c r="H772" s="51">
        <f>H766-H770</f>
        <v>18972</v>
      </c>
      <c r="I772" s="71"/>
      <c r="J772" s="51">
        <f t="shared" ref="J772" si="435">J766-J770</f>
        <v>18086.510842748474</v>
      </c>
      <c r="K772" s="62"/>
      <c r="L772" s="67">
        <f t="shared" si="427"/>
        <v>4.895853959618468E-2</v>
      </c>
    </row>
    <row r="773" spans="1:12" ht="12" customHeight="1" outlineLevel="1" x14ac:dyDescent="0.25">
      <c r="A773" s="70" t="str">
        <f t="shared" si="428"/>
        <v>ABT</v>
      </c>
      <c r="B773" s="42" t="s">
        <v>348</v>
      </c>
      <c r="C773" s="46"/>
      <c r="D773" s="46"/>
      <c r="E773" s="72" t="str">
        <f t="shared" si="426"/>
        <v>Gross Profit Margin (%) (ABT)</v>
      </c>
      <c r="F773" s="47">
        <f>F772/F766</f>
        <v>0.60240732748285619</v>
      </c>
      <c r="G773" s="47">
        <f>G772/G766</f>
        <v>0.58514056224899602</v>
      </c>
      <c r="H773" s="47">
        <f>H772/H766</f>
        <v>0.62044607233959059</v>
      </c>
      <c r="I773" s="71"/>
      <c r="J773" s="47">
        <f t="shared" ref="J773" si="436">J772/J766</f>
        <v>0.61650418620166236</v>
      </c>
      <c r="K773" s="62"/>
      <c r="L773" s="67">
        <f t="shared" si="427"/>
        <v>6.3939324762976035E-3</v>
      </c>
    </row>
    <row r="774" spans="1:12" ht="12" customHeight="1" outlineLevel="1" x14ac:dyDescent="0.25">
      <c r="A774" s="70" t="str">
        <f t="shared" si="428"/>
        <v>ABT</v>
      </c>
      <c r="B774" s="42" t="s">
        <v>349</v>
      </c>
      <c r="C774" s="41"/>
      <c r="D774" s="41"/>
      <c r="E774" s="40" t="str">
        <f t="shared" si="426"/>
        <v>Operating expenses (ABT)</v>
      </c>
      <c r="F774" s="48">
        <f>SUM(F812,F813)</f>
        <v>8183</v>
      </c>
      <c r="G774" s="48">
        <f t="shared" ref="G774:J774" si="437">SUM(G812,G813)</f>
        <v>11442</v>
      </c>
      <c r="H774" s="48">
        <f t="shared" si="437"/>
        <v>12044</v>
      </c>
      <c r="I774" s="71"/>
      <c r="J774" s="48">
        <f t="shared" si="437"/>
        <v>11680.247408009147</v>
      </c>
      <c r="K774" s="62"/>
      <c r="L774" s="67">
        <f t="shared" si="427"/>
        <v>3.1142541701764559E-2</v>
      </c>
    </row>
    <row r="775" spans="1:12" ht="12" customHeight="1" outlineLevel="1" x14ac:dyDescent="0.25">
      <c r="A775" s="70" t="str">
        <f t="shared" si="428"/>
        <v>ABT</v>
      </c>
      <c r="B775" s="42" t="s">
        <v>346</v>
      </c>
      <c r="C775" s="46"/>
      <c r="D775" s="46"/>
      <c r="E775" s="72" t="str">
        <f t="shared" si="426"/>
        <v>% Total Revenue (ABT)</v>
      </c>
      <c r="F775" s="50">
        <f>F774/F766</f>
        <v>0.39241356159785162</v>
      </c>
      <c r="G775" s="50">
        <f>G774/G766</f>
        <v>0.41774370208105149</v>
      </c>
      <c r="H775" s="50">
        <f>H774/H766</f>
        <v>0.39387795146837595</v>
      </c>
      <c r="I775" s="71"/>
      <c r="J775" s="50">
        <f t="shared" ref="J775" si="438">J774/J766</f>
        <v>0.39813767760495722</v>
      </c>
      <c r="K775" s="62"/>
      <c r="L775" s="67">
        <f t="shared" si="427"/>
        <v>-1.069912840755527E-2</v>
      </c>
    </row>
    <row r="776" spans="1:12" ht="12" customHeight="1" outlineLevel="1" x14ac:dyDescent="0.25">
      <c r="A776" s="70" t="str">
        <f t="shared" si="428"/>
        <v>ABT</v>
      </c>
      <c r="B776" s="43" t="s">
        <v>350</v>
      </c>
      <c r="C776" s="44"/>
      <c r="D776" s="44"/>
      <c r="E776" s="74" t="str">
        <f t="shared" si="426"/>
        <v>Operating Profit (ABT)</v>
      </c>
      <c r="F776" s="51">
        <f>F772-F774</f>
        <v>4379</v>
      </c>
      <c r="G776" s="51">
        <f>G772-G774</f>
        <v>4585</v>
      </c>
      <c r="H776" s="51">
        <f>H772-H774</f>
        <v>6928</v>
      </c>
      <c r="I776" s="71"/>
      <c r="J776" s="51">
        <f t="shared" ref="J776" si="439">J772-J774</f>
        <v>6406.2634347393268</v>
      </c>
      <c r="K776" s="62"/>
      <c r="L776" s="67">
        <f t="shared" si="427"/>
        <v>8.1441634515284855E-2</v>
      </c>
    </row>
    <row r="777" spans="1:12" ht="12" customHeight="1" outlineLevel="1" x14ac:dyDescent="0.25">
      <c r="A777" s="70" t="str">
        <f t="shared" si="428"/>
        <v>ABT</v>
      </c>
      <c r="B777" s="42" t="s">
        <v>351</v>
      </c>
      <c r="C777" s="46"/>
      <c r="D777" s="46"/>
      <c r="E777" s="72" t="str">
        <f t="shared" si="426"/>
        <v>Operating Profit Margin (%) (ABT)</v>
      </c>
      <c r="F777" s="47">
        <f>F776/F766</f>
        <v>0.20999376588500457</v>
      </c>
      <c r="G777" s="47">
        <f>G776/G766</f>
        <v>0.1673968601679445</v>
      </c>
      <c r="H777" s="47">
        <f>H776/H766</f>
        <v>0.22656812087121461</v>
      </c>
      <c r="I777" s="71"/>
      <c r="J777" s="47">
        <f t="shared" ref="J777" si="440">J776/J766</f>
        <v>0.21836650859670512</v>
      </c>
      <c r="K777" s="62"/>
      <c r="L777" s="67">
        <f t="shared" si="427"/>
        <v>3.7558929376193095E-2</v>
      </c>
    </row>
    <row r="778" spans="1:12" ht="12" customHeight="1" outlineLevel="1" x14ac:dyDescent="0.25">
      <c r="A778" s="70" t="str">
        <f t="shared" si="428"/>
        <v>ABT</v>
      </c>
      <c r="B778" s="42" t="s">
        <v>352</v>
      </c>
      <c r="C778" s="41"/>
      <c r="D778" s="41"/>
      <c r="E778" s="40" t="str">
        <f t="shared" si="426"/>
        <v>Total Other Expenses / (Income) (ABT)</v>
      </c>
      <c r="F778" s="52">
        <f>SUM(F818,F819,F820,-F824,-F825)</f>
        <v>944</v>
      </c>
      <c r="G778" s="52">
        <f t="shared" ref="G778:J778" si="441">SUM(G818,G819,G820,-G824,-G825)</f>
        <v>-1571</v>
      </c>
      <c r="H778" s="52">
        <f t="shared" si="441"/>
        <v>22</v>
      </c>
      <c r="I778" s="71"/>
      <c r="J778" s="52">
        <f t="shared" si="441"/>
        <v>-45</v>
      </c>
      <c r="K778" s="62"/>
      <c r="L778" s="67">
        <f t="shared" si="427"/>
        <v>-1.4888888888888889</v>
      </c>
    </row>
    <row r="779" spans="1:12" ht="12" customHeight="1" outlineLevel="1" x14ac:dyDescent="0.25">
      <c r="A779" s="70" t="str">
        <f t="shared" si="428"/>
        <v>ABT</v>
      </c>
      <c r="B779" s="43" t="s">
        <v>353</v>
      </c>
      <c r="C779" s="44"/>
      <c r="D779" s="44"/>
      <c r="E779" s="74" t="str">
        <f t="shared" si="426"/>
        <v>EBITDA (ABT)</v>
      </c>
      <c r="F779" s="51">
        <f>F776-F778</f>
        <v>3435</v>
      </c>
      <c r="G779" s="51">
        <f>G776-G778</f>
        <v>6156</v>
      </c>
      <c r="H779" s="51">
        <f>H776-H778</f>
        <v>6906</v>
      </c>
      <c r="I779" s="71"/>
      <c r="J779" s="51">
        <f t="shared" ref="J779" si="442">J776-J778</f>
        <v>6451.2634347393268</v>
      </c>
      <c r="K779" s="62"/>
      <c r="L779" s="67">
        <f t="shared" si="427"/>
        <v>7.0487985781508833E-2</v>
      </c>
    </row>
    <row r="780" spans="1:12" ht="12" customHeight="1" outlineLevel="1" x14ac:dyDescent="0.25">
      <c r="A780" s="70" t="str">
        <f t="shared" si="428"/>
        <v>ABT</v>
      </c>
      <c r="B780" s="42" t="s">
        <v>354</v>
      </c>
      <c r="C780" s="46"/>
      <c r="D780" s="46"/>
      <c r="E780" s="72" t="str">
        <f t="shared" si="426"/>
        <v>EBITDA Margin (%) (ABT)</v>
      </c>
      <c r="F780" s="47">
        <f>F779/F766</f>
        <v>0.1647245000719321</v>
      </c>
      <c r="G780" s="47">
        <f>G779/G766</f>
        <v>0.22475355969331873</v>
      </c>
      <c r="H780" s="47">
        <f>H779/H766</f>
        <v>0.22584864935574597</v>
      </c>
      <c r="I780" s="71"/>
      <c r="J780" s="47">
        <f t="shared" ref="J780" si="443">J779/J766</f>
        <v>0.2199003969525235</v>
      </c>
      <c r="K780" s="62"/>
      <c r="L780" s="67">
        <f t="shared" si="427"/>
        <v>2.7049757461359736E-2</v>
      </c>
    </row>
    <row r="781" spans="1:12" ht="12" customHeight="1" outlineLevel="1" x14ac:dyDescent="0.25">
      <c r="A781" s="70" t="str">
        <f t="shared" si="428"/>
        <v>ABT</v>
      </c>
      <c r="B781" s="42" t="s">
        <v>344</v>
      </c>
      <c r="C781" s="53"/>
      <c r="D781" s="53"/>
      <c r="E781" s="40" t="str">
        <f t="shared" si="426"/>
        <v>Total Depreciation &amp; Amortization (ABT)</v>
      </c>
      <c r="F781" s="49">
        <f>F769</f>
        <v>1353</v>
      </c>
      <c r="G781" s="49">
        <f>G769</f>
        <v>3021</v>
      </c>
      <c r="H781" s="49">
        <f>H769</f>
        <v>3278</v>
      </c>
      <c r="I781" s="71"/>
      <c r="J781" s="49">
        <f t="shared" ref="J781" si="444">J769</f>
        <v>3142.1238435259702</v>
      </c>
      <c r="K781" s="62"/>
      <c r="L781" s="67">
        <f t="shared" si="427"/>
        <v>4.3243412176126927E-2</v>
      </c>
    </row>
    <row r="782" spans="1:12" ht="12" customHeight="1" outlineLevel="1" x14ac:dyDescent="0.25">
      <c r="A782" s="70" t="str">
        <f t="shared" si="428"/>
        <v>ABT</v>
      </c>
      <c r="B782" s="42" t="s">
        <v>346</v>
      </c>
      <c r="C782" s="46"/>
      <c r="D782" s="46"/>
      <c r="E782" s="72" t="str">
        <f t="shared" si="426"/>
        <v>% Total Revenue (ABT)</v>
      </c>
      <c r="F782" s="47">
        <f>F781/F766</f>
        <v>6.4882750683354917E-2</v>
      </c>
      <c r="G782" s="47">
        <f>G781/G766</f>
        <v>0.11029572836801753</v>
      </c>
      <c r="H782" s="47">
        <f>H781/H766</f>
        <v>0.10720125580482701</v>
      </c>
      <c r="I782" s="71"/>
      <c r="J782" s="47">
        <f t="shared" ref="J782" si="445">J781/J766</f>
        <v>0.10710371502497304</v>
      </c>
      <c r="K782" s="62"/>
      <c r="L782" s="67">
        <f t="shared" si="427"/>
        <v>9.1071331961933844E-4</v>
      </c>
    </row>
    <row r="783" spans="1:12" ht="12" customHeight="1" outlineLevel="1" x14ac:dyDescent="0.25">
      <c r="A783" s="70" t="str">
        <f t="shared" si="428"/>
        <v>ABT</v>
      </c>
      <c r="B783" s="43" t="s">
        <v>355</v>
      </c>
      <c r="C783" s="44"/>
      <c r="D783" s="44"/>
      <c r="E783" s="74" t="str">
        <f t="shared" si="426"/>
        <v>EBIT (ABT)</v>
      </c>
      <c r="F783" s="54">
        <f>F779-F781</f>
        <v>2082</v>
      </c>
      <c r="G783" s="54">
        <f>G779-G781</f>
        <v>3135</v>
      </c>
      <c r="H783" s="54">
        <f>H779-H781</f>
        <v>3628</v>
      </c>
      <c r="I783" s="71"/>
      <c r="J783" s="54">
        <f t="shared" ref="J783" si="446">J779-J781</f>
        <v>3309.1395912133567</v>
      </c>
      <c r="K783" s="62"/>
      <c r="L783" s="67">
        <f t="shared" si="427"/>
        <v>9.6357497167330886E-2</v>
      </c>
    </row>
    <row r="784" spans="1:12" ht="12" customHeight="1" outlineLevel="1" x14ac:dyDescent="0.25">
      <c r="A784" s="70" t="str">
        <f t="shared" si="428"/>
        <v>ABT</v>
      </c>
      <c r="B784" s="42" t="s">
        <v>356</v>
      </c>
      <c r="C784" s="46"/>
      <c r="D784" s="46"/>
      <c r="E784" s="72" t="str">
        <f t="shared" si="426"/>
        <v>EBIT Margin (%) (ABT)</v>
      </c>
      <c r="F784" s="47">
        <f>F783/F766</f>
        <v>9.9841749388577178E-2</v>
      </c>
      <c r="G784" s="47">
        <f>G783/G766</f>
        <v>0.1144578313253012</v>
      </c>
      <c r="H784" s="47">
        <f>H783/H766</f>
        <v>0.11864739355091897</v>
      </c>
      <c r="I784" s="71"/>
      <c r="J784" s="47">
        <f t="shared" ref="J784" si="447">J783/J766</f>
        <v>0.11279668192755045</v>
      </c>
      <c r="K784" s="62"/>
      <c r="L784" s="67">
        <f t="shared" si="427"/>
        <v>5.1869536615682055E-2</v>
      </c>
    </row>
    <row r="785" spans="1:12" ht="12" customHeight="1" outlineLevel="1" x14ac:dyDescent="0.25">
      <c r="A785" s="70" t="str">
        <f t="shared" si="428"/>
        <v>ABT</v>
      </c>
      <c r="B785" s="43" t="s">
        <v>357</v>
      </c>
      <c r="C785" s="44"/>
      <c r="D785" s="44"/>
      <c r="E785" s="74" t="str">
        <f t="shared" si="426"/>
        <v>Net Interest Expense (ABT)</v>
      </c>
      <c r="F785" s="45">
        <f>SUM(F816,F817)</f>
        <v>332</v>
      </c>
      <c r="G785" s="45">
        <f t="shared" ref="G785:J785" si="448">SUM(G816,G817)</f>
        <v>780</v>
      </c>
      <c r="H785" s="45">
        <f t="shared" si="448"/>
        <v>721</v>
      </c>
      <c r="I785" s="71"/>
      <c r="J785" s="45">
        <f t="shared" si="448"/>
        <v>714.03476819115826</v>
      </c>
      <c r="K785" s="62"/>
      <c r="L785" s="67">
        <f t="shared" si="427"/>
        <v>9.7547516159284253E-3</v>
      </c>
    </row>
    <row r="786" spans="1:12" ht="12" customHeight="1" outlineLevel="1" x14ac:dyDescent="0.25">
      <c r="A786" s="70" t="str">
        <f t="shared" si="428"/>
        <v>ABT</v>
      </c>
      <c r="B786" s="42" t="s">
        <v>346</v>
      </c>
      <c r="C786" s="46"/>
      <c r="D786" s="46"/>
      <c r="E786" s="72" t="str">
        <f t="shared" si="426"/>
        <v>% Total Revenue (ABT)</v>
      </c>
      <c r="F786" s="47">
        <f>F785/F766</f>
        <v>1.592097060375006E-2</v>
      </c>
      <c r="G786" s="47">
        <f>G785/G766</f>
        <v>2.8477546549835708E-2</v>
      </c>
      <c r="H786" s="47">
        <f>H785/H766</f>
        <v>2.3579043756949442E-2</v>
      </c>
      <c r="I786" s="71"/>
      <c r="J786" s="47">
        <f t="shared" ref="J786" si="449">J785/J766</f>
        <v>2.4338880368397681E-2</v>
      </c>
      <c r="K786" s="62"/>
      <c r="L786" s="67">
        <f t="shared" si="427"/>
        <v>-3.1219045409945578E-2</v>
      </c>
    </row>
    <row r="787" spans="1:12" ht="12" customHeight="1" outlineLevel="1" x14ac:dyDescent="0.25">
      <c r="A787" s="70" t="str">
        <f t="shared" si="428"/>
        <v>ABT</v>
      </c>
      <c r="B787" s="43" t="s">
        <v>358</v>
      </c>
      <c r="C787" s="44"/>
      <c r="D787" s="44"/>
      <c r="E787" s="74" t="str">
        <f t="shared" si="426"/>
        <v>EBT (ABT)</v>
      </c>
      <c r="F787" s="54">
        <f>F783-F785</f>
        <v>1750</v>
      </c>
      <c r="G787" s="54">
        <f>G783-G785</f>
        <v>2355</v>
      </c>
      <c r="H787" s="54">
        <f>H783-H785</f>
        <v>2907</v>
      </c>
      <c r="I787" s="71"/>
      <c r="J787" s="54">
        <f t="shared" ref="J787" si="450">J783-J785</f>
        <v>2595.1048230221986</v>
      </c>
      <c r="K787" s="62"/>
      <c r="L787" s="67">
        <f t="shared" si="427"/>
        <v>0.12018596482533428</v>
      </c>
    </row>
    <row r="788" spans="1:12" ht="12" customHeight="1" outlineLevel="1" x14ac:dyDescent="0.25">
      <c r="A788" s="70" t="str">
        <f t="shared" si="428"/>
        <v>ABT</v>
      </c>
      <c r="B788" s="42" t="s">
        <v>359</v>
      </c>
      <c r="C788" s="46"/>
      <c r="D788" s="46"/>
      <c r="E788" s="72" t="str">
        <f t="shared" si="426"/>
        <v>EBT Margin (%) (ABT)</v>
      </c>
      <c r="F788" s="47">
        <f>F787/F766</f>
        <v>8.3920778784827121E-2</v>
      </c>
      <c r="G788" s="47">
        <f>G787/G766</f>
        <v>8.5980284775465501E-2</v>
      </c>
      <c r="H788" s="47">
        <f>H787/H766</f>
        <v>9.5068349793969525E-2</v>
      </c>
      <c r="I788" s="71"/>
      <c r="J788" s="47">
        <f t="shared" ref="J788" si="451">J787/J766</f>
        <v>8.8457801559152768E-2</v>
      </c>
      <c r="K788" s="62"/>
      <c r="L788" s="67">
        <f t="shared" si="427"/>
        <v>7.4731093451335662E-2</v>
      </c>
    </row>
    <row r="789" spans="1:12" ht="12" customHeight="1" outlineLevel="1" x14ac:dyDescent="0.25">
      <c r="A789" s="70" t="str">
        <f t="shared" si="428"/>
        <v>ABT</v>
      </c>
      <c r="B789" s="42" t="s">
        <v>360</v>
      </c>
      <c r="C789" s="41"/>
      <c r="D789" s="41"/>
      <c r="E789" s="40" t="str">
        <f t="shared" si="426"/>
        <v>Income Tax Expense (ABT)</v>
      </c>
      <c r="F789" s="55">
        <f>F822</f>
        <v>350</v>
      </c>
      <c r="G789" s="55">
        <f t="shared" ref="G789:J789" si="452">G822</f>
        <v>1878</v>
      </c>
      <c r="H789" s="55">
        <f t="shared" si="452"/>
        <v>539</v>
      </c>
      <c r="I789" s="71"/>
      <c r="J789" s="55">
        <f t="shared" si="452"/>
        <v>373.82096460444023</v>
      </c>
      <c r="K789" s="62"/>
      <c r="L789" s="67">
        <f t="shared" si="427"/>
        <v>0.44186669832802039</v>
      </c>
    </row>
    <row r="790" spans="1:12" ht="12" customHeight="1" outlineLevel="1" x14ac:dyDescent="0.25">
      <c r="A790" s="70" t="str">
        <f t="shared" si="428"/>
        <v>ABT</v>
      </c>
      <c r="B790" s="42" t="s">
        <v>361</v>
      </c>
      <c r="C790" s="46"/>
      <c r="D790" s="46"/>
      <c r="E790" s="72" t="str">
        <f t="shared" si="426"/>
        <v>Effective Tax Rate (%) (ABT)</v>
      </c>
      <c r="F790" s="47">
        <f>F789/F787</f>
        <v>0.2</v>
      </c>
      <c r="G790" s="47">
        <f>G789/G787</f>
        <v>0.7974522292993631</v>
      </c>
      <c r="H790" s="47">
        <f>H789/H787</f>
        <v>0.18541451668386652</v>
      </c>
      <c r="I790" s="71"/>
      <c r="J790" s="47">
        <f t="shared" ref="J790" si="453">J789/J787</f>
        <v>0.14404850289210941</v>
      </c>
      <c r="K790" s="62"/>
      <c r="L790" s="67">
        <f t="shared" si="427"/>
        <v>0.28716725936915677</v>
      </c>
    </row>
    <row r="791" spans="1:12" ht="12" customHeight="1" outlineLevel="1" x14ac:dyDescent="0.25">
      <c r="A791" s="70" t="str">
        <f t="shared" si="428"/>
        <v>ABT</v>
      </c>
      <c r="B791" s="42" t="s">
        <v>362</v>
      </c>
      <c r="C791" s="41"/>
      <c r="D791" s="41"/>
      <c r="E791" s="40" t="str">
        <f t="shared" si="426"/>
        <v>Noncontrolling Interest (ABT)</v>
      </c>
      <c r="F791" s="52">
        <v>0</v>
      </c>
      <c r="G791" s="52">
        <v>0</v>
      </c>
      <c r="H791" s="52">
        <v>0</v>
      </c>
      <c r="I791" s="71"/>
      <c r="J791" s="52">
        <v>0</v>
      </c>
      <c r="K791" s="62"/>
      <c r="L791" s="67">
        <f t="shared" si="427"/>
        <v>0</v>
      </c>
    </row>
    <row r="792" spans="1:12" ht="12" customHeight="1" outlineLevel="1" thickBot="1" x14ac:dyDescent="0.3">
      <c r="A792" s="70" t="str">
        <f t="shared" si="428"/>
        <v>ABT</v>
      </c>
      <c r="B792" s="43" t="s">
        <v>170</v>
      </c>
      <c r="C792" s="44"/>
      <c r="D792" s="44"/>
      <c r="E792" s="74" t="str">
        <f t="shared" si="426"/>
        <v>Net Income (ABT)</v>
      </c>
      <c r="F792" s="56">
        <f>F787-SUM(F789,F791)</f>
        <v>1400</v>
      </c>
      <c r="G792" s="56">
        <f>G787-SUM(G789,G791)</f>
        <v>477</v>
      </c>
      <c r="H792" s="56">
        <f>H787-SUM(H789,H791)</f>
        <v>2368</v>
      </c>
      <c r="I792" s="71"/>
      <c r="J792" s="56">
        <f t="shared" ref="J792" si="454">J787-SUM(J789,J791)</f>
        <v>2221.2838584177584</v>
      </c>
      <c r="K792" s="62"/>
      <c r="L792" s="67">
        <f t="shared" si="427"/>
        <v>6.6050154295340224E-2</v>
      </c>
    </row>
    <row r="793" spans="1:12" ht="12" customHeight="1" outlineLevel="1" thickTop="1" x14ac:dyDescent="0.25">
      <c r="A793" s="70" t="str">
        <f t="shared" si="428"/>
        <v>ABT</v>
      </c>
      <c r="B793" s="42" t="s">
        <v>363</v>
      </c>
      <c r="C793" s="46"/>
      <c r="D793" s="46"/>
      <c r="E793" s="72" t="str">
        <f t="shared" si="426"/>
        <v>Net Profit Margin (%) (ABT)</v>
      </c>
      <c r="F793" s="47">
        <f>F792/F766</f>
        <v>6.7136623027861705E-2</v>
      </c>
      <c r="G793" s="47">
        <f>G792/G766</f>
        <v>1.7415115005476451E-2</v>
      </c>
      <c r="H793" s="47">
        <f>H792/H766</f>
        <v>7.7441297664987904E-2</v>
      </c>
      <c r="I793" s="71"/>
      <c r="J793" s="47">
        <f t="shared" ref="J793" si="455">J792/J766</f>
        <v>7.5715587675429519E-2</v>
      </c>
      <c r="K793" s="62"/>
      <c r="L793" s="67">
        <f t="shared" si="427"/>
        <v>2.2792004163739721E-2</v>
      </c>
    </row>
    <row r="794" spans="1:12" ht="12" customHeight="1" outlineLevel="1" x14ac:dyDescent="0.25">
      <c r="A794" s="70" t="str">
        <f t="shared" si="428"/>
        <v>ABT</v>
      </c>
      <c r="B794" s="42"/>
      <c r="C794" s="41"/>
      <c r="D794" s="41"/>
      <c r="E794" s="40" t="str">
        <f t="shared" si="426"/>
        <v xml:space="preserve"> (ABT)</v>
      </c>
      <c r="F794" s="41"/>
      <c r="G794" s="41"/>
      <c r="H794" s="41"/>
      <c r="I794" s="71"/>
      <c r="J794" s="41"/>
      <c r="K794" s="62"/>
      <c r="L794" s="67"/>
    </row>
    <row r="795" spans="1:12" ht="12" customHeight="1" outlineLevel="1" x14ac:dyDescent="0.25">
      <c r="A795" s="70" t="str">
        <f t="shared" si="428"/>
        <v>ABT</v>
      </c>
      <c r="B795" s="42"/>
      <c r="C795" s="41"/>
      <c r="D795" s="41"/>
      <c r="E795" s="40" t="str">
        <f t="shared" si="426"/>
        <v xml:space="preserve"> (ABT)</v>
      </c>
      <c r="F795" s="41"/>
      <c r="G795" s="41"/>
      <c r="H795" s="41"/>
      <c r="I795" s="71"/>
      <c r="J795" s="41"/>
      <c r="K795" s="62"/>
      <c r="L795" s="67"/>
    </row>
    <row r="796" spans="1:12" ht="12" customHeight="1" outlineLevel="1" x14ac:dyDescent="0.25">
      <c r="A796" s="70" t="str">
        <f t="shared" si="428"/>
        <v>ABT</v>
      </c>
      <c r="B796" s="42" t="s">
        <v>364</v>
      </c>
      <c r="C796" s="41"/>
      <c r="D796" s="41"/>
      <c r="E796" s="40" t="str">
        <f t="shared" si="426"/>
        <v>Earnings Per Share (ABT)</v>
      </c>
      <c r="F796" s="41"/>
      <c r="G796" s="41"/>
      <c r="H796" s="41"/>
      <c r="I796" s="71"/>
      <c r="J796" s="41"/>
      <c r="K796" s="62"/>
      <c r="L796" s="67"/>
    </row>
    <row r="797" spans="1:12" ht="12" customHeight="1" outlineLevel="1" x14ac:dyDescent="0.25">
      <c r="A797" s="70" t="str">
        <f t="shared" si="428"/>
        <v>ABT</v>
      </c>
      <c r="B797" s="42" t="s">
        <v>365</v>
      </c>
      <c r="C797" s="57"/>
      <c r="D797" s="57"/>
      <c r="E797" s="73" t="str">
        <f t="shared" si="426"/>
        <v>Basic (ABT)</v>
      </c>
      <c r="F797" s="58">
        <f>F831</f>
        <v>0.94</v>
      </c>
      <c r="G797" s="58">
        <f t="shared" ref="G797:H797" si="456">G831</f>
        <v>0.27</v>
      </c>
      <c r="H797" s="58">
        <f t="shared" si="456"/>
        <v>1.34</v>
      </c>
      <c r="I797" s="71"/>
      <c r="J797" s="58">
        <f t="shared" ref="J797" si="457">J831</f>
        <v>1.2682974442369994</v>
      </c>
      <c r="K797" s="62"/>
      <c r="L797" s="67">
        <f t="shared" si="427"/>
        <v>5.6534495191809198E-2</v>
      </c>
    </row>
    <row r="798" spans="1:12" ht="12" customHeight="1" outlineLevel="1" x14ac:dyDescent="0.25">
      <c r="A798" s="70" t="str">
        <f t="shared" si="428"/>
        <v>ABT</v>
      </c>
      <c r="B798" s="42" t="s">
        <v>366</v>
      </c>
      <c r="C798" s="57"/>
      <c r="D798" s="57"/>
      <c r="E798" s="73" t="str">
        <f t="shared" si="426"/>
        <v>Diluted (ABT)</v>
      </c>
      <c r="F798" s="58">
        <f>F835</f>
        <v>0.94</v>
      </c>
      <c r="G798" s="58">
        <f t="shared" ref="G798:H798" si="458">G835</f>
        <v>0.27</v>
      </c>
      <c r="H798" s="58">
        <f t="shared" si="458"/>
        <v>1.33</v>
      </c>
      <c r="I798" s="71"/>
      <c r="J798" s="58">
        <f t="shared" ref="J798" si="459">J835</f>
        <v>1.246329279789669</v>
      </c>
      <c r="K798" s="62"/>
      <c r="L798" s="67">
        <f t="shared" si="427"/>
        <v>6.7133719448885465E-2</v>
      </c>
    </row>
    <row r="799" spans="1:12" ht="12" customHeight="1" outlineLevel="1" x14ac:dyDescent="0.25">
      <c r="A799" s="70" t="str">
        <f t="shared" si="428"/>
        <v>ABT</v>
      </c>
      <c r="B799" s="42"/>
      <c r="C799" s="41"/>
      <c r="D799" s="41"/>
      <c r="E799" s="40" t="str">
        <f t="shared" si="426"/>
        <v xml:space="preserve"> (ABT)</v>
      </c>
      <c r="F799" s="41"/>
      <c r="G799" s="41"/>
      <c r="H799" s="41"/>
      <c r="I799" s="71"/>
      <c r="J799" s="41"/>
      <c r="K799" s="62"/>
      <c r="L799" s="67"/>
    </row>
    <row r="800" spans="1:12" ht="12" customHeight="1" outlineLevel="1" x14ac:dyDescent="0.25">
      <c r="A800" s="70" t="str">
        <f t="shared" si="428"/>
        <v>ABT</v>
      </c>
      <c r="B800" s="42" t="s">
        <v>367</v>
      </c>
      <c r="C800" s="41"/>
      <c r="D800" s="41"/>
      <c r="E800" s="40" t="str">
        <f t="shared" si="426"/>
        <v>Avg. Common Shares Outstanding (ABT)</v>
      </c>
      <c r="F800" s="41"/>
      <c r="G800" s="41"/>
      <c r="H800" s="41"/>
      <c r="I800" s="71"/>
      <c r="J800" s="41"/>
      <c r="K800" s="62"/>
      <c r="L800" s="67"/>
    </row>
    <row r="801" spans="1:13" ht="12" customHeight="1" outlineLevel="1" x14ac:dyDescent="0.25">
      <c r="A801" s="70" t="str">
        <f t="shared" si="428"/>
        <v>ABT</v>
      </c>
      <c r="B801" s="42" t="s">
        <v>365</v>
      </c>
      <c r="C801" s="41"/>
      <c r="D801" s="41"/>
      <c r="E801" s="40" t="str">
        <f t="shared" si="426"/>
        <v>Basic (ABT)</v>
      </c>
      <c r="F801" s="53">
        <f>F792/F797</f>
        <v>1489.3617021276596</v>
      </c>
      <c r="G801" s="53">
        <f>G792/G797</f>
        <v>1766.6666666666665</v>
      </c>
      <c r="H801" s="53">
        <f>H792/H797</f>
        <v>1767.1641791044774</v>
      </c>
      <c r="I801" s="71"/>
      <c r="J801" s="53">
        <f t="shared" ref="J801" si="460">J792/J797</f>
        <v>1751.3903134560603</v>
      </c>
      <c r="K801" s="62"/>
      <c r="L801" s="67">
        <f t="shared" si="427"/>
        <v>9.006482180028863E-3</v>
      </c>
    </row>
    <row r="802" spans="1:13" ht="12" customHeight="1" outlineLevel="1" x14ac:dyDescent="0.25">
      <c r="A802" s="70" t="str">
        <f t="shared" si="428"/>
        <v>ABT</v>
      </c>
      <c r="B802" s="42" t="s">
        <v>366</v>
      </c>
      <c r="C802" s="41"/>
      <c r="D802" s="41"/>
      <c r="E802" s="40" t="str">
        <f t="shared" si="426"/>
        <v>Diluted (ABT)</v>
      </c>
      <c r="F802" s="53">
        <f>F792/F798</f>
        <v>1489.3617021276596</v>
      </c>
      <c r="G802" s="53">
        <f>G792/G798</f>
        <v>1766.6666666666665</v>
      </c>
      <c r="H802" s="53">
        <f>H792/H798</f>
        <v>1780.4511278195487</v>
      </c>
      <c r="I802" s="71"/>
      <c r="J802" s="53">
        <f t="shared" ref="J802" si="461">J792/J798</f>
        <v>1782.2608314173788</v>
      </c>
      <c r="K802" s="62"/>
      <c r="L802" s="67">
        <f t="shared" si="427"/>
        <v>-1.0153977273859027E-3</v>
      </c>
    </row>
    <row r="803" spans="1:13" ht="12" customHeight="1" outlineLevel="1" x14ac:dyDescent="0.25">
      <c r="B803" s="62"/>
      <c r="C803" s="62"/>
      <c r="D803" s="62"/>
      <c r="E803" s="62"/>
      <c r="F803" s="62"/>
      <c r="G803" s="62"/>
      <c r="H803" s="62"/>
      <c r="I803" s="15"/>
      <c r="J803" s="62"/>
      <c r="K803" s="62"/>
      <c r="L803" s="62"/>
    </row>
    <row r="804" spans="1:13" ht="12" customHeight="1" outlineLevel="1" x14ac:dyDescent="0.25">
      <c r="B804" s="63" t="s">
        <v>371</v>
      </c>
      <c r="C804" s="63"/>
      <c r="D804" s="63"/>
      <c r="E804" s="63"/>
      <c r="F804" s="63"/>
      <c r="G804" s="63"/>
      <c r="H804" s="63"/>
      <c r="I804" s="63"/>
      <c r="J804" s="63"/>
      <c r="K804" s="63"/>
      <c r="L804" s="64"/>
      <c r="M804" s="64"/>
    </row>
    <row r="805" spans="1:13" ht="12" hidden="1" customHeight="1" outlineLevel="2" x14ac:dyDescent="0.25">
      <c r="B805" s="1"/>
    </row>
    <row r="806" spans="1:13" ht="12" hidden="1" customHeight="1" outlineLevel="2" x14ac:dyDescent="0.25">
      <c r="B806" s="8" t="s">
        <v>193</v>
      </c>
    </row>
    <row r="807" spans="1:13" ht="12" hidden="1" customHeight="1" outlineLevel="2" x14ac:dyDescent="0.25">
      <c r="B807" s="8" t="s">
        <v>230</v>
      </c>
      <c r="F807" s="3" t="s">
        <v>4</v>
      </c>
      <c r="G807" s="3" t="s">
        <v>3</v>
      </c>
      <c r="H807" s="3" t="s">
        <v>2</v>
      </c>
      <c r="J807" s="14" t="s">
        <v>2</v>
      </c>
      <c r="L807" s="36">
        <f>MEDIAN(L809:L843)</f>
        <v>3.999316705219147E-2</v>
      </c>
    </row>
    <row r="808" spans="1:13" ht="12" hidden="1" customHeight="1" outlineLevel="2" x14ac:dyDescent="0.25">
      <c r="B808" s="8" t="s">
        <v>194</v>
      </c>
      <c r="J808" s="15"/>
    </row>
    <row r="809" spans="1:13" ht="12" hidden="1" customHeight="1" outlineLevel="2" x14ac:dyDescent="0.25">
      <c r="B809" s="8" t="s">
        <v>195</v>
      </c>
      <c r="F809" s="3">
        <v>20853</v>
      </c>
      <c r="G809" s="3">
        <v>27390</v>
      </c>
      <c r="H809" s="3">
        <v>30578</v>
      </c>
      <c r="J809" s="14">
        <v>29337.206863397136</v>
      </c>
      <c r="L809" s="36">
        <f t="shared" ref="L809:L843" si="462">IF(ISERROR(H809/J809-1),0,(H809/J809-1))</f>
        <v>4.229418098254456E-2</v>
      </c>
    </row>
    <row r="810" spans="1:13" ht="12" hidden="1" customHeight="1" outlineLevel="2" x14ac:dyDescent="0.25">
      <c r="B810" s="8" t="s">
        <v>196</v>
      </c>
      <c r="F810" s="3">
        <v>9094</v>
      </c>
      <c r="G810" s="3">
        <v>12409</v>
      </c>
      <c r="H810" s="3">
        <v>12706</v>
      </c>
      <c r="J810" s="14">
        <v>12293.93148629916</v>
      </c>
      <c r="L810" s="36">
        <f t="shared" si="462"/>
        <v>3.351804214624643E-2</v>
      </c>
    </row>
    <row r="811" spans="1:13" ht="12" hidden="1" customHeight="1" outlineLevel="2" x14ac:dyDescent="0.25">
      <c r="B811" s="8" t="s">
        <v>80</v>
      </c>
      <c r="F811" s="3">
        <v>550</v>
      </c>
      <c r="G811" s="3">
        <v>1975</v>
      </c>
      <c r="H811" s="3">
        <v>2178</v>
      </c>
      <c r="J811" s="14">
        <v>2098.8883778754707</v>
      </c>
      <c r="L811" s="36">
        <f t="shared" si="462"/>
        <v>3.7692153121838379E-2</v>
      </c>
    </row>
    <row r="812" spans="1:13" ht="12" hidden="1" customHeight="1" outlineLevel="2" x14ac:dyDescent="0.25">
      <c r="B812" s="8" t="s">
        <v>45</v>
      </c>
      <c r="F812" s="3">
        <v>1447</v>
      </c>
      <c r="G812" s="3">
        <v>2260</v>
      </c>
      <c r="H812" s="3">
        <v>2300</v>
      </c>
      <c r="J812" s="14">
        <v>2272.7023221998625</v>
      </c>
      <c r="L812" s="36">
        <f t="shared" si="462"/>
        <v>1.2011110092814414E-2</v>
      </c>
    </row>
    <row r="813" spans="1:13" ht="12" hidden="1" customHeight="1" outlineLevel="2" x14ac:dyDescent="0.25">
      <c r="B813" s="8" t="s">
        <v>75</v>
      </c>
      <c r="F813" s="6">
        <v>6736</v>
      </c>
      <c r="G813" s="6">
        <v>9182</v>
      </c>
      <c r="H813" s="6">
        <v>9744</v>
      </c>
      <c r="J813" s="14">
        <v>9407.5450858092845</v>
      </c>
      <c r="L813" s="36">
        <f t="shared" si="462"/>
        <v>3.576436903802227E-2</v>
      </c>
    </row>
    <row r="814" spans="1:13" ht="12" hidden="1" customHeight="1" outlineLevel="2" x14ac:dyDescent="0.25">
      <c r="B814" s="8" t="s">
        <v>197</v>
      </c>
      <c r="F814" s="9">
        <f>SUM(F810:F813)</f>
        <v>17827</v>
      </c>
      <c r="G814" s="9">
        <f t="shared" ref="G814:H814" si="463">SUM(G810:G813)</f>
        <v>25826</v>
      </c>
      <c r="H814" s="9">
        <f t="shared" si="463"/>
        <v>26928</v>
      </c>
      <c r="J814" s="17">
        <v>26073.06727218378</v>
      </c>
      <c r="L814" s="36">
        <f t="shared" si="462"/>
        <v>3.2789879260899601E-2</v>
      </c>
    </row>
    <row r="815" spans="1:13" ht="12" hidden="1" customHeight="1" outlineLevel="2" x14ac:dyDescent="0.25">
      <c r="B815" s="8" t="s">
        <v>198</v>
      </c>
      <c r="F815" s="9">
        <f>F809-F814</f>
        <v>3026</v>
      </c>
      <c r="G815" s="9">
        <f t="shared" ref="G815:H815" si="464">G809-G814</f>
        <v>1564</v>
      </c>
      <c r="H815" s="9">
        <f t="shared" si="464"/>
        <v>3650</v>
      </c>
      <c r="J815" s="17">
        <v>3264.1395912133557</v>
      </c>
      <c r="L815" s="36">
        <f t="shared" si="462"/>
        <v>0.11821198144384848</v>
      </c>
    </row>
    <row r="816" spans="1:13" ht="12" hidden="1" customHeight="1" outlineLevel="2" x14ac:dyDescent="0.25">
      <c r="B816" s="8" t="s">
        <v>13</v>
      </c>
      <c r="F816" s="3">
        <v>431</v>
      </c>
      <c r="G816" s="3">
        <v>904</v>
      </c>
      <c r="H816" s="3">
        <v>826</v>
      </c>
      <c r="J816" s="14">
        <v>803.93107427882785</v>
      </c>
      <c r="L816" s="36">
        <f t="shared" si="462"/>
        <v>2.7451265944619996E-2</v>
      </c>
    </row>
    <row r="817" spans="2:12" ht="12" hidden="1" customHeight="1" outlineLevel="2" x14ac:dyDescent="0.25">
      <c r="B817" s="8" t="s">
        <v>14</v>
      </c>
      <c r="F817" s="3">
        <v>-99</v>
      </c>
      <c r="G817" s="3">
        <v>-124</v>
      </c>
      <c r="H817" s="3">
        <v>-105</v>
      </c>
      <c r="J817" s="14">
        <v>-89.896306087669558</v>
      </c>
      <c r="L817" s="36">
        <f t="shared" si="462"/>
        <v>0.16801239750163788</v>
      </c>
    </row>
    <row r="818" spans="2:12" ht="12" hidden="1" customHeight="1" outlineLevel="2" x14ac:dyDescent="0.25">
      <c r="B818" s="8" t="s">
        <v>303</v>
      </c>
      <c r="F818" s="3">
        <v>0</v>
      </c>
      <c r="G818" s="3">
        <v>0</v>
      </c>
      <c r="H818" s="3">
        <v>167</v>
      </c>
      <c r="J818" s="14">
        <v>81</v>
      </c>
      <c r="L818" s="36">
        <f t="shared" si="462"/>
        <v>1.0617283950617282</v>
      </c>
    </row>
    <row r="819" spans="2:12" ht="12" hidden="1" customHeight="1" outlineLevel="2" x14ac:dyDescent="0.25">
      <c r="B819" s="8" t="s">
        <v>199</v>
      </c>
      <c r="F819" s="3">
        <v>495</v>
      </c>
      <c r="G819" s="3">
        <v>-34</v>
      </c>
      <c r="H819" s="3">
        <v>28</v>
      </c>
      <c r="J819" s="14">
        <v>2</v>
      </c>
      <c r="L819" s="36">
        <f t="shared" si="462"/>
        <v>13</v>
      </c>
    </row>
    <row r="820" spans="2:12" ht="12" hidden="1" customHeight="1" outlineLevel="2" x14ac:dyDescent="0.25">
      <c r="B820" s="8" t="s">
        <v>119</v>
      </c>
      <c r="F820" s="3">
        <v>786</v>
      </c>
      <c r="G820" s="3">
        <v>-1413</v>
      </c>
      <c r="H820" s="3">
        <v>-139</v>
      </c>
      <c r="J820" s="14">
        <v>-93</v>
      </c>
      <c r="L820" s="36">
        <f t="shared" si="462"/>
        <v>0.4946236559139785</v>
      </c>
    </row>
    <row r="821" spans="2:12" ht="12" hidden="1" customHeight="1" outlineLevel="2" x14ac:dyDescent="0.25">
      <c r="B821" s="8" t="s">
        <v>304</v>
      </c>
      <c r="F821" s="9">
        <f>F815-SUM(F816:F820)</f>
        <v>1413</v>
      </c>
      <c r="G821" s="9">
        <f t="shared" ref="G821:H821" si="465">G815-SUM(G816:G820)</f>
        <v>2231</v>
      </c>
      <c r="H821" s="9">
        <f t="shared" si="465"/>
        <v>2873</v>
      </c>
      <c r="J821" s="17">
        <v>2560.1048230221977</v>
      </c>
      <c r="L821" s="36">
        <f t="shared" si="462"/>
        <v>0.12221967403992084</v>
      </c>
    </row>
    <row r="822" spans="2:12" ht="12" hidden="1" customHeight="1" outlineLevel="2" x14ac:dyDescent="0.25">
      <c r="B822" s="8" t="s">
        <v>305</v>
      </c>
      <c r="F822" s="3">
        <v>350</v>
      </c>
      <c r="G822" s="3">
        <v>1878</v>
      </c>
      <c r="H822" s="3">
        <v>539</v>
      </c>
      <c r="J822" s="14">
        <v>373.82096460444023</v>
      </c>
      <c r="L822" s="36">
        <f t="shared" si="462"/>
        <v>0.44186669832802039</v>
      </c>
    </row>
    <row r="823" spans="2:12" ht="12" hidden="1" customHeight="1" outlineLevel="2" x14ac:dyDescent="0.25">
      <c r="B823" s="8" t="s">
        <v>200</v>
      </c>
      <c r="F823" s="9">
        <f>F821-F822</f>
        <v>1063</v>
      </c>
      <c r="G823" s="9">
        <f t="shared" ref="G823:H823" si="466">G821-G822</f>
        <v>353</v>
      </c>
      <c r="H823" s="9">
        <f t="shared" si="466"/>
        <v>2334</v>
      </c>
      <c r="J823" s="17">
        <v>2186.2838584177575</v>
      </c>
      <c r="L823" s="36">
        <f t="shared" si="462"/>
        <v>6.7564941767967124E-2</v>
      </c>
    </row>
    <row r="824" spans="2:12" ht="12" hidden="1" customHeight="1" outlineLevel="2" x14ac:dyDescent="0.25">
      <c r="B824" s="8" t="s">
        <v>201</v>
      </c>
      <c r="F824" s="3">
        <v>321</v>
      </c>
      <c r="G824" s="3">
        <v>124</v>
      </c>
      <c r="H824" s="3">
        <v>34</v>
      </c>
      <c r="J824" s="14">
        <v>35</v>
      </c>
      <c r="L824" s="36">
        <f t="shared" si="462"/>
        <v>-2.8571428571428581E-2</v>
      </c>
    </row>
    <row r="825" spans="2:12" ht="12" hidden="1" customHeight="1" outlineLevel="2" x14ac:dyDescent="0.25">
      <c r="B825" s="8" t="s">
        <v>202</v>
      </c>
      <c r="F825" s="3">
        <v>16</v>
      </c>
      <c r="G825" s="3">
        <v>0</v>
      </c>
      <c r="H825" s="3">
        <v>0</v>
      </c>
      <c r="J825" s="14">
        <v>0</v>
      </c>
      <c r="L825" s="36">
        <f t="shared" si="462"/>
        <v>0</v>
      </c>
    </row>
    <row r="826" spans="2:12" ht="12" hidden="1" customHeight="1" outlineLevel="2" x14ac:dyDescent="0.25">
      <c r="B826" s="8" t="s">
        <v>203</v>
      </c>
      <c r="F826" s="9">
        <f>SUM(F824:F825)</f>
        <v>337</v>
      </c>
      <c r="G826" s="9">
        <f t="shared" ref="G826:H826" si="467">SUM(G824:G825)</f>
        <v>124</v>
      </c>
      <c r="H826" s="9">
        <f t="shared" si="467"/>
        <v>34</v>
      </c>
      <c r="J826" s="17">
        <v>35</v>
      </c>
      <c r="L826" s="36">
        <f t="shared" si="462"/>
        <v>-2.8571428571428581E-2</v>
      </c>
    </row>
    <row r="827" spans="2:12" ht="12" hidden="1" customHeight="1" outlineLevel="2" thickBot="1" x14ac:dyDescent="0.3">
      <c r="B827" s="8" t="s">
        <v>178</v>
      </c>
      <c r="F827" s="10">
        <f>SUM(F823,F826)</f>
        <v>1400</v>
      </c>
      <c r="G827" s="10">
        <f t="shared" ref="G827:H827" si="468">SUM(G823,G826)</f>
        <v>477</v>
      </c>
      <c r="H827" s="10">
        <f t="shared" si="468"/>
        <v>2368</v>
      </c>
      <c r="J827" s="19">
        <v>2221.2838584177575</v>
      </c>
      <c r="L827" s="36">
        <f t="shared" si="462"/>
        <v>6.6050154295340668E-2</v>
      </c>
    </row>
    <row r="828" spans="2:12" ht="12" hidden="1" customHeight="1" outlineLevel="2" thickTop="1" x14ac:dyDescent="0.25">
      <c r="B828" s="8" t="s">
        <v>204</v>
      </c>
      <c r="J828" s="15"/>
      <c r="L828" s="35"/>
    </row>
    <row r="829" spans="2:12" ht="12" hidden="1" customHeight="1" outlineLevel="2" x14ac:dyDescent="0.25">
      <c r="B829" s="8" t="s">
        <v>205</v>
      </c>
      <c r="F829" s="11">
        <v>0.71</v>
      </c>
      <c r="G829" s="11">
        <v>0.2</v>
      </c>
      <c r="H829" s="11">
        <v>1.32</v>
      </c>
      <c r="J829" s="20">
        <v>1.2382974442369994</v>
      </c>
      <c r="L829" s="36">
        <f t="shared" si="462"/>
        <v>6.5979749973031021E-2</v>
      </c>
    </row>
    <row r="830" spans="2:12" ht="12" hidden="1" customHeight="1" outlineLevel="2" x14ac:dyDescent="0.25">
      <c r="B830" s="8" t="s">
        <v>206</v>
      </c>
      <c r="F830" s="12">
        <v>0.23</v>
      </c>
      <c r="G830" s="12">
        <v>7.0000000000000007E-2</v>
      </c>
      <c r="H830" s="12">
        <v>0.02</v>
      </c>
      <c r="J830" s="34">
        <v>0.03</v>
      </c>
      <c r="L830" s="36">
        <f t="shared" si="462"/>
        <v>-0.33333333333333326</v>
      </c>
    </row>
    <row r="831" spans="2:12" ht="12" hidden="1" customHeight="1" outlineLevel="2" x14ac:dyDescent="0.25">
      <c r="B831" s="8" t="s">
        <v>207</v>
      </c>
      <c r="F831" s="13">
        <f>SUM(F829:F830)</f>
        <v>0.94</v>
      </c>
      <c r="G831" s="13">
        <f t="shared" ref="G831:H831" si="469">SUM(G829:G830)</f>
        <v>0.27</v>
      </c>
      <c r="H831" s="13">
        <f t="shared" si="469"/>
        <v>1.34</v>
      </c>
      <c r="J831" s="26">
        <v>1.2682974442369994</v>
      </c>
      <c r="L831" s="36">
        <f t="shared" si="462"/>
        <v>5.6534495191809198E-2</v>
      </c>
    </row>
    <row r="832" spans="2:12" ht="12" hidden="1" customHeight="1" outlineLevel="2" x14ac:dyDescent="0.25">
      <c r="B832" s="8" t="s">
        <v>208</v>
      </c>
      <c r="J832" s="15"/>
      <c r="L832" s="35"/>
    </row>
    <row r="833" spans="2:13" ht="12" hidden="1" customHeight="1" outlineLevel="2" x14ac:dyDescent="0.25">
      <c r="B833" s="8" t="s">
        <v>205</v>
      </c>
      <c r="F833" s="11">
        <v>0.71</v>
      </c>
      <c r="G833" s="11">
        <v>0.2</v>
      </c>
      <c r="H833" s="11">
        <v>1.31</v>
      </c>
      <c r="J833" s="20">
        <v>1.226329279789669</v>
      </c>
      <c r="L833" s="36">
        <f t="shared" si="462"/>
        <v>6.8228592099408791E-2</v>
      </c>
    </row>
    <row r="834" spans="2:13" ht="12" hidden="1" customHeight="1" outlineLevel="2" x14ac:dyDescent="0.25">
      <c r="B834" s="8" t="s">
        <v>206</v>
      </c>
      <c r="F834" s="12">
        <v>0.23</v>
      </c>
      <c r="G834" s="12">
        <v>7.0000000000000007E-2</v>
      </c>
      <c r="H834" s="12">
        <v>0.02</v>
      </c>
      <c r="J834" s="34">
        <v>0.02</v>
      </c>
      <c r="L834" s="36">
        <f t="shared" si="462"/>
        <v>0</v>
      </c>
    </row>
    <row r="835" spans="2:13" ht="12" hidden="1" customHeight="1" outlineLevel="2" x14ac:dyDescent="0.25">
      <c r="B835" s="8" t="s">
        <v>207</v>
      </c>
      <c r="F835" s="13">
        <f>SUM(F833:F834)</f>
        <v>0.94</v>
      </c>
      <c r="G835" s="13">
        <f t="shared" ref="G835:H835" si="470">SUM(G833:G834)</f>
        <v>0.27</v>
      </c>
      <c r="H835" s="13">
        <f t="shared" si="470"/>
        <v>1.33</v>
      </c>
      <c r="J835" s="26">
        <v>1.246329279789669</v>
      </c>
      <c r="L835" s="36">
        <f t="shared" si="462"/>
        <v>6.7133719448885465E-2</v>
      </c>
    </row>
    <row r="836" spans="2:13" ht="12" hidden="1" customHeight="1" outlineLevel="2" x14ac:dyDescent="0.25">
      <c r="B836" s="8" t="s">
        <v>209</v>
      </c>
      <c r="F836" s="3">
        <v>1477</v>
      </c>
      <c r="G836" s="3">
        <v>1740</v>
      </c>
      <c r="H836" s="3">
        <v>1758</v>
      </c>
      <c r="J836" s="14">
        <v>1759.585</v>
      </c>
      <c r="L836" s="36">
        <f t="shared" si="462"/>
        <v>-9.0078058178488796E-4</v>
      </c>
    </row>
    <row r="837" spans="2:13" ht="12" hidden="1" customHeight="1" outlineLevel="2" x14ac:dyDescent="0.25">
      <c r="B837" s="8" t="s">
        <v>306</v>
      </c>
      <c r="F837" s="6">
        <v>6</v>
      </c>
      <c r="G837" s="6">
        <v>9</v>
      </c>
      <c r="H837" s="6">
        <v>12</v>
      </c>
      <c r="J837" s="16">
        <v>12.095000000000001</v>
      </c>
      <c r="L837" s="36">
        <f t="shared" si="462"/>
        <v>-7.8544853245142709E-3</v>
      </c>
    </row>
    <row r="838" spans="2:13" ht="12" hidden="1" customHeight="1" outlineLevel="2" x14ac:dyDescent="0.25">
      <c r="B838" s="8" t="s">
        <v>307</v>
      </c>
      <c r="F838" s="9">
        <f>SUM(F836:F837)</f>
        <v>1483</v>
      </c>
      <c r="G838" s="9">
        <f t="shared" ref="G838:H838" si="471">SUM(G836:G837)</f>
        <v>1749</v>
      </c>
      <c r="H838" s="9">
        <f t="shared" si="471"/>
        <v>1770</v>
      </c>
      <c r="J838" s="29">
        <v>1771.68</v>
      </c>
      <c r="L838" s="36">
        <f t="shared" si="462"/>
        <v>-9.4825250609598122E-4</v>
      </c>
    </row>
    <row r="839" spans="2:13" ht="12" hidden="1" customHeight="1" outlineLevel="2" x14ac:dyDescent="0.25">
      <c r="B839" s="8" t="s">
        <v>210</v>
      </c>
      <c r="F839" s="2">
        <v>5</v>
      </c>
      <c r="G839" s="2">
        <v>0</v>
      </c>
      <c r="H839" s="2">
        <v>0</v>
      </c>
      <c r="J839" s="14">
        <v>0</v>
      </c>
      <c r="L839" s="36">
        <f t="shared" si="462"/>
        <v>0</v>
      </c>
    </row>
    <row r="840" spans="2:13" ht="12" hidden="1" customHeight="1" outlineLevel="2" x14ac:dyDescent="0.25">
      <c r="J840" s="21"/>
      <c r="L840" s="35"/>
    </row>
    <row r="841" spans="2:13" ht="12" hidden="1" customHeight="1" outlineLevel="2" x14ac:dyDescent="0.25">
      <c r="B841" s="8" t="s">
        <v>109</v>
      </c>
      <c r="F841" s="3">
        <v>803</v>
      </c>
      <c r="G841" s="3">
        <v>1046</v>
      </c>
      <c r="H841" s="3">
        <v>1100</v>
      </c>
      <c r="J841" s="14">
        <v>1043.2354656504997</v>
      </c>
      <c r="L841" s="36">
        <f t="shared" si="462"/>
        <v>5.4412005935884578E-2</v>
      </c>
    </row>
    <row r="842" spans="2:13" ht="12" hidden="1" customHeight="1" outlineLevel="2" x14ac:dyDescent="0.25">
      <c r="B842" s="8" t="s">
        <v>80</v>
      </c>
      <c r="F842" s="3">
        <v>550</v>
      </c>
      <c r="G842" s="3">
        <v>1975</v>
      </c>
      <c r="H842" s="3">
        <v>2178</v>
      </c>
      <c r="J842" s="14">
        <v>2098.8883778754707</v>
      </c>
      <c r="L842" s="36">
        <f t="shared" si="462"/>
        <v>3.7692153121838379E-2</v>
      </c>
    </row>
    <row r="843" spans="2:13" ht="12" hidden="1" customHeight="1" outlineLevel="2" x14ac:dyDescent="0.25">
      <c r="B843" s="8" t="s">
        <v>192</v>
      </c>
      <c r="F843" s="3">
        <v>-1121</v>
      </c>
      <c r="G843" s="3">
        <v>-1135</v>
      </c>
      <c r="H843" s="3">
        <v>-1394</v>
      </c>
      <c r="J843" s="14">
        <v>-1194.4463236912502</v>
      </c>
      <c r="L843" s="36">
        <f t="shared" si="462"/>
        <v>0.16706793126714992</v>
      </c>
    </row>
    <row r="844" spans="2:13" ht="12" customHeight="1" outlineLevel="1" collapsed="1" x14ac:dyDescent="0.25"/>
    <row r="845" spans="2:13" ht="12" customHeight="1" x14ac:dyDescent="0.25">
      <c r="B845" s="61" t="s">
        <v>382</v>
      </c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91" t="s">
        <v>37</v>
      </c>
    </row>
    <row r="846" spans="2:13" ht="12" customHeight="1" x14ac:dyDescent="0.25">
      <c r="B846" s="38"/>
      <c r="C846" s="15"/>
      <c r="D846" s="15"/>
      <c r="E846" s="15"/>
      <c r="F846" s="15"/>
      <c r="G846" s="15"/>
      <c r="H846" s="15"/>
      <c r="I846" s="15"/>
      <c r="J846" s="15"/>
      <c r="K846" s="62"/>
      <c r="L846" s="62"/>
    </row>
    <row r="847" spans="2:13" ht="12" customHeight="1" outlineLevel="1" x14ac:dyDescent="0.25">
      <c r="B847" s="85" t="s">
        <v>338</v>
      </c>
      <c r="C847" s="86"/>
      <c r="D847" s="86"/>
      <c r="E847" s="86"/>
      <c r="F847" s="89" t="s">
        <v>369</v>
      </c>
      <c r="G847" s="89"/>
      <c r="H847" s="90"/>
      <c r="I847" s="15"/>
      <c r="J847" s="82" t="s">
        <v>370</v>
      </c>
      <c r="K847" s="62"/>
      <c r="L847" s="68" t="s">
        <v>386</v>
      </c>
    </row>
    <row r="848" spans="2:13" ht="12" customHeight="1" outlineLevel="1" x14ac:dyDescent="0.25">
      <c r="B848" s="87"/>
      <c r="C848" s="88"/>
      <c r="D848" s="88"/>
      <c r="E848" s="88"/>
      <c r="F848" s="39">
        <f>G848-1</f>
        <v>2016</v>
      </c>
      <c r="G848" s="39">
        <f>H848-1</f>
        <v>2017</v>
      </c>
      <c r="H848" s="60">
        <f>J848</f>
        <v>2018</v>
      </c>
      <c r="I848" s="15"/>
      <c r="J848" s="81">
        <v>2018</v>
      </c>
      <c r="K848" s="62"/>
      <c r="L848" s="68" t="s">
        <v>370</v>
      </c>
    </row>
    <row r="849" spans="1:12" ht="12" customHeight="1" outlineLevel="1" x14ac:dyDescent="0.25">
      <c r="B849" s="62"/>
      <c r="C849" s="62"/>
      <c r="D849" s="62"/>
      <c r="E849" s="62"/>
      <c r="F849" s="40"/>
      <c r="G849" s="40"/>
      <c r="H849" s="40"/>
      <c r="I849" s="15"/>
      <c r="J849" s="40"/>
      <c r="K849" s="62"/>
      <c r="L849" s="62"/>
    </row>
    <row r="850" spans="1:12" ht="12" customHeight="1" outlineLevel="1" x14ac:dyDescent="0.25">
      <c r="A850" s="70" t="str">
        <f>M845</f>
        <v>LLY</v>
      </c>
      <c r="B850" s="43" t="s">
        <v>340</v>
      </c>
      <c r="C850" s="44"/>
      <c r="D850" s="44"/>
      <c r="E850" s="74" t="str">
        <f>B850&amp;" ("&amp;A850&amp;")"</f>
        <v>Total Revenue (LLY)</v>
      </c>
      <c r="F850" s="45">
        <f>F893</f>
        <v>21222.1</v>
      </c>
      <c r="G850" s="45">
        <f t="shared" ref="G850:J850" si="472">G893</f>
        <v>22871.3</v>
      </c>
      <c r="H850" s="45">
        <f t="shared" si="472"/>
        <v>24555.7</v>
      </c>
      <c r="I850" s="71"/>
      <c r="J850" s="45">
        <f t="shared" si="472"/>
        <v>24059.713738692117</v>
      </c>
      <c r="K850" s="62"/>
      <c r="L850" s="67">
        <f>IF(ISERROR(H850/J850-1),0,(H850/J850-1))</f>
        <v>2.0614803097605217E-2</v>
      </c>
    </row>
    <row r="851" spans="1:12" ht="12" customHeight="1" outlineLevel="1" x14ac:dyDescent="0.25">
      <c r="A851" s="70" t="str">
        <f>A850</f>
        <v>LLY</v>
      </c>
      <c r="B851" s="42" t="s">
        <v>341</v>
      </c>
      <c r="C851" s="46"/>
      <c r="D851" s="46"/>
      <c r="E851" s="72" t="str">
        <f t="shared" ref="E851:E886" si="473">B851&amp;" ("&amp;A851&amp;")"</f>
        <v>% Growth (LLY)</v>
      </c>
      <c r="F851" s="47" t="s">
        <v>342</v>
      </c>
      <c r="G851" s="47">
        <f>G850/F850-1</f>
        <v>7.7711442317207169E-2</v>
      </c>
      <c r="H851" s="47">
        <f>H850/G850-1</f>
        <v>7.3646884960627546E-2</v>
      </c>
      <c r="I851" s="71"/>
      <c r="J851" s="47">
        <f>J850/G850-1</f>
        <v>5.1960917774333648E-2</v>
      </c>
      <c r="K851" s="62"/>
      <c r="L851" s="67">
        <f t="shared" ref="L851:L886" si="474">IF(ISERROR(H851/J851-1),0,(H851/J851-1))</f>
        <v>0.41735150407612287</v>
      </c>
    </row>
    <row r="852" spans="1:12" ht="12" customHeight="1" outlineLevel="1" x14ac:dyDescent="0.25">
      <c r="A852" s="70" t="str">
        <f t="shared" ref="A852:A886" si="475">A851</f>
        <v>LLY</v>
      </c>
      <c r="B852" s="42" t="s">
        <v>343</v>
      </c>
      <c r="C852" s="41"/>
      <c r="D852" s="41"/>
      <c r="E852" s="40" t="str">
        <f t="shared" si="473"/>
        <v>COGS (LLY)</v>
      </c>
      <c r="F852" s="48">
        <f>F895</f>
        <v>5710.1</v>
      </c>
      <c r="G852" s="48">
        <f t="shared" ref="G852:H852" si="476">G895</f>
        <v>6150.8</v>
      </c>
      <c r="H852" s="48">
        <f t="shared" si="476"/>
        <v>6430</v>
      </c>
      <c r="I852" s="71"/>
      <c r="J852" s="48">
        <f t="shared" ref="J852" si="477">J895</f>
        <v>6496.7265481073109</v>
      </c>
      <c r="K852" s="62"/>
      <c r="L852" s="67">
        <f t="shared" si="474"/>
        <v>-1.0270795240219899E-2</v>
      </c>
    </row>
    <row r="853" spans="1:12" ht="12" customHeight="1" outlineLevel="1" x14ac:dyDescent="0.25">
      <c r="A853" s="70" t="str">
        <f t="shared" si="475"/>
        <v>LLY</v>
      </c>
      <c r="B853" s="42" t="s">
        <v>344</v>
      </c>
      <c r="C853" s="41"/>
      <c r="D853" s="41"/>
      <c r="E853" s="40" t="str">
        <f t="shared" si="473"/>
        <v>Total Depreciation &amp; Amortization (LLY)</v>
      </c>
      <c r="F853" s="48">
        <f>F912</f>
        <v>1496.6</v>
      </c>
      <c r="G853" s="48">
        <f t="shared" ref="G853:H853" si="478">G912</f>
        <v>1567.3</v>
      </c>
      <c r="H853" s="48">
        <f t="shared" si="478"/>
        <v>1609</v>
      </c>
      <c r="I853" s="71"/>
      <c r="J853" s="48">
        <f t="shared" ref="J853" si="479">J912</f>
        <v>1649.3756552299878</v>
      </c>
      <c r="K853" s="62"/>
      <c r="L853" s="67">
        <f t="shared" si="474"/>
        <v>-2.4479356841457633E-2</v>
      </c>
    </row>
    <row r="854" spans="1:12" ht="12" customHeight="1" outlineLevel="1" x14ac:dyDescent="0.25">
      <c r="A854" s="70" t="str">
        <f t="shared" si="475"/>
        <v>LLY</v>
      </c>
      <c r="B854" s="42" t="s">
        <v>345</v>
      </c>
      <c r="C854" s="41"/>
      <c r="D854" s="41"/>
      <c r="E854" s="40" t="str">
        <f t="shared" si="473"/>
        <v>COGS (Exclusive of D&amp;A) (LLY)</v>
      </c>
      <c r="F854" s="49">
        <f>F852-F853</f>
        <v>4213.5</v>
      </c>
      <c r="G854" s="49">
        <f>G852-G853</f>
        <v>4583.5</v>
      </c>
      <c r="H854" s="49">
        <f>H852-H853</f>
        <v>4821</v>
      </c>
      <c r="I854" s="71"/>
      <c r="J854" s="49">
        <f t="shared" ref="J854" si="480">J852-J853</f>
        <v>4847.3508928773226</v>
      </c>
      <c r="K854" s="62"/>
      <c r="L854" s="67">
        <f t="shared" si="474"/>
        <v>-5.4361430520828424E-3</v>
      </c>
    </row>
    <row r="855" spans="1:12" ht="12" customHeight="1" outlineLevel="1" x14ac:dyDescent="0.25">
      <c r="A855" s="70" t="str">
        <f t="shared" si="475"/>
        <v>LLY</v>
      </c>
      <c r="B855" s="42" t="s">
        <v>346</v>
      </c>
      <c r="C855" s="46"/>
      <c r="D855" s="46"/>
      <c r="E855" s="72" t="str">
        <f t="shared" si="473"/>
        <v>% Total Revenue (LLY)</v>
      </c>
      <c r="F855" s="50">
        <f>F854/F850</f>
        <v>0.19854302825827794</v>
      </c>
      <c r="G855" s="50">
        <f>G854/G850</f>
        <v>0.20040399977264084</v>
      </c>
      <c r="H855" s="50">
        <f>H854/H850</f>
        <v>0.19632916186465871</v>
      </c>
      <c r="I855" s="71"/>
      <c r="J855" s="50">
        <f t="shared" ref="J855" si="481">J854/J850</f>
        <v>0.20147167773995403</v>
      </c>
      <c r="K855" s="62"/>
      <c r="L855" s="67">
        <f t="shared" si="474"/>
        <v>-2.5524758283558491E-2</v>
      </c>
    </row>
    <row r="856" spans="1:12" ht="12" customHeight="1" outlineLevel="1" x14ac:dyDescent="0.25">
      <c r="A856" s="70" t="str">
        <f t="shared" si="475"/>
        <v>LLY</v>
      </c>
      <c r="B856" s="43" t="s">
        <v>347</v>
      </c>
      <c r="C856" s="44"/>
      <c r="D856" s="44"/>
      <c r="E856" s="74" t="str">
        <f t="shared" si="473"/>
        <v>Gross Profit (LLY)</v>
      </c>
      <c r="F856" s="51">
        <f>F850-F854</f>
        <v>17008.599999999999</v>
      </c>
      <c r="G856" s="51">
        <f>G850-G854</f>
        <v>18287.8</v>
      </c>
      <c r="H856" s="51">
        <f>H850-H854</f>
        <v>19734.7</v>
      </c>
      <c r="I856" s="71"/>
      <c r="J856" s="51">
        <f t="shared" ref="J856" si="482">J850-J854</f>
        <v>19212.362845814794</v>
      </c>
      <c r="K856" s="62"/>
      <c r="L856" s="67">
        <f t="shared" si="474"/>
        <v>2.7187554096137267E-2</v>
      </c>
    </row>
    <row r="857" spans="1:12" ht="12" customHeight="1" outlineLevel="1" x14ac:dyDescent="0.25">
      <c r="A857" s="70" t="str">
        <f t="shared" si="475"/>
        <v>LLY</v>
      </c>
      <c r="B857" s="42" t="s">
        <v>348</v>
      </c>
      <c r="C857" s="46"/>
      <c r="D857" s="46"/>
      <c r="E857" s="72" t="str">
        <f t="shared" si="473"/>
        <v>Gross Profit Margin (%) (LLY)</v>
      </c>
      <c r="F857" s="47">
        <f>F856/F850</f>
        <v>0.80145697174172204</v>
      </c>
      <c r="G857" s="47">
        <f>G856/G850</f>
        <v>0.79959600022735922</v>
      </c>
      <c r="H857" s="47">
        <f>H856/H850</f>
        <v>0.80367083813534124</v>
      </c>
      <c r="I857" s="71"/>
      <c r="J857" s="47">
        <f t="shared" ref="J857" si="483">J856/J850</f>
        <v>0.798528322260046</v>
      </c>
      <c r="K857" s="62"/>
      <c r="L857" s="67">
        <f t="shared" si="474"/>
        <v>6.4399918349051788E-3</v>
      </c>
    </row>
    <row r="858" spans="1:12" ht="12" customHeight="1" outlineLevel="1" x14ac:dyDescent="0.25">
      <c r="A858" s="70" t="str">
        <f t="shared" si="475"/>
        <v>LLY</v>
      </c>
      <c r="B858" s="42" t="s">
        <v>349</v>
      </c>
      <c r="C858" s="41"/>
      <c r="D858" s="41"/>
      <c r="E858" s="40" t="str">
        <f t="shared" si="473"/>
        <v>Operating expenses (LLY)</v>
      </c>
      <c r="F858" s="48">
        <f>SUM(F896,F897)</f>
        <v>11838.3</v>
      </c>
      <c r="G858" s="48">
        <f t="shared" ref="G858:J858" si="484">SUM(G896,G897)</f>
        <v>12037.400000000001</v>
      </c>
      <c r="H858" s="48">
        <f t="shared" si="484"/>
        <v>11938.900000000001</v>
      </c>
      <c r="I858" s="71"/>
      <c r="J858" s="48">
        <f t="shared" si="484"/>
        <v>11736.991855393533</v>
      </c>
      <c r="K858" s="62"/>
      <c r="L858" s="67">
        <f t="shared" si="474"/>
        <v>1.7202716598434531E-2</v>
      </c>
    </row>
    <row r="859" spans="1:12" ht="12" customHeight="1" outlineLevel="1" x14ac:dyDescent="0.25">
      <c r="A859" s="70" t="str">
        <f t="shared" si="475"/>
        <v>LLY</v>
      </c>
      <c r="B859" s="42" t="s">
        <v>346</v>
      </c>
      <c r="C859" s="46"/>
      <c r="D859" s="46"/>
      <c r="E859" s="72" t="str">
        <f t="shared" si="473"/>
        <v>% Total Revenue (LLY)</v>
      </c>
      <c r="F859" s="50">
        <f>F858/F850</f>
        <v>0.55782886707724499</v>
      </c>
      <c r="G859" s="50">
        <f>G858/G850</f>
        <v>0.52631026657863789</v>
      </c>
      <c r="H859" s="50">
        <f>H858/H850</f>
        <v>0.48619668753079737</v>
      </c>
      <c r="I859" s="71"/>
      <c r="J859" s="50">
        <f t="shared" ref="J859" si="485">J858/J850</f>
        <v>0.48782757695568302</v>
      </c>
      <c r="K859" s="62"/>
      <c r="L859" s="67">
        <f t="shared" si="474"/>
        <v>-3.3431677541956306E-3</v>
      </c>
    </row>
    <row r="860" spans="1:12" ht="12" customHeight="1" outlineLevel="1" x14ac:dyDescent="0.25">
      <c r="A860" s="70" t="str">
        <f t="shared" si="475"/>
        <v>LLY</v>
      </c>
      <c r="B860" s="43" t="s">
        <v>350</v>
      </c>
      <c r="C860" s="44"/>
      <c r="D860" s="44"/>
      <c r="E860" s="74" t="str">
        <f t="shared" si="473"/>
        <v>Operating Profit (LLY)</v>
      </c>
      <c r="F860" s="51">
        <f>F856-F858</f>
        <v>5170.2999999999993</v>
      </c>
      <c r="G860" s="51">
        <f>G856-G858</f>
        <v>6250.3999999999978</v>
      </c>
      <c r="H860" s="51">
        <f>H856-H858</f>
        <v>7795.7999999999993</v>
      </c>
      <c r="I860" s="71"/>
      <c r="J860" s="51">
        <f t="shared" ref="J860" si="486">J856-J858</f>
        <v>7475.370990421261</v>
      </c>
      <c r="K860" s="62"/>
      <c r="L860" s="67">
        <f t="shared" si="474"/>
        <v>4.2864629727317638E-2</v>
      </c>
    </row>
    <row r="861" spans="1:12" ht="12" customHeight="1" outlineLevel="1" x14ac:dyDescent="0.25">
      <c r="A861" s="70" t="str">
        <f t="shared" si="475"/>
        <v>LLY</v>
      </c>
      <c r="B861" s="42" t="s">
        <v>351</v>
      </c>
      <c r="C861" s="46"/>
      <c r="D861" s="46"/>
      <c r="E861" s="72" t="str">
        <f t="shared" si="473"/>
        <v>Operating Profit Margin (%) (LLY)</v>
      </c>
      <c r="F861" s="47">
        <f>F860/F850</f>
        <v>0.2436281046644771</v>
      </c>
      <c r="G861" s="47">
        <f>G860/G850</f>
        <v>0.27328573364872122</v>
      </c>
      <c r="H861" s="47">
        <f>H860/H850</f>
        <v>0.31747415060454393</v>
      </c>
      <c r="I861" s="71"/>
      <c r="J861" s="47">
        <f t="shared" ref="J861" si="487">J860/J850</f>
        <v>0.31070074530436292</v>
      </c>
      <c r="K861" s="62"/>
      <c r="L861" s="67">
        <f t="shared" si="474"/>
        <v>2.1800415359627623E-2</v>
      </c>
    </row>
    <row r="862" spans="1:12" ht="12" customHeight="1" outlineLevel="1" x14ac:dyDescent="0.25">
      <c r="A862" s="70" t="str">
        <f t="shared" si="475"/>
        <v>LLY</v>
      </c>
      <c r="B862" s="42" t="s">
        <v>352</v>
      </c>
      <c r="C862" s="41"/>
      <c r="D862" s="41"/>
      <c r="E862" s="40" t="str">
        <f t="shared" si="473"/>
        <v>Total Other Expenses / (Income) (LLY)</v>
      </c>
      <c r="F862" s="52">
        <f>SUM(F898,F899,F900)</f>
        <v>299.7</v>
      </c>
      <c r="G862" s="52">
        <f t="shared" ref="G862:J862" si="488">SUM(G898,G899,G900)</f>
        <v>2485.6999999999998</v>
      </c>
      <c r="H862" s="52">
        <f t="shared" si="488"/>
        <v>2391.1</v>
      </c>
      <c r="I862" s="71"/>
      <c r="J862" s="52">
        <f t="shared" si="488"/>
        <v>1800.4</v>
      </c>
      <c r="K862" s="62"/>
      <c r="L862" s="67">
        <f t="shared" si="474"/>
        <v>0.32809375694290144</v>
      </c>
    </row>
    <row r="863" spans="1:12" ht="12" customHeight="1" outlineLevel="1" x14ac:dyDescent="0.25">
      <c r="A863" s="70" t="str">
        <f t="shared" si="475"/>
        <v>LLY</v>
      </c>
      <c r="B863" s="43" t="s">
        <v>353</v>
      </c>
      <c r="C863" s="44"/>
      <c r="D863" s="44"/>
      <c r="E863" s="74" t="str">
        <f t="shared" si="473"/>
        <v>EBITDA (LLY)</v>
      </c>
      <c r="F863" s="51">
        <f>F860-F862</f>
        <v>4870.5999999999995</v>
      </c>
      <c r="G863" s="51">
        <f>G860-G862</f>
        <v>3764.699999999998</v>
      </c>
      <c r="H863" s="51">
        <f>H860-H862</f>
        <v>5404.6999999999989</v>
      </c>
      <c r="I863" s="71"/>
      <c r="J863" s="51">
        <f t="shared" ref="J863" si="489">J860-J862</f>
        <v>5674.9709904212614</v>
      </c>
      <c r="K863" s="62"/>
      <c r="L863" s="67">
        <f t="shared" si="474"/>
        <v>-4.7625087577971903E-2</v>
      </c>
    </row>
    <row r="864" spans="1:12" ht="12" customHeight="1" outlineLevel="1" x14ac:dyDescent="0.25">
      <c r="A864" s="70" t="str">
        <f t="shared" si="475"/>
        <v>LLY</v>
      </c>
      <c r="B864" s="42" t="s">
        <v>354</v>
      </c>
      <c r="C864" s="46"/>
      <c r="D864" s="46"/>
      <c r="E864" s="72" t="str">
        <f t="shared" si="473"/>
        <v>EBITDA Margin (%) (LLY)</v>
      </c>
      <c r="F864" s="47">
        <f>F863/F850</f>
        <v>0.22950603380438317</v>
      </c>
      <c r="G864" s="47">
        <f>G863/G850</f>
        <v>0.16460367359966413</v>
      </c>
      <c r="H864" s="47">
        <f>H863/H850</f>
        <v>0.22009961027378566</v>
      </c>
      <c r="I864" s="71"/>
      <c r="J864" s="47">
        <f t="shared" ref="J864" si="490">J863/J850</f>
        <v>0.23587026230054189</v>
      </c>
      <c r="K864" s="62"/>
      <c r="L864" s="67">
        <f t="shared" si="474"/>
        <v>-6.6861552927183099E-2</v>
      </c>
    </row>
    <row r="865" spans="1:12" ht="12" customHeight="1" outlineLevel="1" x14ac:dyDescent="0.25">
      <c r="A865" s="70" t="str">
        <f t="shared" si="475"/>
        <v>LLY</v>
      </c>
      <c r="B865" s="42" t="s">
        <v>344</v>
      </c>
      <c r="C865" s="53"/>
      <c r="D865" s="53"/>
      <c r="E865" s="40" t="str">
        <f t="shared" si="473"/>
        <v>Total Depreciation &amp; Amortization (LLY)</v>
      </c>
      <c r="F865" s="49">
        <f>F853</f>
        <v>1496.6</v>
      </c>
      <c r="G865" s="49">
        <f>G853</f>
        <v>1567.3</v>
      </c>
      <c r="H865" s="49">
        <f>H853</f>
        <v>1609</v>
      </c>
      <c r="I865" s="71"/>
      <c r="J865" s="49">
        <f t="shared" ref="J865" si="491">J853</f>
        <v>1649.3756552299878</v>
      </c>
      <c r="K865" s="62"/>
      <c r="L865" s="67">
        <f t="shared" si="474"/>
        <v>-2.4479356841457633E-2</v>
      </c>
    </row>
    <row r="866" spans="1:12" ht="12" customHeight="1" outlineLevel="1" x14ac:dyDescent="0.25">
      <c r="A866" s="70" t="str">
        <f t="shared" si="475"/>
        <v>LLY</v>
      </c>
      <c r="B866" s="42" t="s">
        <v>346</v>
      </c>
      <c r="C866" s="46"/>
      <c r="D866" s="46"/>
      <c r="E866" s="72" t="str">
        <f t="shared" si="473"/>
        <v>% Total Revenue (LLY)</v>
      </c>
      <c r="F866" s="47">
        <f>F865/F850</f>
        <v>7.0520824989044439E-2</v>
      </c>
      <c r="G866" s="47">
        <f>G865/G850</f>
        <v>6.8526931132030094E-2</v>
      </c>
      <c r="H866" s="47">
        <f>H865/H850</f>
        <v>6.5524501439584285E-2</v>
      </c>
      <c r="I866" s="71"/>
      <c r="J866" s="47">
        <f t="shared" ref="J866" si="492">J865/J850</f>
        <v>6.8553419759833256E-2</v>
      </c>
      <c r="K866" s="62"/>
      <c r="L866" s="67">
        <f t="shared" si="474"/>
        <v>-4.4183329305238717E-2</v>
      </c>
    </row>
    <row r="867" spans="1:12" ht="12" customHeight="1" outlineLevel="1" x14ac:dyDescent="0.25">
      <c r="A867" s="70" t="str">
        <f t="shared" si="475"/>
        <v>LLY</v>
      </c>
      <c r="B867" s="43" t="s">
        <v>355</v>
      </c>
      <c r="C867" s="44"/>
      <c r="D867" s="44"/>
      <c r="E867" s="74" t="str">
        <f t="shared" si="473"/>
        <v>EBIT (LLY)</v>
      </c>
      <c r="F867" s="54">
        <f>F863-F865</f>
        <v>3373.9999999999995</v>
      </c>
      <c r="G867" s="54">
        <f>G863-G865</f>
        <v>2197.3999999999978</v>
      </c>
      <c r="H867" s="54">
        <f>H863-H865</f>
        <v>3795.6999999999989</v>
      </c>
      <c r="I867" s="71"/>
      <c r="J867" s="54">
        <f t="shared" ref="J867" si="493">J863-J865</f>
        <v>4025.5953351912735</v>
      </c>
      <c r="K867" s="62"/>
      <c r="L867" s="67">
        <f t="shared" si="474"/>
        <v>-5.7108406595555494E-2</v>
      </c>
    </row>
    <row r="868" spans="1:12" ht="12" customHeight="1" outlineLevel="1" x14ac:dyDescent="0.25">
      <c r="A868" s="70" t="str">
        <f t="shared" si="475"/>
        <v>LLY</v>
      </c>
      <c r="B868" s="42" t="s">
        <v>356</v>
      </c>
      <c r="C868" s="46"/>
      <c r="D868" s="46"/>
      <c r="E868" s="72" t="str">
        <f t="shared" si="473"/>
        <v>EBIT Margin (%) (LLY)</v>
      </c>
      <c r="F868" s="47">
        <f>F867/F850</f>
        <v>0.15898520881533873</v>
      </c>
      <c r="G868" s="47">
        <f>G867/G850</f>
        <v>9.6076742467634021E-2</v>
      </c>
      <c r="H868" s="47">
        <f>H867/H850</f>
        <v>0.15457510883420139</v>
      </c>
      <c r="I868" s="71"/>
      <c r="J868" s="47">
        <f t="shared" ref="J868" si="494">J867/J850</f>
        <v>0.16731684254070864</v>
      </c>
      <c r="K868" s="62"/>
      <c r="L868" s="67">
        <f t="shared" si="474"/>
        <v>-7.6153323915416071E-2</v>
      </c>
    </row>
    <row r="869" spans="1:12" ht="12" customHeight="1" outlineLevel="1" x14ac:dyDescent="0.25">
      <c r="A869" s="70" t="str">
        <f t="shared" si="475"/>
        <v>LLY</v>
      </c>
      <c r="B869" s="43" t="s">
        <v>357</v>
      </c>
      <c r="C869" s="44"/>
      <c r="D869" s="44"/>
      <c r="E869" s="74" t="str">
        <f t="shared" si="473"/>
        <v>Net Interest Expense (LLY)</v>
      </c>
      <c r="F869" s="45">
        <v>0</v>
      </c>
      <c r="G869" s="45">
        <v>0</v>
      </c>
      <c r="H869" s="45">
        <v>0</v>
      </c>
      <c r="I869" s="71"/>
      <c r="J869" s="45">
        <v>0</v>
      </c>
      <c r="K869" s="62"/>
      <c r="L869" s="67">
        <f t="shared" si="474"/>
        <v>0</v>
      </c>
    </row>
    <row r="870" spans="1:12" ht="12" customHeight="1" outlineLevel="1" x14ac:dyDescent="0.25">
      <c r="A870" s="70" t="str">
        <f t="shared" si="475"/>
        <v>LLY</v>
      </c>
      <c r="B870" s="42" t="s">
        <v>346</v>
      </c>
      <c r="C870" s="46"/>
      <c r="D870" s="46"/>
      <c r="E870" s="72" t="str">
        <f t="shared" si="473"/>
        <v>% Total Revenue (LLY)</v>
      </c>
      <c r="F870" s="47">
        <f>F869/F850</f>
        <v>0</v>
      </c>
      <c r="G870" s="47">
        <f>G869/G850</f>
        <v>0</v>
      </c>
      <c r="H870" s="47">
        <f>H869/H850</f>
        <v>0</v>
      </c>
      <c r="I870" s="71"/>
      <c r="J870" s="47">
        <f t="shared" ref="J870" si="495">J869/J850</f>
        <v>0</v>
      </c>
      <c r="K870" s="62"/>
      <c r="L870" s="67">
        <f t="shared" si="474"/>
        <v>0</v>
      </c>
    </row>
    <row r="871" spans="1:12" ht="12" customHeight="1" outlineLevel="1" x14ac:dyDescent="0.25">
      <c r="A871" s="70" t="str">
        <f t="shared" si="475"/>
        <v>LLY</v>
      </c>
      <c r="B871" s="43" t="s">
        <v>358</v>
      </c>
      <c r="C871" s="44"/>
      <c r="D871" s="44"/>
      <c r="E871" s="74" t="str">
        <f t="shared" si="473"/>
        <v>EBT (LLY)</v>
      </c>
      <c r="F871" s="54">
        <f>F867-F869</f>
        <v>3373.9999999999995</v>
      </c>
      <c r="G871" s="54">
        <f>G867-G869</f>
        <v>2197.3999999999978</v>
      </c>
      <c r="H871" s="54">
        <f>H867-H869</f>
        <v>3795.6999999999989</v>
      </c>
      <c r="I871" s="71"/>
      <c r="J871" s="54">
        <f t="shared" ref="J871" si="496">J867-J869</f>
        <v>4025.5953351912735</v>
      </c>
      <c r="K871" s="62"/>
      <c r="L871" s="67">
        <f t="shared" si="474"/>
        <v>-5.7108406595555494E-2</v>
      </c>
    </row>
    <row r="872" spans="1:12" ht="12" customHeight="1" outlineLevel="1" x14ac:dyDescent="0.25">
      <c r="A872" s="70" t="str">
        <f t="shared" si="475"/>
        <v>LLY</v>
      </c>
      <c r="B872" s="42" t="s">
        <v>359</v>
      </c>
      <c r="C872" s="46"/>
      <c r="D872" s="46"/>
      <c r="E872" s="72" t="str">
        <f t="shared" si="473"/>
        <v>EBT Margin (%) (LLY)</v>
      </c>
      <c r="F872" s="47">
        <f>F871/F850</f>
        <v>0.15898520881533873</v>
      </c>
      <c r="G872" s="47">
        <f>G871/G850</f>
        <v>9.6076742467634021E-2</v>
      </c>
      <c r="H872" s="47">
        <f>H871/H850</f>
        <v>0.15457510883420139</v>
      </c>
      <c r="I872" s="71"/>
      <c r="J872" s="47">
        <f t="shared" ref="J872" si="497">J871/J850</f>
        <v>0.16731684254070864</v>
      </c>
      <c r="K872" s="62"/>
      <c r="L872" s="67">
        <f t="shared" si="474"/>
        <v>-7.6153323915416071E-2</v>
      </c>
    </row>
    <row r="873" spans="1:12" ht="12" customHeight="1" outlineLevel="1" x14ac:dyDescent="0.25">
      <c r="A873" s="70" t="str">
        <f t="shared" si="475"/>
        <v>LLY</v>
      </c>
      <c r="B873" s="42" t="s">
        <v>360</v>
      </c>
      <c r="C873" s="41"/>
      <c r="D873" s="41"/>
      <c r="E873" s="40" t="str">
        <f t="shared" si="473"/>
        <v>Income Tax Expense (LLY)</v>
      </c>
      <c r="F873" s="55">
        <f>F903</f>
        <v>636.4</v>
      </c>
      <c r="G873" s="55">
        <f t="shared" ref="G873:J873" si="498">G903</f>
        <v>2401.5</v>
      </c>
      <c r="H873" s="55">
        <f t="shared" si="498"/>
        <v>563.70000000000005</v>
      </c>
      <c r="I873" s="71"/>
      <c r="J873" s="55">
        <f t="shared" si="498"/>
        <v>983.55906703825508</v>
      </c>
      <c r="K873" s="62"/>
      <c r="L873" s="67">
        <f t="shared" si="474"/>
        <v>-0.426877328580333</v>
      </c>
    </row>
    <row r="874" spans="1:12" ht="12" customHeight="1" outlineLevel="1" x14ac:dyDescent="0.25">
      <c r="A874" s="70" t="str">
        <f t="shared" si="475"/>
        <v>LLY</v>
      </c>
      <c r="B874" s="42" t="s">
        <v>361</v>
      </c>
      <c r="C874" s="46"/>
      <c r="D874" s="46"/>
      <c r="E874" s="72" t="str">
        <f t="shared" si="473"/>
        <v>Effective Tax Rate (%) (LLY)</v>
      </c>
      <c r="F874" s="47">
        <f>F873/F871</f>
        <v>0.18861885002963844</v>
      </c>
      <c r="G874" s="47">
        <f>G873/G871</f>
        <v>1.092882497497043</v>
      </c>
      <c r="H874" s="47">
        <f>H873/H871</f>
        <v>0.14851015622941754</v>
      </c>
      <c r="I874" s="71"/>
      <c r="J874" s="47">
        <f t="shared" ref="J874" si="499">J873/J871</f>
        <v>0.24432636297049015</v>
      </c>
      <c r="K874" s="62"/>
      <c r="L874" s="67">
        <f t="shared" si="474"/>
        <v>-0.39216483058213958</v>
      </c>
    </row>
    <row r="875" spans="1:12" ht="12" customHeight="1" outlineLevel="1" x14ac:dyDescent="0.25">
      <c r="A875" s="70" t="str">
        <f t="shared" si="475"/>
        <v>LLY</v>
      </c>
      <c r="B875" s="42" t="s">
        <v>362</v>
      </c>
      <c r="C875" s="41"/>
      <c r="D875" s="41"/>
      <c r="E875" s="40" t="str">
        <f t="shared" si="473"/>
        <v>Noncontrolling Interest (LLY)</v>
      </c>
      <c r="F875" s="52">
        <v>0</v>
      </c>
      <c r="G875" s="52">
        <v>0</v>
      </c>
      <c r="H875" s="52">
        <v>0</v>
      </c>
      <c r="I875" s="71"/>
      <c r="J875" s="52">
        <v>0</v>
      </c>
      <c r="K875" s="62"/>
      <c r="L875" s="67">
        <f t="shared" si="474"/>
        <v>0</v>
      </c>
    </row>
    <row r="876" spans="1:12" ht="12" customHeight="1" outlineLevel="1" thickBot="1" x14ac:dyDescent="0.3">
      <c r="A876" s="70" t="str">
        <f t="shared" si="475"/>
        <v>LLY</v>
      </c>
      <c r="B876" s="43" t="s">
        <v>170</v>
      </c>
      <c r="C876" s="44"/>
      <c r="D876" s="44"/>
      <c r="E876" s="74" t="str">
        <f t="shared" si="473"/>
        <v>Net Income (LLY)</v>
      </c>
      <c r="F876" s="56">
        <f>F871-SUM(F873,F875)</f>
        <v>2737.5999999999995</v>
      </c>
      <c r="G876" s="56">
        <f>G871-SUM(G873,G875)</f>
        <v>-204.10000000000218</v>
      </c>
      <c r="H876" s="56">
        <f>H871-SUM(H873,H875)</f>
        <v>3231.9999999999991</v>
      </c>
      <c r="I876" s="71"/>
      <c r="J876" s="56">
        <f t="shared" ref="J876" si="500">J871-SUM(J873,J875)</f>
        <v>3042.0362681530187</v>
      </c>
      <c r="K876" s="62"/>
      <c r="L876" s="67">
        <f t="shared" si="474"/>
        <v>6.2446241629563914E-2</v>
      </c>
    </row>
    <row r="877" spans="1:12" ht="12" customHeight="1" outlineLevel="1" thickTop="1" x14ac:dyDescent="0.25">
      <c r="A877" s="70" t="str">
        <f t="shared" si="475"/>
        <v>LLY</v>
      </c>
      <c r="B877" s="42" t="s">
        <v>363</v>
      </c>
      <c r="C877" s="46"/>
      <c r="D877" s="46"/>
      <c r="E877" s="72" t="str">
        <f t="shared" si="473"/>
        <v>Net Profit Margin (%) (LLY)</v>
      </c>
      <c r="F877" s="47">
        <f>F876/F850</f>
        <v>0.1289976015568676</v>
      </c>
      <c r="G877" s="47">
        <f>G876/G850</f>
        <v>-8.9238477917740651E-3</v>
      </c>
      <c r="H877" s="47">
        <f>H876/H850</f>
        <v>0.13161913527205493</v>
      </c>
      <c r="I877" s="71"/>
      <c r="J877" s="47">
        <f t="shared" ref="J877" si="501">J876/J850</f>
        <v>0.12643692693903114</v>
      </c>
      <c r="K877" s="62"/>
      <c r="L877" s="67">
        <f t="shared" si="474"/>
        <v>4.0986509704737495E-2</v>
      </c>
    </row>
    <row r="878" spans="1:12" ht="12" customHeight="1" outlineLevel="1" x14ac:dyDescent="0.25">
      <c r="A878" s="70" t="str">
        <f t="shared" si="475"/>
        <v>LLY</v>
      </c>
      <c r="B878" s="42"/>
      <c r="C878" s="41"/>
      <c r="D878" s="41"/>
      <c r="E878" s="40" t="str">
        <f t="shared" si="473"/>
        <v xml:space="preserve"> (LLY)</v>
      </c>
      <c r="F878" s="41"/>
      <c r="G878" s="41"/>
      <c r="H878" s="41"/>
      <c r="I878" s="71"/>
      <c r="J878" s="41"/>
      <c r="K878" s="62"/>
      <c r="L878" s="67"/>
    </row>
    <row r="879" spans="1:12" ht="12" customHeight="1" outlineLevel="1" x14ac:dyDescent="0.25">
      <c r="A879" s="70" t="str">
        <f t="shared" si="475"/>
        <v>LLY</v>
      </c>
      <c r="B879" s="42"/>
      <c r="C879" s="41"/>
      <c r="D879" s="41"/>
      <c r="E879" s="40" t="str">
        <f t="shared" si="473"/>
        <v xml:space="preserve"> (LLY)</v>
      </c>
      <c r="F879" s="41"/>
      <c r="G879" s="41"/>
      <c r="H879" s="41"/>
      <c r="I879" s="71"/>
      <c r="J879" s="41"/>
      <c r="K879" s="62"/>
      <c r="L879" s="67"/>
    </row>
    <row r="880" spans="1:12" ht="12" customHeight="1" outlineLevel="1" x14ac:dyDescent="0.25">
      <c r="A880" s="70" t="str">
        <f t="shared" si="475"/>
        <v>LLY</v>
      </c>
      <c r="B880" s="42" t="s">
        <v>364</v>
      </c>
      <c r="C880" s="41"/>
      <c r="D880" s="41"/>
      <c r="E880" s="40" t="str">
        <f t="shared" si="473"/>
        <v>Earnings Per Share (LLY)</v>
      </c>
      <c r="F880" s="41"/>
      <c r="G880" s="41"/>
      <c r="H880" s="41"/>
      <c r="I880" s="71"/>
      <c r="J880" s="41"/>
      <c r="K880" s="62"/>
      <c r="L880" s="67"/>
    </row>
    <row r="881" spans="1:13" ht="12" customHeight="1" outlineLevel="1" x14ac:dyDescent="0.25">
      <c r="A881" s="70" t="str">
        <f t="shared" si="475"/>
        <v>LLY</v>
      </c>
      <c r="B881" s="42" t="s">
        <v>365</v>
      </c>
      <c r="C881" s="57"/>
      <c r="D881" s="57"/>
      <c r="E881" s="73" t="str">
        <f t="shared" si="473"/>
        <v>Basic (LLY)</v>
      </c>
      <c r="F881" s="58">
        <f>F906</f>
        <v>2.59</v>
      </c>
      <c r="G881" s="58">
        <f t="shared" ref="G881:H881" si="502">G906</f>
        <v>-0.19</v>
      </c>
      <c r="H881" s="58">
        <f t="shared" si="502"/>
        <v>3.14</v>
      </c>
      <c r="I881" s="71"/>
      <c r="J881" s="58">
        <f t="shared" ref="J881" si="503">J906</f>
        <v>2.9563428735329484</v>
      </c>
      <c r="K881" s="62"/>
      <c r="L881" s="67">
        <f t="shared" si="474"/>
        <v>6.2123080550387622E-2</v>
      </c>
    </row>
    <row r="882" spans="1:13" ht="12" customHeight="1" outlineLevel="1" x14ac:dyDescent="0.25">
      <c r="A882" s="70" t="str">
        <f t="shared" si="475"/>
        <v>LLY</v>
      </c>
      <c r="B882" s="42" t="s">
        <v>366</v>
      </c>
      <c r="C882" s="57"/>
      <c r="D882" s="57"/>
      <c r="E882" s="73" t="str">
        <f t="shared" si="473"/>
        <v>Diluted (LLY)</v>
      </c>
      <c r="F882" s="58">
        <f>F907</f>
        <v>2.58</v>
      </c>
      <c r="G882" s="58">
        <f t="shared" ref="G882:H882" si="504">G907</f>
        <v>-0.19</v>
      </c>
      <c r="H882" s="58">
        <f t="shared" si="504"/>
        <v>3.13</v>
      </c>
      <c r="I882" s="71"/>
      <c r="J882" s="58">
        <f t="shared" ref="J882" si="505">J907</f>
        <v>2.9410749957644167</v>
      </c>
      <c r="K882" s="62"/>
      <c r="L882" s="67">
        <f t="shared" si="474"/>
        <v>6.4236717699366119E-2</v>
      </c>
    </row>
    <row r="883" spans="1:13" ht="12" customHeight="1" outlineLevel="1" x14ac:dyDescent="0.25">
      <c r="A883" s="70" t="str">
        <f t="shared" si="475"/>
        <v>LLY</v>
      </c>
      <c r="B883" s="42"/>
      <c r="C883" s="41"/>
      <c r="D883" s="41"/>
      <c r="E883" s="40" t="str">
        <f t="shared" si="473"/>
        <v xml:space="preserve"> (LLY)</v>
      </c>
      <c r="F883" s="41"/>
      <c r="G883" s="41"/>
      <c r="H883" s="41"/>
      <c r="I883" s="71"/>
      <c r="J883" s="41"/>
      <c r="K883" s="62"/>
      <c r="L883" s="67"/>
    </row>
    <row r="884" spans="1:13" ht="12" customHeight="1" outlineLevel="1" x14ac:dyDescent="0.25">
      <c r="A884" s="70" t="str">
        <f t="shared" si="475"/>
        <v>LLY</v>
      </c>
      <c r="B884" s="42" t="s">
        <v>367</v>
      </c>
      <c r="C884" s="41"/>
      <c r="D884" s="41"/>
      <c r="E884" s="40" t="str">
        <f t="shared" si="473"/>
        <v>Avg. Common Shares Outstanding (LLY)</v>
      </c>
      <c r="F884" s="41"/>
      <c r="G884" s="41"/>
      <c r="H884" s="41"/>
      <c r="I884" s="71"/>
      <c r="J884" s="41"/>
      <c r="K884" s="62"/>
      <c r="L884" s="67"/>
    </row>
    <row r="885" spans="1:13" ht="12" customHeight="1" outlineLevel="1" x14ac:dyDescent="0.25">
      <c r="A885" s="70" t="str">
        <f t="shared" si="475"/>
        <v>LLY</v>
      </c>
      <c r="B885" s="42" t="s">
        <v>365</v>
      </c>
      <c r="C885" s="41"/>
      <c r="D885" s="41"/>
      <c r="E885" s="40" t="str">
        <f t="shared" si="473"/>
        <v>Basic (LLY)</v>
      </c>
      <c r="F885" s="53">
        <f>F876/F881</f>
        <v>1056.9884169884169</v>
      </c>
      <c r="G885" s="53">
        <f>G876/G881</f>
        <v>1074.210526315801</v>
      </c>
      <c r="H885" s="53">
        <f>H876/H881</f>
        <v>1029.2993630573244</v>
      </c>
      <c r="I885" s="71"/>
      <c r="J885" s="53">
        <f t="shared" ref="J885" si="506">J876/J881</f>
        <v>1028.9862841645506</v>
      </c>
      <c r="K885" s="62"/>
      <c r="L885" s="67">
        <f t="shared" si="474"/>
        <v>3.0425953930768301E-4</v>
      </c>
    </row>
    <row r="886" spans="1:13" ht="12" customHeight="1" outlineLevel="1" x14ac:dyDescent="0.25">
      <c r="A886" s="70" t="str">
        <f t="shared" si="475"/>
        <v>LLY</v>
      </c>
      <c r="B886" s="42" t="s">
        <v>366</v>
      </c>
      <c r="C886" s="41"/>
      <c r="D886" s="41"/>
      <c r="E886" s="40" t="str">
        <f t="shared" si="473"/>
        <v>Diluted (LLY)</v>
      </c>
      <c r="F886" s="53">
        <f>F876/F882</f>
        <v>1061.0852713178292</v>
      </c>
      <c r="G886" s="53">
        <f>G876/G882</f>
        <v>1074.210526315801</v>
      </c>
      <c r="H886" s="53">
        <f>H876/H882</f>
        <v>1032.5878594249198</v>
      </c>
      <c r="I886" s="71"/>
      <c r="J886" s="53">
        <f t="shared" ref="J886" si="507">J876/J882</f>
        <v>1034.3280169781463</v>
      </c>
      <c r="K886" s="62"/>
      <c r="L886" s="67">
        <f t="shared" si="474"/>
        <v>-1.6824039614729003E-3</v>
      </c>
    </row>
    <row r="887" spans="1:13" ht="12" customHeight="1" outlineLevel="1" x14ac:dyDescent="0.25">
      <c r="B887" s="62"/>
      <c r="C887" s="62"/>
      <c r="D887" s="62"/>
      <c r="E887" s="62"/>
      <c r="F887" s="62"/>
      <c r="G887" s="62"/>
      <c r="H887" s="62"/>
      <c r="I887" s="15"/>
      <c r="J887" s="62"/>
      <c r="K887" s="62"/>
      <c r="L887" s="62"/>
    </row>
    <row r="888" spans="1:13" ht="12" customHeight="1" outlineLevel="1" x14ac:dyDescent="0.25">
      <c r="B888" s="63" t="s">
        <v>371</v>
      </c>
      <c r="C888" s="63"/>
      <c r="D888" s="63"/>
      <c r="E888" s="63"/>
      <c r="F888" s="63"/>
      <c r="G888" s="63"/>
      <c r="H888" s="63"/>
      <c r="I888" s="63"/>
      <c r="J888" s="63"/>
      <c r="K888" s="63"/>
      <c r="L888" s="64"/>
      <c r="M888" s="64"/>
    </row>
    <row r="889" spans="1:13" ht="12" hidden="1" customHeight="1" outlineLevel="2" x14ac:dyDescent="0.25">
      <c r="B889" s="1"/>
    </row>
    <row r="890" spans="1:13" ht="12" hidden="1" customHeight="1" outlineLevel="2" x14ac:dyDescent="0.25">
      <c r="B890" s="8" t="s">
        <v>57</v>
      </c>
    </row>
    <row r="891" spans="1:13" ht="12" hidden="1" customHeight="1" outlineLevel="2" x14ac:dyDescent="0.25">
      <c r="B891" s="8" t="s">
        <v>230</v>
      </c>
      <c r="F891" s="3" t="s">
        <v>4</v>
      </c>
      <c r="G891" s="3" t="s">
        <v>3</v>
      </c>
      <c r="H891" s="3" t="s">
        <v>2</v>
      </c>
      <c r="J891" s="14" t="s">
        <v>2</v>
      </c>
      <c r="L891" s="36">
        <f>MEDIAN(L893:L913)</f>
        <v>8.7781701472406937E-3</v>
      </c>
    </row>
    <row r="892" spans="1:13" ht="12" hidden="1" customHeight="1" outlineLevel="2" x14ac:dyDescent="0.25">
      <c r="B892" s="8" t="s">
        <v>5</v>
      </c>
      <c r="J892" s="15"/>
    </row>
    <row r="893" spans="1:13" ht="12" hidden="1" customHeight="1" outlineLevel="2" x14ac:dyDescent="0.25">
      <c r="B893" s="8" t="s">
        <v>58</v>
      </c>
      <c r="F893" s="3">
        <v>21222.1</v>
      </c>
      <c r="G893" s="3">
        <v>22871.3</v>
      </c>
      <c r="H893" s="3">
        <v>24555.7</v>
      </c>
      <c r="J893" s="14">
        <v>24059.713738692117</v>
      </c>
      <c r="L893" s="36">
        <f t="shared" ref="L893:L913" si="508">IF(ISERROR(H893/J893-1),0,(H893/J893-1))</f>
        <v>2.0614803097605217E-2</v>
      </c>
    </row>
    <row r="894" spans="1:13" ht="12" hidden="1" customHeight="1" outlineLevel="2" x14ac:dyDescent="0.25">
      <c r="B894" s="8" t="s">
        <v>59</v>
      </c>
      <c r="J894" s="15"/>
      <c r="L894" s="35"/>
    </row>
    <row r="895" spans="1:13" ht="12" hidden="1" customHeight="1" outlineLevel="2" x14ac:dyDescent="0.25">
      <c r="B895" s="8" t="s">
        <v>7</v>
      </c>
      <c r="F895" s="3">
        <v>5710.1</v>
      </c>
      <c r="G895" s="3">
        <v>6150.8</v>
      </c>
      <c r="H895" s="3">
        <v>6430</v>
      </c>
      <c r="J895" s="14">
        <v>6496.7265481073109</v>
      </c>
      <c r="L895" s="36">
        <f t="shared" si="508"/>
        <v>-1.0270795240219899E-2</v>
      </c>
    </row>
    <row r="896" spans="1:13" ht="12" hidden="1" customHeight="1" outlineLevel="2" x14ac:dyDescent="0.25">
      <c r="B896" s="8" t="s">
        <v>45</v>
      </c>
      <c r="F896" s="3">
        <v>5310.3</v>
      </c>
      <c r="G896" s="3">
        <v>5357.3</v>
      </c>
      <c r="H896" s="3">
        <v>5307.1</v>
      </c>
      <c r="J896" s="14">
        <v>5260.9187599939632</v>
      </c>
      <c r="L896" s="36">
        <f t="shared" si="508"/>
        <v>8.7781701472406937E-3</v>
      </c>
    </row>
    <row r="897" spans="2:12" ht="12" hidden="1" customHeight="1" outlineLevel="2" x14ac:dyDescent="0.25">
      <c r="B897" s="8" t="s">
        <v>60</v>
      </c>
      <c r="F897" s="3">
        <v>6528</v>
      </c>
      <c r="G897" s="3">
        <v>6680.1</v>
      </c>
      <c r="H897" s="3">
        <v>6631.8</v>
      </c>
      <c r="J897" s="14">
        <v>6476.0730953995699</v>
      </c>
      <c r="L897" s="36">
        <f t="shared" si="508"/>
        <v>2.4046501993786107E-2</v>
      </c>
    </row>
    <row r="898" spans="2:12" ht="12" hidden="1" customHeight="1" outlineLevel="2" x14ac:dyDescent="0.25">
      <c r="B898" s="8" t="s">
        <v>67</v>
      </c>
      <c r="F898" s="3">
        <v>30</v>
      </c>
      <c r="G898" s="3">
        <v>1112.5999999999999</v>
      </c>
      <c r="H898" s="3">
        <v>1983.9</v>
      </c>
      <c r="J898" s="14">
        <v>1654.5</v>
      </c>
      <c r="L898" s="36">
        <f t="shared" si="508"/>
        <v>0.19909338168631008</v>
      </c>
    </row>
    <row r="899" spans="2:12" ht="12" hidden="1" customHeight="1" outlineLevel="2" x14ac:dyDescent="0.25">
      <c r="B899" s="8" t="s">
        <v>308</v>
      </c>
      <c r="F899" s="3">
        <v>382.5</v>
      </c>
      <c r="G899" s="3">
        <v>1673.6</v>
      </c>
      <c r="H899" s="3">
        <v>482</v>
      </c>
      <c r="J899" s="14">
        <v>236</v>
      </c>
      <c r="L899" s="36">
        <f t="shared" si="508"/>
        <v>1.0423728813559321</v>
      </c>
    </row>
    <row r="900" spans="2:12" ht="12" hidden="1" customHeight="1" outlineLevel="2" x14ac:dyDescent="0.25">
      <c r="B900" s="8" t="s">
        <v>50</v>
      </c>
      <c r="F900" s="6">
        <v>-112.8</v>
      </c>
      <c r="G900" s="6">
        <v>-300.5</v>
      </c>
      <c r="H900" s="6">
        <v>-74.8</v>
      </c>
      <c r="J900" s="14">
        <v>-90.1</v>
      </c>
      <c r="L900" s="36">
        <f t="shared" si="508"/>
        <v>-0.16981132075471694</v>
      </c>
    </row>
    <row r="901" spans="2:12" ht="12" hidden="1" customHeight="1" outlineLevel="2" x14ac:dyDescent="0.25">
      <c r="B901" s="8" t="s">
        <v>61</v>
      </c>
      <c r="F901" s="9">
        <f>SUM(F895:F900)</f>
        <v>17848.100000000002</v>
      </c>
      <c r="G901" s="9">
        <f t="shared" ref="G901:H901" si="509">SUM(G895:G900)</f>
        <v>20673.899999999998</v>
      </c>
      <c r="H901" s="9">
        <f t="shared" si="509"/>
        <v>20760.000000000004</v>
      </c>
      <c r="J901" s="17">
        <v>20034.118403500845</v>
      </c>
      <c r="L901" s="36">
        <f t="shared" si="508"/>
        <v>3.6232270463786298E-2</v>
      </c>
    </row>
    <row r="902" spans="2:12" ht="12" hidden="1" customHeight="1" outlineLevel="2" x14ac:dyDescent="0.25">
      <c r="B902" s="8" t="s">
        <v>52</v>
      </c>
      <c r="F902" s="9">
        <f>F893-F901</f>
        <v>3373.9999999999964</v>
      </c>
      <c r="G902" s="9">
        <f t="shared" ref="G902:H902" si="510">G893-G901</f>
        <v>2197.4000000000015</v>
      </c>
      <c r="H902" s="9">
        <f t="shared" si="510"/>
        <v>3795.6999999999971</v>
      </c>
      <c r="J902" s="17">
        <v>4025.5953351912722</v>
      </c>
      <c r="L902" s="36">
        <f t="shared" si="508"/>
        <v>-5.7108406595555605E-2</v>
      </c>
    </row>
    <row r="903" spans="2:12" ht="12" hidden="1" customHeight="1" outlineLevel="2" x14ac:dyDescent="0.25">
      <c r="B903" s="8" t="s">
        <v>309</v>
      </c>
      <c r="F903" s="6">
        <v>636.4</v>
      </c>
      <c r="G903" s="6">
        <v>2401.5</v>
      </c>
      <c r="H903" s="6">
        <v>563.70000000000005</v>
      </c>
      <c r="J903" s="14">
        <v>983.55906703825508</v>
      </c>
      <c r="L903" s="36">
        <f t="shared" si="508"/>
        <v>-0.426877328580333</v>
      </c>
    </row>
    <row r="904" spans="2:12" ht="12" hidden="1" customHeight="1" outlineLevel="2" thickBot="1" x14ac:dyDescent="0.3">
      <c r="B904" s="8" t="s">
        <v>62</v>
      </c>
      <c r="F904" s="10">
        <f>F902-F903</f>
        <v>2737.5999999999963</v>
      </c>
      <c r="G904" s="10">
        <f t="shared" ref="G904:H904" si="511">G902-G903</f>
        <v>-204.09999999999854</v>
      </c>
      <c r="H904" s="10">
        <f t="shared" si="511"/>
        <v>3231.9999999999973</v>
      </c>
      <c r="J904" s="19">
        <v>3042.0362681530169</v>
      </c>
      <c r="L904" s="36">
        <f t="shared" si="508"/>
        <v>6.2446241629563914E-2</v>
      </c>
    </row>
    <row r="905" spans="2:12" ht="12" hidden="1" customHeight="1" outlineLevel="2" thickTop="1" x14ac:dyDescent="0.25">
      <c r="B905" s="8" t="s">
        <v>63</v>
      </c>
      <c r="J905" s="15"/>
      <c r="L905" s="35"/>
    </row>
    <row r="906" spans="2:12" ht="12" hidden="1" customHeight="1" outlineLevel="2" x14ac:dyDescent="0.25">
      <c r="B906" s="8" t="s">
        <v>310</v>
      </c>
      <c r="F906" s="11">
        <v>2.59</v>
      </c>
      <c r="G906" s="11">
        <v>-0.19</v>
      </c>
      <c r="H906" s="11">
        <v>3.14</v>
      </c>
      <c r="J906" s="20">
        <v>2.9563428735329484</v>
      </c>
      <c r="L906" s="36">
        <f t="shared" si="508"/>
        <v>6.2123080550387622E-2</v>
      </c>
    </row>
    <row r="907" spans="2:12" ht="12" hidden="1" customHeight="1" outlineLevel="2" x14ac:dyDescent="0.25">
      <c r="B907" s="8" t="s">
        <v>311</v>
      </c>
      <c r="F907" s="11">
        <v>2.58</v>
      </c>
      <c r="G907" s="11">
        <v>-0.19</v>
      </c>
      <c r="H907" s="11">
        <v>3.13</v>
      </c>
      <c r="J907" s="20">
        <v>2.9410749957644167</v>
      </c>
      <c r="L907" s="36">
        <f t="shared" si="508"/>
        <v>6.4236717699366119E-2</v>
      </c>
    </row>
    <row r="908" spans="2:12" ht="12" hidden="1" customHeight="1" outlineLevel="2" x14ac:dyDescent="0.25">
      <c r="B908" s="8" t="s">
        <v>64</v>
      </c>
      <c r="J908" s="15"/>
      <c r="L908" s="35"/>
    </row>
    <row r="909" spans="2:12" ht="12" hidden="1" customHeight="1" outlineLevel="2" x14ac:dyDescent="0.25">
      <c r="B909" s="8" t="s">
        <v>65</v>
      </c>
      <c r="F909" s="3">
        <v>1058.3240000000001</v>
      </c>
      <c r="G909" s="3">
        <v>1052.0229999999999</v>
      </c>
      <c r="H909" s="3">
        <v>1027.721</v>
      </c>
      <c r="J909" s="14">
        <v>1020.4</v>
      </c>
      <c r="L909" s="36">
        <f t="shared" si="508"/>
        <v>7.1746373970991151E-3</v>
      </c>
    </row>
    <row r="910" spans="2:12" ht="12" hidden="1" customHeight="1" outlineLevel="2" x14ac:dyDescent="0.25">
      <c r="B910" s="8" t="s">
        <v>66</v>
      </c>
      <c r="F910" s="3">
        <v>1061.825</v>
      </c>
      <c r="G910" s="3">
        <v>1052.0229999999999</v>
      </c>
      <c r="H910" s="3">
        <v>1033.6669999999999</v>
      </c>
      <c r="J910" s="14">
        <v>1026.3</v>
      </c>
      <c r="L910" s="36">
        <f t="shared" si="508"/>
        <v>7.1782129981485809E-3</v>
      </c>
    </row>
    <row r="911" spans="2:12" ht="12" hidden="1" customHeight="1" outlineLevel="2" x14ac:dyDescent="0.25">
      <c r="J911" s="21"/>
      <c r="L911" s="35"/>
    </row>
    <row r="912" spans="2:12" ht="12" hidden="1" customHeight="1" outlineLevel="2" x14ac:dyDescent="0.25">
      <c r="B912" s="8" t="s">
        <v>24</v>
      </c>
      <c r="F912" s="3">
        <v>1496.6</v>
      </c>
      <c r="G912" s="3">
        <v>1567.3</v>
      </c>
      <c r="H912" s="3">
        <v>1609</v>
      </c>
      <c r="J912" s="14">
        <v>1649.3756552299878</v>
      </c>
      <c r="L912" s="36">
        <f t="shared" si="508"/>
        <v>-2.4479356841457633E-2</v>
      </c>
    </row>
    <row r="913" spans="1:13" ht="12" hidden="1" customHeight="1" outlineLevel="2" x14ac:dyDescent="0.25">
      <c r="B913" s="8" t="s">
        <v>68</v>
      </c>
      <c r="F913" s="3">
        <v>-1037</v>
      </c>
      <c r="G913" s="3">
        <v>-1076.8</v>
      </c>
      <c r="H913" s="3">
        <v>-1210.5999999999999</v>
      </c>
      <c r="J913" s="14">
        <v>-1309.4576941224511</v>
      </c>
      <c r="L913" s="36">
        <f t="shared" si="508"/>
        <v>-7.5495141665269272E-2</v>
      </c>
    </row>
    <row r="914" spans="1:13" ht="12" customHeight="1" outlineLevel="1" collapsed="1" x14ac:dyDescent="0.25"/>
    <row r="915" spans="1:13" ht="12" customHeight="1" x14ac:dyDescent="0.25">
      <c r="B915" s="61" t="s">
        <v>383</v>
      </c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91" t="s">
        <v>38</v>
      </c>
    </row>
    <row r="916" spans="1:13" ht="12" customHeight="1" x14ac:dyDescent="0.25">
      <c r="B916" s="38"/>
      <c r="C916" s="15"/>
      <c r="D916" s="15"/>
      <c r="E916" s="15"/>
      <c r="F916" s="15"/>
      <c r="G916" s="15"/>
      <c r="H916" s="15"/>
      <c r="I916" s="15"/>
      <c r="J916" s="15"/>
      <c r="K916" s="62"/>
      <c r="L916" s="62"/>
    </row>
    <row r="917" spans="1:13" ht="12" customHeight="1" outlineLevel="1" x14ac:dyDescent="0.25">
      <c r="B917" s="85" t="s">
        <v>338</v>
      </c>
      <c r="C917" s="86"/>
      <c r="D917" s="86"/>
      <c r="E917" s="86"/>
      <c r="F917" s="89" t="s">
        <v>369</v>
      </c>
      <c r="G917" s="89"/>
      <c r="H917" s="90"/>
      <c r="I917" s="15"/>
      <c r="J917" s="82" t="s">
        <v>370</v>
      </c>
      <c r="K917" s="62"/>
      <c r="L917" s="68" t="s">
        <v>386</v>
      </c>
    </row>
    <row r="918" spans="1:13" ht="12" customHeight="1" outlineLevel="1" x14ac:dyDescent="0.25">
      <c r="B918" s="87"/>
      <c r="C918" s="88"/>
      <c r="D918" s="88"/>
      <c r="E918" s="88"/>
      <c r="F918" s="39">
        <f>G918-1</f>
        <v>2016</v>
      </c>
      <c r="G918" s="39">
        <f>H918-1</f>
        <v>2017</v>
      </c>
      <c r="H918" s="60">
        <f>J918</f>
        <v>2018</v>
      </c>
      <c r="I918" s="15"/>
      <c r="J918" s="81">
        <v>2018</v>
      </c>
      <c r="K918" s="62"/>
      <c r="L918" s="68" t="s">
        <v>370</v>
      </c>
    </row>
    <row r="919" spans="1:13" ht="12" customHeight="1" outlineLevel="1" x14ac:dyDescent="0.25">
      <c r="B919" s="62"/>
      <c r="C919" s="62"/>
      <c r="D919" s="62"/>
      <c r="E919" s="62"/>
      <c r="F919" s="40"/>
      <c r="G919" s="40"/>
      <c r="H919" s="40"/>
      <c r="I919" s="15"/>
      <c r="J919" s="40"/>
      <c r="K919" s="62"/>
      <c r="L919" s="62"/>
    </row>
    <row r="920" spans="1:13" ht="12" customHeight="1" outlineLevel="1" x14ac:dyDescent="0.25">
      <c r="A920" s="70" t="str">
        <f>M915</f>
        <v>ANTM</v>
      </c>
      <c r="B920" s="43" t="s">
        <v>340</v>
      </c>
      <c r="C920" s="44"/>
      <c r="D920" s="44"/>
      <c r="E920" s="74" t="str">
        <f>B920&amp;" ("&amp;A920&amp;")"</f>
        <v>Total Revenue (ANTM)</v>
      </c>
      <c r="F920" s="45">
        <f>F973</f>
        <v>84863</v>
      </c>
      <c r="G920" s="45">
        <f t="shared" ref="G920:J920" si="512">G973</f>
        <v>90040</v>
      </c>
      <c r="H920" s="45">
        <f t="shared" si="512"/>
        <v>92105</v>
      </c>
      <c r="I920" s="71"/>
      <c r="J920" s="45">
        <f t="shared" si="512"/>
        <v>92586.858885164649</v>
      </c>
      <c r="K920" s="62"/>
      <c r="L920" s="67">
        <f>IF(ISERROR(H920/J920-1),0,(H920/J920-1))</f>
        <v>-5.2043982371440256E-3</v>
      </c>
    </row>
    <row r="921" spans="1:13" ht="12" customHeight="1" outlineLevel="1" x14ac:dyDescent="0.25">
      <c r="A921" s="70" t="str">
        <f>A920</f>
        <v>ANTM</v>
      </c>
      <c r="B921" s="42" t="s">
        <v>341</v>
      </c>
      <c r="C921" s="46"/>
      <c r="D921" s="46"/>
      <c r="E921" s="72" t="str">
        <f t="shared" ref="E921:E956" si="513">B921&amp;" ("&amp;A921&amp;")"</f>
        <v>% Growth (ANTM)</v>
      </c>
      <c r="F921" s="47" t="s">
        <v>342</v>
      </c>
      <c r="G921" s="47">
        <f>G920/F920-1</f>
        <v>6.100420678034002E-2</v>
      </c>
      <c r="H921" s="47">
        <f>H920/G920-1</f>
        <v>2.2934251443802678E-2</v>
      </c>
      <c r="I921" s="71"/>
      <c r="J921" s="47">
        <f>J920/G920-1</f>
        <v>2.8285860563801002E-2</v>
      </c>
      <c r="K921" s="62"/>
      <c r="L921" s="67">
        <f t="shared" ref="L921:L956" si="514">IF(ISERROR(H921/J921-1),0,(H921/J921-1))</f>
        <v>-0.18919732379813392</v>
      </c>
    </row>
    <row r="922" spans="1:13" ht="12" customHeight="1" outlineLevel="1" x14ac:dyDescent="0.25">
      <c r="A922" s="70" t="str">
        <f t="shared" ref="A922:A956" si="515">A921</f>
        <v>ANTM</v>
      </c>
      <c r="B922" s="42" t="s">
        <v>343</v>
      </c>
      <c r="C922" s="41"/>
      <c r="D922" s="41"/>
      <c r="E922" s="40" t="str">
        <f t="shared" si="513"/>
        <v>COGS (ANTM)</v>
      </c>
      <c r="F922" s="48">
        <f>SUM(F975,F981)</f>
        <v>67026</v>
      </c>
      <c r="G922" s="48">
        <f t="shared" ref="G922:H922" si="516">SUM(G975,G981)</f>
        <v>72405</v>
      </c>
      <c r="H922" s="48">
        <f t="shared" si="516"/>
        <v>72253</v>
      </c>
      <c r="I922" s="71"/>
      <c r="J922" s="48">
        <f t="shared" ref="J922" si="517">SUM(J975,J981)</f>
        <v>72588.805765332232</v>
      </c>
      <c r="K922" s="62"/>
      <c r="L922" s="67">
        <f t="shared" si="514"/>
        <v>-4.626137071573222E-3</v>
      </c>
    </row>
    <row r="923" spans="1:13" ht="12" customHeight="1" outlineLevel="1" x14ac:dyDescent="0.25">
      <c r="A923" s="70" t="str">
        <f t="shared" si="515"/>
        <v>ANTM</v>
      </c>
      <c r="B923" s="42" t="s">
        <v>344</v>
      </c>
      <c r="C923" s="41"/>
      <c r="D923" s="41"/>
      <c r="E923" s="40" t="str">
        <f t="shared" si="513"/>
        <v>Total Depreciation &amp; Amortization (ANTM)</v>
      </c>
      <c r="F923" s="48">
        <f>SUM(F999,F1000)</f>
        <v>912</v>
      </c>
      <c r="G923" s="48">
        <f t="shared" ref="G923:H923" si="518">SUM(G999,G1000)</f>
        <v>891</v>
      </c>
      <c r="H923" s="48">
        <f t="shared" si="518"/>
        <v>1132</v>
      </c>
      <c r="I923" s="71"/>
      <c r="J923" s="48">
        <f t="shared" ref="J923" si="519">SUM(J999,J1000)</f>
        <v>1102.7733835561789</v>
      </c>
      <c r="K923" s="62"/>
      <c r="L923" s="67">
        <f t="shared" si="514"/>
        <v>2.6502830844150616E-2</v>
      </c>
    </row>
    <row r="924" spans="1:13" ht="12" customHeight="1" outlineLevel="1" x14ac:dyDescent="0.25">
      <c r="A924" s="70" t="str">
        <f t="shared" si="515"/>
        <v>ANTM</v>
      </c>
      <c r="B924" s="42" t="s">
        <v>345</v>
      </c>
      <c r="C924" s="41"/>
      <c r="D924" s="41"/>
      <c r="E924" s="40" t="str">
        <f t="shared" si="513"/>
        <v>COGS (Exclusive of D&amp;A) (ANTM)</v>
      </c>
      <c r="F924" s="49">
        <f>F922-F923</f>
        <v>66114</v>
      </c>
      <c r="G924" s="49">
        <f>G922-G923</f>
        <v>71514</v>
      </c>
      <c r="H924" s="49">
        <f>H922-H923</f>
        <v>71121</v>
      </c>
      <c r="I924" s="71"/>
      <c r="J924" s="49">
        <f t="shared" ref="J924" si="520">J922-J923</f>
        <v>71486.032381776051</v>
      </c>
      <c r="K924" s="62"/>
      <c r="L924" s="67">
        <f t="shared" si="514"/>
        <v>-5.1063455281246117E-3</v>
      </c>
    </row>
    <row r="925" spans="1:13" ht="12" customHeight="1" outlineLevel="1" x14ac:dyDescent="0.25">
      <c r="A925" s="70" t="str">
        <f t="shared" si="515"/>
        <v>ANTM</v>
      </c>
      <c r="B925" s="42" t="s">
        <v>346</v>
      </c>
      <c r="C925" s="46"/>
      <c r="D925" s="46"/>
      <c r="E925" s="72" t="str">
        <f t="shared" si="513"/>
        <v>% Total Revenue (ANTM)</v>
      </c>
      <c r="F925" s="50">
        <f>F924/F920</f>
        <v>0.779067438106124</v>
      </c>
      <c r="G925" s="50">
        <f>G924/G920</f>
        <v>0.79424700133274095</v>
      </c>
      <c r="H925" s="50">
        <f>H924/H920</f>
        <v>0.77217306335160962</v>
      </c>
      <c r="I925" s="71"/>
      <c r="J925" s="50">
        <f t="shared" ref="J925" si="521">J924/J920</f>
        <v>0.77209696108645476</v>
      </c>
      <c r="K925" s="62"/>
      <c r="L925" s="67">
        <f t="shared" si="514"/>
        <v>9.8565684091944661E-5</v>
      </c>
    </row>
    <row r="926" spans="1:13" ht="12" customHeight="1" outlineLevel="1" x14ac:dyDescent="0.25">
      <c r="A926" s="70" t="str">
        <f t="shared" si="515"/>
        <v>ANTM</v>
      </c>
      <c r="B926" s="43" t="s">
        <v>347</v>
      </c>
      <c r="C926" s="44"/>
      <c r="D926" s="44"/>
      <c r="E926" s="74" t="str">
        <f t="shared" si="513"/>
        <v>Gross Profit (ANTM)</v>
      </c>
      <c r="F926" s="51">
        <f>F920-F924</f>
        <v>18749</v>
      </c>
      <c r="G926" s="51">
        <f>G920-G924</f>
        <v>18526</v>
      </c>
      <c r="H926" s="51">
        <f>H920-H924</f>
        <v>20984</v>
      </c>
      <c r="I926" s="71"/>
      <c r="J926" s="51">
        <f t="shared" ref="J926" si="522">J920-J924</f>
        <v>21100.826503388598</v>
      </c>
      <c r="K926" s="62"/>
      <c r="L926" s="67">
        <f t="shared" si="514"/>
        <v>-5.5365842361595474E-3</v>
      </c>
    </row>
    <row r="927" spans="1:13" ht="12" customHeight="1" outlineLevel="1" x14ac:dyDescent="0.25">
      <c r="A927" s="70" t="str">
        <f t="shared" si="515"/>
        <v>ANTM</v>
      </c>
      <c r="B927" s="42" t="s">
        <v>348</v>
      </c>
      <c r="C927" s="46"/>
      <c r="D927" s="46"/>
      <c r="E927" s="72" t="str">
        <f t="shared" si="513"/>
        <v>Gross Profit Margin (%) (ANTM)</v>
      </c>
      <c r="F927" s="47">
        <f>F926/F920</f>
        <v>0.220932561893876</v>
      </c>
      <c r="G927" s="47">
        <f>G926/G920</f>
        <v>0.20575299866725899</v>
      </c>
      <c r="H927" s="47">
        <f>H926/H920</f>
        <v>0.22782693664839043</v>
      </c>
      <c r="I927" s="71"/>
      <c r="J927" s="47">
        <f t="shared" ref="J927" si="523">J926/J920</f>
        <v>0.22790303891354521</v>
      </c>
      <c r="K927" s="62"/>
      <c r="L927" s="67">
        <f t="shared" si="514"/>
        <v>-3.339238718254034E-4</v>
      </c>
    </row>
    <row r="928" spans="1:13" ht="12" customHeight="1" outlineLevel="1" x14ac:dyDescent="0.25">
      <c r="A928" s="70" t="str">
        <f t="shared" si="515"/>
        <v>ANTM</v>
      </c>
      <c r="B928" s="42" t="s">
        <v>349</v>
      </c>
      <c r="C928" s="41"/>
      <c r="D928" s="41"/>
      <c r="E928" s="40" t="str">
        <f t="shared" si="513"/>
        <v>Operating expenses (ANTM)</v>
      </c>
      <c r="F928" s="48">
        <f>SUM(F977,F978)</f>
        <v>12559</v>
      </c>
      <c r="G928" s="48">
        <f t="shared" ref="G928:J928" si="524">SUM(G977,G978)</f>
        <v>12650</v>
      </c>
      <c r="H928" s="48">
        <f t="shared" si="524"/>
        <v>14020</v>
      </c>
      <c r="I928" s="71"/>
      <c r="J928" s="48">
        <f t="shared" si="524"/>
        <v>13950.761514095331</v>
      </c>
      <c r="K928" s="62"/>
      <c r="L928" s="67">
        <f t="shared" si="514"/>
        <v>4.9630613952300617E-3</v>
      </c>
    </row>
    <row r="929" spans="1:12" ht="12" customHeight="1" outlineLevel="1" x14ac:dyDescent="0.25">
      <c r="A929" s="70" t="str">
        <f t="shared" si="515"/>
        <v>ANTM</v>
      </c>
      <c r="B929" s="42" t="s">
        <v>346</v>
      </c>
      <c r="C929" s="46"/>
      <c r="D929" s="46"/>
      <c r="E929" s="72" t="str">
        <f t="shared" si="513"/>
        <v>% Total Revenue (ANTM)</v>
      </c>
      <c r="F929" s="50">
        <f>F928/F920</f>
        <v>0.14799146860233553</v>
      </c>
      <c r="G929" s="50">
        <f>G928/G920</f>
        <v>0.14049311417147933</v>
      </c>
      <c r="H929" s="50">
        <f>H928/H920</f>
        <v>0.15221757776450789</v>
      </c>
      <c r="I929" s="71"/>
      <c r="J929" s="50">
        <f t="shared" ref="J929" si="525">J928/J920</f>
        <v>0.15067755491520066</v>
      </c>
      <c r="K929" s="62"/>
      <c r="L929" s="67">
        <f t="shared" si="514"/>
        <v>1.022065197549793E-2</v>
      </c>
    </row>
    <row r="930" spans="1:12" ht="12" customHeight="1" outlineLevel="1" x14ac:dyDescent="0.25">
      <c r="A930" s="70" t="str">
        <f t="shared" si="515"/>
        <v>ANTM</v>
      </c>
      <c r="B930" s="43" t="s">
        <v>350</v>
      </c>
      <c r="C930" s="44"/>
      <c r="D930" s="44"/>
      <c r="E930" s="74" t="str">
        <f t="shared" si="513"/>
        <v>Operating Profit (ANTM)</v>
      </c>
      <c r="F930" s="51">
        <f>F926-F928</f>
        <v>6190</v>
      </c>
      <c r="G930" s="51">
        <f>G926-G928</f>
        <v>5876</v>
      </c>
      <c r="H930" s="51">
        <f>H926-H928</f>
        <v>6964</v>
      </c>
      <c r="I930" s="71"/>
      <c r="J930" s="51">
        <f t="shared" ref="J930" si="526">J926-J928</f>
        <v>7150.064989293267</v>
      </c>
      <c r="K930" s="62"/>
      <c r="L930" s="67">
        <f t="shared" si="514"/>
        <v>-2.6022838893336897E-2</v>
      </c>
    </row>
    <row r="931" spans="1:12" ht="12" customHeight="1" outlineLevel="1" x14ac:dyDescent="0.25">
      <c r="A931" s="70" t="str">
        <f t="shared" si="515"/>
        <v>ANTM</v>
      </c>
      <c r="B931" s="42" t="s">
        <v>351</v>
      </c>
      <c r="C931" s="46"/>
      <c r="D931" s="46"/>
      <c r="E931" s="72" t="str">
        <f t="shared" si="513"/>
        <v>Operating Profit Margin (%) (ANTM)</v>
      </c>
      <c r="F931" s="47">
        <f>F930/F920</f>
        <v>7.2941093291540485E-2</v>
      </c>
      <c r="G931" s="47">
        <f>G930/G920</f>
        <v>6.5259884495779658E-2</v>
      </c>
      <c r="H931" s="47">
        <f>H930/H920</f>
        <v>7.5609358883882524E-2</v>
      </c>
      <c r="I931" s="71"/>
      <c r="J931" s="47">
        <f t="shared" ref="J931" si="527">J930/J920</f>
        <v>7.7225483998344543E-2</v>
      </c>
      <c r="K931" s="62"/>
      <c r="L931" s="67">
        <f t="shared" si="514"/>
        <v>-2.0927354945378673E-2</v>
      </c>
    </row>
    <row r="932" spans="1:12" ht="12" customHeight="1" outlineLevel="1" x14ac:dyDescent="0.25">
      <c r="A932" s="70" t="str">
        <f t="shared" si="515"/>
        <v>ANTM</v>
      </c>
      <c r="B932" s="42" t="s">
        <v>352</v>
      </c>
      <c r="C932" s="41"/>
      <c r="D932" s="41"/>
      <c r="E932" s="40" t="str">
        <f t="shared" si="513"/>
        <v>Total Other Expenses / (Income) (ANTM)</v>
      </c>
      <c r="F932" s="52">
        <f>SUM(F982,F987)</f>
        <v>0</v>
      </c>
      <c r="G932" s="52">
        <f t="shared" ref="G932:J932" si="528">SUM(G982,G987)</f>
        <v>282</v>
      </c>
      <c r="H932" s="52">
        <f t="shared" si="528"/>
        <v>11</v>
      </c>
      <c r="I932" s="71"/>
      <c r="J932" s="52">
        <f t="shared" si="528"/>
        <v>17.200000000000003</v>
      </c>
      <c r="K932" s="62"/>
      <c r="L932" s="67">
        <f t="shared" si="514"/>
        <v>-0.36046511627906985</v>
      </c>
    </row>
    <row r="933" spans="1:12" ht="12" customHeight="1" outlineLevel="1" x14ac:dyDescent="0.25">
      <c r="A933" s="70" t="str">
        <f t="shared" si="515"/>
        <v>ANTM</v>
      </c>
      <c r="B933" s="43" t="s">
        <v>353</v>
      </c>
      <c r="C933" s="44"/>
      <c r="D933" s="44"/>
      <c r="E933" s="74" t="str">
        <f t="shared" si="513"/>
        <v>EBITDA (ANTM)</v>
      </c>
      <c r="F933" s="51">
        <f>F930-F932</f>
        <v>6190</v>
      </c>
      <c r="G933" s="51">
        <f>G930-G932</f>
        <v>5594</v>
      </c>
      <c r="H933" s="51">
        <f>H930-H932</f>
        <v>6953</v>
      </c>
      <c r="I933" s="71"/>
      <c r="J933" s="51">
        <f t="shared" ref="J933" si="529">J930-J932</f>
        <v>7132.8649892932672</v>
      </c>
      <c r="K933" s="62"/>
      <c r="L933" s="67">
        <f t="shared" si="514"/>
        <v>-2.5216373724057939E-2</v>
      </c>
    </row>
    <row r="934" spans="1:12" ht="12" customHeight="1" outlineLevel="1" x14ac:dyDescent="0.25">
      <c r="A934" s="70" t="str">
        <f t="shared" si="515"/>
        <v>ANTM</v>
      </c>
      <c r="B934" s="42" t="s">
        <v>354</v>
      </c>
      <c r="C934" s="46"/>
      <c r="D934" s="46"/>
      <c r="E934" s="72" t="str">
        <f t="shared" si="513"/>
        <v>EBITDA Margin (%) (ANTM)</v>
      </c>
      <c r="F934" s="47">
        <f>F933/F920</f>
        <v>7.2941093291540485E-2</v>
      </c>
      <c r="G934" s="47">
        <f>G933/G920</f>
        <v>6.2127943136383833E-2</v>
      </c>
      <c r="H934" s="47">
        <f>H933/H920</f>
        <v>7.5489929971228484E-2</v>
      </c>
      <c r="I934" s="71"/>
      <c r="J934" s="47">
        <f t="shared" ref="J934" si="530">J933/J920</f>
        <v>7.7039712494622478E-2</v>
      </c>
      <c r="K934" s="62"/>
      <c r="L934" s="67">
        <f t="shared" si="514"/>
        <v>-2.0116670652193469E-2</v>
      </c>
    </row>
    <row r="935" spans="1:12" ht="12" customHeight="1" outlineLevel="1" x14ac:dyDescent="0.25">
      <c r="A935" s="70" t="str">
        <f t="shared" si="515"/>
        <v>ANTM</v>
      </c>
      <c r="B935" s="42" t="s">
        <v>344</v>
      </c>
      <c r="C935" s="53"/>
      <c r="D935" s="53"/>
      <c r="E935" s="40" t="str">
        <f t="shared" si="513"/>
        <v>Total Depreciation &amp; Amortization (ANTM)</v>
      </c>
      <c r="F935" s="49">
        <f>F923</f>
        <v>912</v>
      </c>
      <c r="G935" s="49">
        <f>G923</f>
        <v>891</v>
      </c>
      <c r="H935" s="49">
        <f>H923</f>
        <v>1132</v>
      </c>
      <c r="I935" s="71"/>
      <c r="J935" s="49">
        <f t="shared" ref="J935" si="531">J923</f>
        <v>1102.7733835561789</v>
      </c>
      <c r="K935" s="62"/>
      <c r="L935" s="67">
        <f t="shared" si="514"/>
        <v>2.6502830844150616E-2</v>
      </c>
    </row>
    <row r="936" spans="1:12" ht="12" customHeight="1" outlineLevel="1" x14ac:dyDescent="0.25">
      <c r="A936" s="70" t="str">
        <f t="shared" si="515"/>
        <v>ANTM</v>
      </c>
      <c r="B936" s="42" t="s">
        <v>346</v>
      </c>
      <c r="C936" s="46"/>
      <c r="D936" s="46"/>
      <c r="E936" s="72" t="str">
        <f t="shared" si="513"/>
        <v>% Total Revenue (ANTM)</v>
      </c>
      <c r="F936" s="47">
        <f>F935/F920</f>
        <v>1.0746732969609842E-2</v>
      </c>
      <c r="G936" s="47">
        <f>G935/G920</f>
        <v>9.8956019546868057E-3</v>
      </c>
      <c r="H936" s="47">
        <f>H935/H920</f>
        <v>1.2290320829488085E-2</v>
      </c>
      <c r="I936" s="71"/>
      <c r="J936" s="47">
        <f t="shared" ref="J936" si="532">J935/J920</f>
        <v>1.1910690100459583E-2</v>
      </c>
      <c r="K936" s="62"/>
      <c r="L936" s="67">
        <f t="shared" si="514"/>
        <v>3.1873109435854863E-2</v>
      </c>
    </row>
    <row r="937" spans="1:12" ht="12" customHeight="1" outlineLevel="1" x14ac:dyDescent="0.25">
      <c r="A937" s="70" t="str">
        <f t="shared" si="515"/>
        <v>ANTM</v>
      </c>
      <c r="B937" s="43" t="s">
        <v>355</v>
      </c>
      <c r="C937" s="44"/>
      <c r="D937" s="44"/>
      <c r="E937" s="74" t="str">
        <f t="shared" si="513"/>
        <v>EBIT (ANTM)</v>
      </c>
      <c r="F937" s="54">
        <f>F933-F935</f>
        <v>5278</v>
      </c>
      <c r="G937" s="54">
        <f>G933-G935</f>
        <v>4703</v>
      </c>
      <c r="H937" s="54">
        <f>H933-H935</f>
        <v>5821</v>
      </c>
      <c r="I937" s="71"/>
      <c r="J937" s="54">
        <f t="shared" ref="J937" si="533">J933-J935</f>
        <v>6030.0916057370887</v>
      </c>
      <c r="K937" s="62"/>
      <c r="L937" s="67">
        <f t="shared" si="514"/>
        <v>-3.467469806564083E-2</v>
      </c>
    </row>
    <row r="938" spans="1:12" ht="12" customHeight="1" outlineLevel="1" x14ac:dyDescent="0.25">
      <c r="A938" s="70" t="str">
        <f t="shared" si="515"/>
        <v>ANTM</v>
      </c>
      <c r="B938" s="42" t="s">
        <v>356</v>
      </c>
      <c r="C938" s="46"/>
      <c r="D938" s="46"/>
      <c r="E938" s="72" t="str">
        <f t="shared" si="513"/>
        <v>EBIT Margin (%) (ANTM)</v>
      </c>
      <c r="F938" s="47">
        <f>F937/F920</f>
        <v>6.2194360321930639E-2</v>
      </c>
      <c r="G938" s="47">
        <f>G937/G920</f>
        <v>5.223234118169702E-2</v>
      </c>
      <c r="H938" s="47">
        <f>H937/H920</f>
        <v>6.3199609141740401E-2</v>
      </c>
      <c r="I938" s="71"/>
      <c r="J938" s="47">
        <f t="shared" ref="J938" si="534">J937/J920</f>
        <v>6.5129022394162905E-2</v>
      </c>
      <c r="K938" s="62"/>
      <c r="L938" s="67">
        <f t="shared" si="514"/>
        <v>-2.9624477406487659E-2</v>
      </c>
    </row>
    <row r="939" spans="1:12" ht="12" customHeight="1" outlineLevel="1" x14ac:dyDescent="0.25">
      <c r="A939" s="70" t="str">
        <f t="shared" si="515"/>
        <v>ANTM</v>
      </c>
      <c r="B939" s="43" t="s">
        <v>357</v>
      </c>
      <c r="C939" s="44"/>
      <c r="D939" s="44"/>
      <c r="E939" s="74" t="str">
        <f t="shared" si="513"/>
        <v>Net Interest Expense (ANTM)</v>
      </c>
      <c r="F939" s="45">
        <f>F980</f>
        <v>723</v>
      </c>
      <c r="G939" s="45">
        <f t="shared" ref="G939:J939" si="535">G980</f>
        <v>739</v>
      </c>
      <c r="H939" s="45">
        <f t="shared" si="535"/>
        <v>753</v>
      </c>
      <c r="I939" s="71"/>
      <c r="J939" s="45">
        <f t="shared" si="535"/>
        <v>759.82955088284643</v>
      </c>
      <c r="K939" s="62"/>
      <c r="L939" s="67">
        <f t="shared" si="514"/>
        <v>-8.9882670066084858E-3</v>
      </c>
    </row>
    <row r="940" spans="1:12" ht="12" customHeight="1" outlineLevel="1" x14ac:dyDescent="0.25">
      <c r="A940" s="70" t="str">
        <f t="shared" si="515"/>
        <v>ANTM</v>
      </c>
      <c r="B940" s="42" t="s">
        <v>346</v>
      </c>
      <c r="C940" s="46"/>
      <c r="D940" s="46"/>
      <c r="E940" s="72" t="str">
        <f t="shared" si="513"/>
        <v>% Total Revenue (ANTM)</v>
      </c>
      <c r="F940" s="47">
        <f>F939/F920</f>
        <v>8.519613966039381E-3</v>
      </c>
      <c r="G940" s="47">
        <f>G939/G920</f>
        <v>8.20746334962239E-3</v>
      </c>
      <c r="H940" s="47">
        <f>H939/H920</f>
        <v>8.1754519298626576E-3</v>
      </c>
      <c r="I940" s="71"/>
      <c r="J940" s="47">
        <f t="shared" ref="J940" si="536">J939/J920</f>
        <v>8.2066673395331611E-3</v>
      </c>
      <c r="K940" s="62"/>
      <c r="L940" s="67">
        <f t="shared" si="514"/>
        <v>-3.8036645545668213E-3</v>
      </c>
    </row>
    <row r="941" spans="1:12" ht="12" customHeight="1" outlineLevel="1" x14ac:dyDescent="0.25">
      <c r="A941" s="70" t="str">
        <f t="shared" si="515"/>
        <v>ANTM</v>
      </c>
      <c r="B941" s="43" t="s">
        <v>358</v>
      </c>
      <c r="C941" s="44"/>
      <c r="D941" s="44"/>
      <c r="E941" s="74" t="str">
        <f t="shared" si="513"/>
        <v>EBT (ANTM)</v>
      </c>
      <c r="F941" s="54">
        <f>F937-F939</f>
        <v>4555</v>
      </c>
      <c r="G941" s="54">
        <f>G937-G939</f>
        <v>3964</v>
      </c>
      <c r="H941" s="54">
        <f>H937-H939</f>
        <v>5068</v>
      </c>
      <c r="I941" s="71"/>
      <c r="J941" s="54">
        <f t="shared" ref="J941" si="537">J937-J939</f>
        <v>5270.2620548542418</v>
      </c>
      <c r="K941" s="62"/>
      <c r="L941" s="67">
        <f t="shared" si="514"/>
        <v>-3.8377988181431233E-2</v>
      </c>
    </row>
    <row r="942" spans="1:12" ht="12" customHeight="1" outlineLevel="1" x14ac:dyDescent="0.25">
      <c r="A942" s="70" t="str">
        <f t="shared" si="515"/>
        <v>ANTM</v>
      </c>
      <c r="B942" s="42" t="s">
        <v>359</v>
      </c>
      <c r="C942" s="46"/>
      <c r="D942" s="46"/>
      <c r="E942" s="72" t="str">
        <f t="shared" si="513"/>
        <v>EBT Margin (%) (ANTM)</v>
      </c>
      <c r="F942" s="47">
        <f>F941/F920</f>
        <v>5.3674746355891263E-2</v>
      </c>
      <c r="G942" s="47">
        <f>G941/G920</f>
        <v>4.4024877832074635E-2</v>
      </c>
      <c r="H942" s="47">
        <f>H941/H920</f>
        <v>5.5024157211877749E-2</v>
      </c>
      <c r="I942" s="71"/>
      <c r="J942" s="47">
        <f t="shared" ref="J942" si="538">J941/J920</f>
        <v>5.6922355054629732E-2</v>
      </c>
      <c r="K942" s="62"/>
      <c r="L942" s="67">
        <f t="shared" si="514"/>
        <v>-3.3347141750024845E-2</v>
      </c>
    </row>
    <row r="943" spans="1:12" ht="12" customHeight="1" outlineLevel="1" x14ac:dyDescent="0.25">
      <c r="A943" s="70" t="str">
        <f t="shared" si="515"/>
        <v>ANTM</v>
      </c>
      <c r="B943" s="42" t="s">
        <v>360</v>
      </c>
      <c r="C943" s="41"/>
      <c r="D943" s="41"/>
      <c r="E943" s="40" t="str">
        <f t="shared" si="513"/>
        <v>Income Tax Expense (ANTM)</v>
      </c>
      <c r="F943" s="55">
        <f>F985</f>
        <v>2085</v>
      </c>
      <c r="G943" s="55">
        <f t="shared" ref="G943:J943" si="539">G985</f>
        <v>121</v>
      </c>
      <c r="H943" s="55">
        <f t="shared" si="539"/>
        <v>1318</v>
      </c>
      <c r="I943" s="71"/>
      <c r="J943" s="55">
        <f t="shared" si="539"/>
        <v>1475.3509602960692</v>
      </c>
      <c r="K943" s="62"/>
      <c r="L943" s="67">
        <f t="shared" si="514"/>
        <v>-0.10665324016496547</v>
      </c>
    </row>
    <row r="944" spans="1:12" ht="12" customHeight="1" outlineLevel="1" x14ac:dyDescent="0.25">
      <c r="A944" s="70" t="str">
        <f t="shared" si="515"/>
        <v>ANTM</v>
      </c>
      <c r="B944" s="42" t="s">
        <v>361</v>
      </c>
      <c r="C944" s="46"/>
      <c r="D944" s="46"/>
      <c r="E944" s="72" t="str">
        <f t="shared" si="513"/>
        <v>Effective Tax Rate (%) (ANTM)</v>
      </c>
      <c r="F944" s="47">
        <f>F943/F941</f>
        <v>0.45773874862788144</v>
      </c>
      <c r="G944" s="47">
        <f>G943/G941</f>
        <v>3.0524722502522705E-2</v>
      </c>
      <c r="H944" s="47">
        <f>H943/H941</f>
        <v>0.26006314127861091</v>
      </c>
      <c r="I944" s="71"/>
      <c r="J944" s="47">
        <f t="shared" ref="J944" si="540">J943/J941</f>
        <v>0.27993882371317352</v>
      </c>
      <c r="K944" s="62"/>
      <c r="L944" s="67">
        <f t="shared" si="514"/>
        <v>-7.1000092702137363E-2</v>
      </c>
    </row>
    <row r="945" spans="1:13" ht="12" customHeight="1" outlineLevel="1" x14ac:dyDescent="0.25">
      <c r="A945" s="70" t="str">
        <f t="shared" si="515"/>
        <v>ANTM</v>
      </c>
      <c r="B945" s="42" t="s">
        <v>362</v>
      </c>
      <c r="C945" s="41"/>
      <c r="D945" s="41"/>
      <c r="E945" s="40" t="str">
        <f t="shared" si="513"/>
        <v>Noncontrolling Interest (ANTM)</v>
      </c>
      <c r="F945" s="52">
        <v>0</v>
      </c>
      <c r="G945" s="52">
        <v>0</v>
      </c>
      <c r="H945" s="52">
        <v>0</v>
      </c>
      <c r="I945" s="71"/>
      <c r="J945" s="52">
        <v>0</v>
      </c>
      <c r="K945" s="62"/>
      <c r="L945" s="67">
        <f t="shared" si="514"/>
        <v>0</v>
      </c>
    </row>
    <row r="946" spans="1:13" ht="12" customHeight="1" outlineLevel="1" thickBot="1" x14ac:dyDescent="0.3">
      <c r="A946" s="70" t="str">
        <f t="shared" si="515"/>
        <v>ANTM</v>
      </c>
      <c r="B946" s="43" t="s">
        <v>170</v>
      </c>
      <c r="C946" s="44"/>
      <c r="D946" s="44"/>
      <c r="E946" s="74" t="str">
        <f t="shared" si="513"/>
        <v>Net Income (ANTM)</v>
      </c>
      <c r="F946" s="56">
        <f>F941-SUM(F943,F945)</f>
        <v>2470</v>
      </c>
      <c r="G946" s="56">
        <f>G941-SUM(G943,G945)</f>
        <v>3843</v>
      </c>
      <c r="H946" s="56">
        <f>H941-SUM(H943,H945)</f>
        <v>3750</v>
      </c>
      <c r="I946" s="71"/>
      <c r="J946" s="56">
        <f t="shared" ref="J946" si="541">J941-SUM(J943,J945)</f>
        <v>3794.9110945581724</v>
      </c>
      <c r="K946" s="62"/>
      <c r="L946" s="67">
        <f t="shared" si="514"/>
        <v>-1.1834557764099918E-2</v>
      </c>
    </row>
    <row r="947" spans="1:13" ht="12" customHeight="1" outlineLevel="1" thickTop="1" x14ac:dyDescent="0.25">
      <c r="A947" s="70" t="str">
        <f t="shared" si="515"/>
        <v>ANTM</v>
      </c>
      <c r="B947" s="42" t="s">
        <v>363</v>
      </c>
      <c r="C947" s="46"/>
      <c r="D947" s="46"/>
      <c r="E947" s="72" t="str">
        <f t="shared" si="513"/>
        <v>Net Profit Margin (%) (ANTM)</v>
      </c>
      <c r="F947" s="47">
        <f>F946/F920</f>
        <v>2.9105735126026655E-2</v>
      </c>
      <c r="G947" s="47">
        <f>G946/G920</f>
        <v>4.2681030653043094E-2</v>
      </c>
      <c r="H947" s="47">
        <f>H946/H920</f>
        <v>4.0714402041148692E-2</v>
      </c>
      <c r="I947" s="71"/>
      <c r="J947" s="47">
        <f t="shared" ref="J947" si="542">J946/J920</f>
        <v>4.0987577937653064E-2</v>
      </c>
      <c r="K947" s="62"/>
      <c r="L947" s="67">
        <f t="shared" si="514"/>
        <v>-6.6648460399368892E-3</v>
      </c>
    </row>
    <row r="948" spans="1:13" ht="12" customHeight="1" outlineLevel="1" x14ac:dyDescent="0.25">
      <c r="A948" s="70" t="str">
        <f t="shared" si="515"/>
        <v>ANTM</v>
      </c>
      <c r="B948" s="42"/>
      <c r="C948" s="41"/>
      <c r="D948" s="41"/>
      <c r="E948" s="40" t="str">
        <f t="shared" si="513"/>
        <v xml:space="preserve"> (ANTM)</v>
      </c>
      <c r="F948" s="41"/>
      <c r="G948" s="41"/>
      <c r="H948" s="41"/>
      <c r="I948" s="71"/>
      <c r="J948" s="41"/>
      <c r="K948" s="62"/>
      <c r="L948" s="67"/>
    </row>
    <row r="949" spans="1:13" ht="12" customHeight="1" outlineLevel="1" x14ac:dyDescent="0.25">
      <c r="A949" s="70" t="str">
        <f t="shared" si="515"/>
        <v>ANTM</v>
      </c>
      <c r="B949" s="42"/>
      <c r="C949" s="41"/>
      <c r="D949" s="41"/>
      <c r="E949" s="40" t="str">
        <f t="shared" si="513"/>
        <v xml:space="preserve"> (ANTM)</v>
      </c>
      <c r="F949" s="41"/>
      <c r="G949" s="41"/>
      <c r="H949" s="41"/>
      <c r="I949" s="71"/>
      <c r="J949" s="41"/>
      <c r="K949" s="62"/>
      <c r="L949" s="67"/>
    </row>
    <row r="950" spans="1:13" ht="12" customHeight="1" outlineLevel="1" x14ac:dyDescent="0.25">
      <c r="A950" s="70" t="str">
        <f t="shared" si="515"/>
        <v>ANTM</v>
      </c>
      <c r="B950" s="42" t="s">
        <v>364</v>
      </c>
      <c r="C950" s="41"/>
      <c r="D950" s="41"/>
      <c r="E950" s="40" t="str">
        <f t="shared" si="513"/>
        <v>Earnings Per Share (ANTM)</v>
      </c>
      <c r="F950" s="41"/>
      <c r="G950" s="41"/>
      <c r="H950" s="41"/>
      <c r="I950" s="71"/>
      <c r="J950" s="41"/>
      <c r="K950" s="62"/>
      <c r="L950" s="67"/>
    </row>
    <row r="951" spans="1:13" ht="12" customHeight="1" outlineLevel="1" x14ac:dyDescent="0.25">
      <c r="A951" s="70" t="str">
        <f t="shared" si="515"/>
        <v>ANTM</v>
      </c>
      <c r="B951" s="42" t="s">
        <v>365</v>
      </c>
      <c r="C951" s="57"/>
      <c r="D951" s="57"/>
      <c r="E951" s="73" t="str">
        <f t="shared" si="513"/>
        <v>Basic (ANTM)</v>
      </c>
      <c r="F951" s="58">
        <f>F992</f>
        <v>9.39</v>
      </c>
      <c r="G951" s="58">
        <f t="shared" ref="G951:H951" si="543">G992</f>
        <v>14.7</v>
      </c>
      <c r="H951" s="58">
        <f t="shared" si="543"/>
        <v>14.53</v>
      </c>
      <c r="I951" s="71"/>
      <c r="J951" s="58">
        <f t="shared" ref="J951" si="544">J992</f>
        <v>14.707646926942951</v>
      </c>
      <c r="K951" s="62"/>
      <c r="L951" s="67">
        <f t="shared" si="514"/>
        <v>-1.2078541715433766E-2</v>
      </c>
    </row>
    <row r="952" spans="1:13" ht="12" customHeight="1" outlineLevel="1" x14ac:dyDescent="0.25">
      <c r="A952" s="70" t="str">
        <f t="shared" si="515"/>
        <v>ANTM</v>
      </c>
      <c r="B952" s="42" t="s">
        <v>366</v>
      </c>
      <c r="C952" s="57"/>
      <c r="D952" s="57"/>
      <c r="E952" s="73" t="str">
        <f t="shared" si="513"/>
        <v>Diluted (ANTM)</v>
      </c>
      <c r="F952" s="58">
        <f>F996</f>
        <v>9.2100000000000009</v>
      </c>
      <c r="G952" s="58">
        <f t="shared" ref="G952:H952" si="545">G996</f>
        <v>14.35</v>
      </c>
      <c r="H952" s="58">
        <f t="shared" si="545"/>
        <v>14.19</v>
      </c>
      <c r="I952" s="71"/>
      <c r="J952" s="58">
        <f t="shared" ref="J952" si="546">J996</f>
        <v>14.358562669063105</v>
      </c>
      <c r="K952" s="62"/>
      <c r="L952" s="67">
        <f t="shared" si="514"/>
        <v>-1.1739522468101171E-2</v>
      </c>
    </row>
    <row r="953" spans="1:13" ht="12" customHeight="1" outlineLevel="1" x14ac:dyDescent="0.25">
      <c r="A953" s="70" t="str">
        <f t="shared" si="515"/>
        <v>ANTM</v>
      </c>
      <c r="B953" s="42"/>
      <c r="C953" s="41"/>
      <c r="D953" s="41"/>
      <c r="E953" s="40" t="str">
        <f t="shared" si="513"/>
        <v xml:space="preserve"> (ANTM)</v>
      </c>
      <c r="F953" s="41"/>
      <c r="G953" s="41"/>
      <c r="H953" s="41"/>
      <c r="I953" s="71"/>
      <c r="J953" s="41"/>
      <c r="K953" s="62"/>
      <c r="L953" s="67"/>
    </row>
    <row r="954" spans="1:13" ht="12" customHeight="1" outlineLevel="1" x14ac:dyDescent="0.25">
      <c r="A954" s="70" t="str">
        <f t="shared" si="515"/>
        <v>ANTM</v>
      </c>
      <c r="B954" s="42" t="s">
        <v>367</v>
      </c>
      <c r="C954" s="41"/>
      <c r="D954" s="41"/>
      <c r="E954" s="40" t="str">
        <f t="shared" si="513"/>
        <v>Avg. Common Shares Outstanding (ANTM)</v>
      </c>
      <c r="F954" s="41"/>
      <c r="G954" s="41"/>
      <c r="H954" s="41"/>
      <c r="I954" s="71"/>
      <c r="J954" s="41"/>
      <c r="K954" s="62"/>
      <c r="L954" s="67"/>
    </row>
    <row r="955" spans="1:13" ht="12" customHeight="1" outlineLevel="1" x14ac:dyDescent="0.25">
      <c r="A955" s="70" t="str">
        <f t="shared" si="515"/>
        <v>ANTM</v>
      </c>
      <c r="B955" s="42" t="s">
        <v>365</v>
      </c>
      <c r="C955" s="41"/>
      <c r="D955" s="41"/>
      <c r="E955" s="40" t="str">
        <f t="shared" si="513"/>
        <v>Basic (ANTM)</v>
      </c>
      <c r="F955" s="53">
        <f>F946/F951</f>
        <v>263.04579339723108</v>
      </c>
      <c r="G955" s="53">
        <f>G946/G951</f>
        <v>261.42857142857144</v>
      </c>
      <c r="H955" s="53">
        <f>H946/H951</f>
        <v>258.08671713695804</v>
      </c>
      <c r="I955" s="71"/>
      <c r="J955" s="53">
        <f t="shared" ref="J955" si="547">J946/J951</f>
        <v>258.02299398459667</v>
      </c>
      <c r="K955" s="62"/>
      <c r="L955" s="67">
        <f t="shared" si="514"/>
        <v>2.4696695196535501E-4</v>
      </c>
    </row>
    <row r="956" spans="1:13" ht="12" customHeight="1" outlineLevel="1" x14ac:dyDescent="0.25">
      <c r="A956" s="70" t="str">
        <f t="shared" si="515"/>
        <v>ANTM</v>
      </c>
      <c r="B956" s="42" t="s">
        <v>366</v>
      </c>
      <c r="C956" s="41"/>
      <c r="D956" s="41"/>
      <c r="E956" s="40" t="str">
        <f t="shared" si="513"/>
        <v>Diluted (ANTM)</v>
      </c>
      <c r="F956" s="53">
        <f>F946/F952</f>
        <v>268.18675352877307</v>
      </c>
      <c r="G956" s="53">
        <f>G946/G952</f>
        <v>267.80487804878049</v>
      </c>
      <c r="H956" s="53">
        <f>H946/H952</f>
        <v>264.27061310782244</v>
      </c>
      <c r="I956" s="71"/>
      <c r="J956" s="53">
        <f t="shared" ref="J956" si="548">J946/J952</f>
        <v>264.29602892876397</v>
      </c>
      <c r="K956" s="62"/>
      <c r="L956" s="67">
        <f t="shared" si="514"/>
        <v>-9.6164217996519419E-5</v>
      </c>
    </row>
    <row r="957" spans="1:13" ht="12" customHeight="1" outlineLevel="1" x14ac:dyDescent="0.25">
      <c r="B957" s="62"/>
      <c r="C957" s="62"/>
      <c r="D957" s="62"/>
      <c r="E957" s="62"/>
      <c r="F957" s="62"/>
      <c r="G957" s="62"/>
      <c r="H957" s="62"/>
      <c r="I957" s="15"/>
      <c r="J957" s="62"/>
      <c r="K957" s="62"/>
      <c r="L957" s="62"/>
    </row>
    <row r="958" spans="1:13" ht="12" customHeight="1" outlineLevel="1" x14ac:dyDescent="0.25">
      <c r="B958" s="63" t="s">
        <v>371</v>
      </c>
      <c r="C958" s="63"/>
      <c r="D958" s="63"/>
      <c r="E958" s="63"/>
      <c r="F958" s="63"/>
      <c r="G958" s="63"/>
      <c r="H958" s="63"/>
      <c r="I958" s="63"/>
      <c r="J958" s="63"/>
      <c r="K958" s="63"/>
      <c r="L958" s="64"/>
      <c r="M958" s="64"/>
    </row>
    <row r="959" spans="1:13" ht="12" hidden="1" customHeight="1" outlineLevel="2" x14ac:dyDescent="0.25">
      <c r="B959" s="1"/>
    </row>
    <row r="960" spans="1:13" ht="12" hidden="1" customHeight="1" outlineLevel="2" x14ac:dyDescent="0.25">
      <c r="B960" s="8" t="s">
        <v>82</v>
      </c>
    </row>
    <row r="961" spans="2:12" ht="12" hidden="1" customHeight="1" outlineLevel="2" x14ac:dyDescent="0.25">
      <c r="B961" s="8" t="s">
        <v>230</v>
      </c>
      <c r="F961" s="3" t="s">
        <v>4</v>
      </c>
      <c r="G961" s="3" t="s">
        <v>3</v>
      </c>
      <c r="H961" s="3" t="s">
        <v>2</v>
      </c>
      <c r="J961" s="14" t="s">
        <v>2</v>
      </c>
      <c r="L961" s="36">
        <f>MEDIAN(L963:L1001)</f>
        <v>-5.2043982371440256E-3</v>
      </c>
    </row>
    <row r="962" spans="2:12" ht="12" hidden="1" customHeight="1" outlineLevel="2" x14ac:dyDescent="0.25">
      <c r="B962" s="8" t="s">
        <v>43</v>
      </c>
      <c r="J962" s="15"/>
    </row>
    <row r="963" spans="2:12" ht="12" hidden="1" customHeight="1" outlineLevel="2" x14ac:dyDescent="0.25">
      <c r="B963" s="8" t="s">
        <v>128</v>
      </c>
      <c r="F963" s="3">
        <v>78860</v>
      </c>
      <c r="G963" s="3">
        <v>83648</v>
      </c>
      <c r="H963" s="3">
        <v>85421</v>
      </c>
      <c r="J963" s="14">
        <v>85701.674761553804</v>
      </c>
      <c r="L963" s="36">
        <f t="shared" ref="L963:L1001" si="549">IF(ISERROR(H963/J963-1),0,(H963/J963-1))</f>
        <v>-3.2750207313301249E-3</v>
      </c>
    </row>
    <row r="964" spans="2:12" ht="12" hidden="1" customHeight="1" outlineLevel="2" x14ac:dyDescent="0.25">
      <c r="B964" s="8" t="s">
        <v>312</v>
      </c>
      <c r="F964" s="3">
        <v>5334</v>
      </c>
      <c r="G964" s="3">
        <v>5413</v>
      </c>
      <c r="H964" s="3">
        <v>5920</v>
      </c>
      <c r="J964" s="14">
        <v>5893.8213205982684</v>
      </c>
      <c r="L964" s="36">
        <f t="shared" si="549"/>
        <v>4.4417158203013951E-3</v>
      </c>
    </row>
    <row r="965" spans="2:12" ht="12" hidden="1" customHeight="1" outlineLevel="2" x14ac:dyDescent="0.25">
      <c r="B965" s="8" t="s">
        <v>97</v>
      </c>
      <c r="F965" s="6">
        <v>0</v>
      </c>
      <c r="G965" s="6">
        <v>0</v>
      </c>
      <c r="H965" s="6">
        <v>0</v>
      </c>
      <c r="J965" s="14">
        <v>30.7</v>
      </c>
      <c r="L965" s="36">
        <f t="shared" si="549"/>
        <v>-1</v>
      </c>
    </row>
    <row r="966" spans="2:12" ht="12" hidden="1" customHeight="1" outlineLevel="2" x14ac:dyDescent="0.25">
      <c r="B966" s="8" t="s">
        <v>129</v>
      </c>
      <c r="F966" s="9">
        <f>SUM(F963:F965)</f>
        <v>84194</v>
      </c>
      <c r="G966" s="9">
        <f t="shared" ref="G966:H966" si="550">SUM(G963:G965)</f>
        <v>89061</v>
      </c>
      <c r="H966" s="9">
        <f t="shared" si="550"/>
        <v>91341</v>
      </c>
      <c r="J966" s="17">
        <v>91626.196082152062</v>
      </c>
      <c r="L966" s="36">
        <f t="shared" si="549"/>
        <v>-3.1126041934159687E-3</v>
      </c>
    </row>
    <row r="967" spans="2:12" ht="12" hidden="1" customHeight="1" outlineLevel="2" x14ac:dyDescent="0.25">
      <c r="B967" s="8" t="s">
        <v>130</v>
      </c>
      <c r="F967" s="2">
        <v>779</v>
      </c>
      <c r="G967" s="2">
        <v>867</v>
      </c>
      <c r="H967" s="2">
        <v>970</v>
      </c>
      <c r="J967" s="14">
        <v>941.03806849756756</v>
      </c>
      <c r="L967" s="36">
        <f t="shared" si="549"/>
        <v>3.0776577985492271E-2</v>
      </c>
    </row>
    <row r="968" spans="2:12" ht="12" hidden="1" customHeight="1" outlineLevel="2" x14ac:dyDescent="0.25">
      <c r="B968" s="8" t="s">
        <v>313</v>
      </c>
      <c r="F968" s="3">
        <v>5</v>
      </c>
      <c r="G968" s="3">
        <v>145</v>
      </c>
      <c r="H968" s="3">
        <v>-180</v>
      </c>
      <c r="J968" s="14">
        <v>52.078192164304149</v>
      </c>
      <c r="L968" s="36">
        <f t="shared" si="549"/>
        <v>-4.4563411769768972</v>
      </c>
    </row>
    <row r="969" spans="2:12" ht="12" hidden="1" customHeight="1" outlineLevel="2" x14ac:dyDescent="0.25">
      <c r="B969" s="8" t="s">
        <v>131</v>
      </c>
      <c r="J969" s="15"/>
      <c r="L969" s="35"/>
    </row>
    <row r="970" spans="2:12" ht="12" hidden="1" customHeight="1" outlineLevel="2" x14ac:dyDescent="0.25">
      <c r="B970" s="8" t="s">
        <v>132</v>
      </c>
      <c r="F970" s="3">
        <v>-147</v>
      </c>
      <c r="G970" s="3">
        <v>-35</v>
      </c>
      <c r="H970" s="3">
        <v>-29</v>
      </c>
      <c r="J970" s="14">
        <v>-34.453457649291245</v>
      </c>
      <c r="L970" s="36">
        <f t="shared" si="549"/>
        <v>-0.15828477085821402</v>
      </c>
    </row>
    <row r="971" spans="2:12" ht="12" hidden="1" customHeight="1" outlineLevel="2" x14ac:dyDescent="0.25">
      <c r="B971" s="8" t="s">
        <v>133</v>
      </c>
      <c r="F971" s="3">
        <v>32</v>
      </c>
      <c r="G971" s="3">
        <v>2</v>
      </c>
      <c r="H971" s="3">
        <v>3</v>
      </c>
      <c r="J971" s="14">
        <v>2</v>
      </c>
      <c r="L971" s="36">
        <f t="shared" si="549"/>
        <v>0.5</v>
      </c>
    </row>
    <row r="972" spans="2:12" ht="12" hidden="1" customHeight="1" outlineLevel="2" x14ac:dyDescent="0.25">
      <c r="B972" s="8" t="s">
        <v>134</v>
      </c>
      <c r="F972" s="9">
        <f>SUM(F970:F971)</f>
        <v>-115</v>
      </c>
      <c r="G972" s="9">
        <f t="shared" ref="G972:H972" si="551">SUM(G970:G971)</f>
        <v>-33</v>
      </c>
      <c r="H972" s="9">
        <f t="shared" si="551"/>
        <v>-26</v>
      </c>
      <c r="J972" s="17">
        <v>-32.453457649291245</v>
      </c>
      <c r="L972" s="36">
        <f t="shared" si="549"/>
        <v>-0.19885269911855397</v>
      </c>
    </row>
    <row r="973" spans="2:12" ht="12" hidden="1" customHeight="1" outlineLevel="2" thickBot="1" x14ac:dyDescent="0.3">
      <c r="B973" s="8" t="s">
        <v>101</v>
      </c>
      <c r="F973" s="9">
        <f>F966+F967+F968+F972</f>
        <v>84863</v>
      </c>
      <c r="G973" s="9">
        <f t="shared" ref="G973:H973" si="552">G966+G967+G968+G972</f>
        <v>90040</v>
      </c>
      <c r="H973" s="9">
        <f t="shared" si="552"/>
        <v>92105</v>
      </c>
      <c r="J973" s="19">
        <v>92586.858885164649</v>
      </c>
      <c r="L973" s="36">
        <f t="shared" si="549"/>
        <v>-5.2043982371440256E-3</v>
      </c>
    </row>
    <row r="974" spans="2:12" ht="12" hidden="1" customHeight="1" outlineLevel="2" thickTop="1" x14ac:dyDescent="0.25">
      <c r="B974" s="8" t="s">
        <v>135</v>
      </c>
      <c r="J974" s="15"/>
      <c r="L974" s="35"/>
    </row>
    <row r="975" spans="2:12" ht="12" hidden="1" customHeight="1" outlineLevel="2" x14ac:dyDescent="0.25">
      <c r="B975" s="8" t="s">
        <v>136</v>
      </c>
      <c r="F975" s="3">
        <v>66834</v>
      </c>
      <c r="G975" s="3">
        <v>72236</v>
      </c>
      <c r="H975" s="3">
        <v>71895</v>
      </c>
      <c r="J975" s="14">
        <v>72267.845029515694</v>
      </c>
      <c r="L975" s="36">
        <f t="shared" si="549"/>
        <v>-5.1592105640263508E-3</v>
      </c>
    </row>
    <row r="976" spans="2:12" ht="12" hidden="1" customHeight="1" outlineLevel="2" x14ac:dyDescent="0.25">
      <c r="B976" s="8" t="s">
        <v>314</v>
      </c>
      <c r="J976" s="15"/>
      <c r="L976" s="35"/>
    </row>
    <row r="977" spans="2:12" ht="12" hidden="1" customHeight="1" outlineLevel="2" x14ac:dyDescent="0.25">
      <c r="B977" s="8" t="s">
        <v>315</v>
      </c>
      <c r="F977" s="3">
        <v>12559</v>
      </c>
      <c r="G977" s="3">
        <v>12650</v>
      </c>
      <c r="H977" s="3">
        <v>14020</v>
      </c>
      <c r="J977" s="14">
        <v>1300.4805025181377</v>
      </c>
      <c r="L977" s="36">
        <f t="shared" si="549"/>
        <v>9.7806306767789959</v>
      </c>
    </row>
    <row r="978" spans="2:12" ht="12" hidden="1" customHeight="1" outlineLevel="2" x14ac:dyDescent="0.25">
      <c r="B978" s="8" t="s">
        <v>316</v>
      </c>
      <c r="F978" s="3">
        <v>0</v>
      </c>
      <c r="G978" s="3">
        <v>0</v>
      </c>
      <c r="H978" s="3">
        <v>0</v>
      </c>
      <c r="J978" s="14">
        <v>12650.281011577194</v>
      </c>
      <c r="L978" s="36">
        <f t="shared" si="549"/>
        <v>-1</v>
      </c>
    </row>
    <row r="979" spans="2:12" ht="12" hidden="1" customHeight="1" outlineLevel="2" x14ac:dyDescent="0.25">
      <c r="B979" s="8" t="s">
        <v>317</v>
      </c>
      <c r="F979" s="9">
        <f>SUM(F977:F978)</f>
        <v>12559</v>
      </c>
      <c r="G979" s="9">
        <f t="shared" ref="G979:H979" si="553">SUM(G977:G978)</f>
        <v>12650</v>
      </c>
      <c r="H979" s="9">
        <f t="shared" si="553"/>
        <v>14020</v>
      </c>
      <c r="J979" s="17">
        <v>13950.761514095331</v>
      </c>
      <c r="L979" s="36">
        <f t="shared" si="549"/>
        <v>4.9630613952300617E-3</v>
      </c>
    </row>
    <row r="980" spans="2:12" ht="12" hidden="1" customHeight="1" outlineLevel="2" x14ac:dyDescent="0.25">
      <c r="B980" s="8" t="s">
        <v>13</v>
      </c>
      <c r="F980" s="3">
        <v>723</v>
      </c>
      <c r="G980" s="3">
        <v>739</v>
      </c>
      <c r="H980" s="3">
        <v>753</v>
      </c>
      <c r="J980" s="14">
        <v>759.82955088284643</v>
      </c>
      <c r="L980" s="36">
        <f t="shared" si="549"/>
        <v>-8.9882670066084858E-3</v>
      </c>
    </row>
    <row r="981" spans="2:12" ht="12" hidden="1" customHeight="1" outlineLevel="2" x14ac:dyDescent="0.25">
      <c r="B981" s="8" t="s">
        <v>137</v>
      </c>
      <c r="F981" s="3">
        <v>192</v>
      </c>
      <c r="G981" s="3">
        <v>169</v>
      </c>
      <c r="H981" s="3">
        <v>358</v>
      </c>
      <c r="J981" s="14">
        <v>320.96073581653542</v>
      </c>
      <c r="L981" s="36">
        <f t="shared" si="549"/>
        <v>0.1154012315220907</v>
      </c>
    </row>
    <row r="982" spans="2:12" ht="12" hidden="1" customHeight="1" outlineLevel="2" x14ac:dyDescent="0.25">
      <c r="B982" s="8" t="s">
        <v>318</v>
      </c>
      <c r="F982" s="3">
        <v>0</v>
      </c>
      <c r="G982" s="3">
        <v>282</v>
      </c>
      <c r="H982" s="3">
        <v>11</v>
      </c>
      <c r="J982" s="14">
        <v>17.200000000000003</v>
      </c>
      <c r="L982" s="36">
        <f t="shared" si="549"/>
        <v>-0.36046511627906985</v>
      </c>
    </row>
    <row r="983" spans="2:12" ht="12" hidden="1" customHeight="1" outlineLevel="2" thickBot="1" x14ac:dyDescent="0.3">
      <c r="B983" s="8" t="s">
        <v>47</v>
      </c>
      <c r="F983" s="9">
        <f>SUM(F975,F979,F980,F981,F982)</f>
        <v>80308</v>
      </c>
      <c r="G983" s="9">
        <f t="shared" ref="G983:H983" si="554">SUM(G975,G979,G980,G981,G982)</f>
        <v>86076</v>
      </c>
      <c r="H983" s="9">
        <f t="shared" si="554"/>
        <v>87037</v>
      </c>
      <c r="J983" s="19">
        <v>87316.596830310402</v>
      </c>
      <c r="L983" s="36">
        <f t="shared" si="549"/>
        <v>-3.2021040725369598E-3</v>
      </c>
    </row>
    <row r="984" spans="2:12" ht="12" hidden="1" customHeight="1" outlineLevel="2" thickTop="1" x14ac:dyDescent="0.25">
      <c r="B984" s="8" t="s">
        <v>319</v>
      </c>
      <c r="F984" s="9">
        <f>F973-F983</f>
        <v>4555</v>
      </c>
      <c r="G984" s="9">
        <f t="shared" ref="G984:H984" si="555">G973-G983</f>
        <v>3964</v>
      </c>
      <c r="H984" s="9">
        <f t="shared" si="555"/>
        <v>5068</v>
      </c>
      <c r="J984" s="17">
        <v>5270.2620548542473</v>
      </c>
      <c r="L984" s="36">
        <f t="shared" si="549"/>
        <v>-3.8377988181432232E-2</v>
      </c>
    </row>
    <row r="985" spans="2:12" ht="12" hidden="1" customHeight="1" outlineLevel="2" x14ac:dyDescent="0.25">
      <c r="B985" s="8" t="s">
        <v>53</v>
      </c>
      <c r="F985" s="6">
        <v>2085</v>
      </c>
      <c r="G985" s="6">
        <v>121</v>
      </c>
      <c r="H985" s="6">
        <v>1318</v>
      </c>
      <c r="J985" s="14">
        <v>1475.3509602960692</v>
      </c>
      <c r="L985" s="36">
        <f t="shared" si="549"/>
        <v>-0.10665324016496547</v>
      </c>
    </row>
    <row r="986" spans="2:12" ht="12" hidden="1" customHeight="1" outlineLevel="2" thickBot="1" x14ac:dyDescent="0.3">
      <c r="B986" s="8" t="s">
        <v>242</v>
      </c>
      <c r="F986" s="10">
        <f>F984-F985</f>
        <v>2470</v>
      </c>
      <c r="G986" s="10">
        <f t="shared" ref="G986:H986" si="556">G984-G985</f>
        <v>3843</v>
      </c>
      <c r="H986" s="10">
        <f t="shared" si="556"/>
        <v>3750</v>
      </c>
      <c r="J986" s="19">
        <v>3794.9110945581779</v>
      </c>
      <c r="L986" s="36">
        <f t="shared" si="549"/>
        <v>-1.1834557764101361E-2</v>
      </c>
    </row>
    <row r="987" spans="2:12" ht="12" hidden="1" customHeight="1" outlineLevel="2" thickTop="1" x14ac:dyDescent="0.25">
      <c r="B987" s="8" t="s">
        <v>320</v>
      </c>
      <c r="F987" s="2">
        <v>0</v>
      </c>
      <c r="G987" s="2">
        <v>0</v>
      </c>
      <c r="H987" s="2">
        <v>0</v>
      </c>
      <c r="J987" s="18">
        <v>0</v>
      </c>
      <c r="L987" s="36">
        <f t="shared" si="549"/>
        <v>0</v>
      </c>
    </row>
    <row r="988" spans="2:12" ht="12" hidden="1" customHeight="1" outlineLevel="2" thickBot="1" x14ac:dyDescent="0.3">
      <c r="B988" s="8" t="s">
        <v>17</v>
      </c>
      <c r="F988" s="10">
        <f>SUM(F986:F987)</f>
        <v>2470</v>
      </c>
      <c r="G988" s="10">
        <f t="shared" ref="G988:H988" si="557">SUM(G986:G987)</f>
        <v>3843</v>
      </c>
      <c r="H988" s="10">
        <f t="shared" si="557"/>
        <v>3750</v>
      </c>
      <c r="J988" s="19">
        <v>3794.9110945581779</v>
      </c>
      <c r="L988" s="36">
        <f t="shared" si="549"/>
        <v>-1.1834557764101361E-2</v>
      </c>
    </row>
    <row r="989" spans="2:12" ht="12" hidden="1" customHeight="1" outlineLevel="2" thickTop="1" x14ac:dyDescent="0.25">
      <c r="B989" s="8" t="s">
        <v>321</v>
      </c>
      <c r="J989" s="15"/>
      <c r="L989" s="35"/>
    </row>
    <row r="990" spans="2:12" ht="12" hidden="1" customHeight="1" outlineLevel="2" x14ac:dyDescent="0.25">
      <c r="B990" s="8" t="s">
        <v>322</v>
      </c>
      <c r="F990" s="11">
        <v>9.39</v>
      </c>
      <c r="G990" s="11">
        <v>14.7</v>
      </c>
      <c r="H990" s="11">
        <v>14.53</v>
      </c>
      <c r="J990" s="20">
        <v>14.707646926942951</v>
      </c>
      <c r="L990" s="36">
        <f t="shared" si="549"/>
        <v>-1.2078541715433766E-2</v>
      </c>
    </row>
    <row r="991" spans="2:12" ht="12" hidden="1" customHeight="1" outlineLevel="2" x14ac:dyDescent="0.25">
      <c r="B991" s="8" t="s">
        <v>323</v>
      </c>
      <c r="F991" s="12">
        <v>0</v>
      </c>
      <c r="G991" s="12">
        <v>0</v>
      </c>
      <c r="H991" s="12">
        <v>0</v>
      </c>
      <c r="J991" s="34">
        <v>0</v>
      </c>
      <c r="L991" s="36">
        <f t="shared" si="549"/>
        <v>0</v>
      </c>
    </row>
    <row r="992" spans="2:12" ht="12" hidden="1" customHeight="1" outlineLevel="2" x14ac:dyDescent="0.25">
      <c r="B992" s="8" t="s">
        <v>138</v>
      </c>
      <c r="F992" s="13">
        <f>SUM(F990:F991)</f>
        <v>9.39</v>
      </c>
      <c r="G992" s="13">
        <f t="shared" ref="G992:H992" si="558">SUM(G990:G991)</f>
        <v>14.7</v>
      </c>
      <c r="H992" s="13">
        <f t="shared" si="558"/>
        <v>14.53</v>
      </c>
      <c r="J992" s="26">
        <v>14.707646926942951</v>
      </c>
      <c r="L992" s="36">
        <f t="shared" si="549"/>
        <v>-1.2078541715433766E-2</v>
      </c>
    </row>
    <row r="993" spans="1:13" ht="12" hidden="1" customHeight="1" outlineLevel="2" x14ac:dyDescent="0.25">
      <c r="B993" s="8" t="s">
        <v>324</v>
      </c>
      <c r="J993" s="15"/>
      <c r="L993" s="35"/>
    </row>
    <row r="994" spans="1:13" ht="12" hidden="1" customHeight="1" outlineLevel="2" x14ac:dyDescent="0.25">
      <c r="B994" s="8" t="s">
        <v>325</v>
      </c>
      <c r="F994" s="11">
        <v>9.2100000000000009</v>
      </c>
      <c r="G994" s="11">
        <v>14.35</v>
      </c>
      <c r="H994" s="11">
        <v>14.19</v>
      </c>
      <c r="J994" s="20">
        <v>14.358562669063105</v>
      </c>
      <c r="L994" s="36">
        <f t="shared" si="549"/>
        <v>-1.1739522468101171E-2</v>
      </c>
    </row>
    <row r="995" spans="1:13" ht="12" hidden="1" customHeight="1" outlineLevel="2" x14ac:dyDescent="0.25">
      <c r="B995" s="8" t="s">
        <v>326</v>
      </c>
      <c r="F995" s="12">
        <v>0</v>
      </c>
      <c r="G995" s="12">
        <v>0</v>
      </c>
      <c r="H995" s="12">
        <v>0</v>
      </c>
      <c r="J995" s="34">
        <v>0</v>
      </c>
      <c r="L995" s="36">
        <f t="shared" si="549"/>
        <v>0</v>
      </c>
    </row>
    <row r="996" spans="1:13" ht="12" hidden="1" customHeight="1" outlineLevel="2" x14ac:dyDescent="0.25">
      <c r="B996" s="8" t="s">
        <v>139</v>
      </c>
      <c r="F996" s="13">
        <f>SUM(F994:F995)</f>
        <v>9.2100000000000009</v>
      </c>
      <c r="G996" s="13">
        <f t="shared" ref="G996:H996" si="559">SUM(G994:G995)</f>
        <v>14.35</v>
      </c>
      <c r="H996" s="13">
        <f t="shared" si="559"/>
        <v>14.19</v>
      </c>
      <c r="J996" s="26">
        <v>14.358562669063105</v>
      </c>
      <c r="L996" s="36">
        <f t="shared" si="549"/>
        <v>-1.1739522468101171E-2</v>
      </c>
    </row>
    <row r="997" spans="1:13" ht="12" hidden="1" customHeight="1" outlineLevel="2" x14ac:dyDescent="0.25">
      <c r="B997" s="8" t="s">
        <v>140</v>
      </c>
      <c r="F997" s="11">
        <v>2.6</v>
      </c>
      <c r="G997" s="11">
        <v>2.7</v>
      </c>
      <c r="H997" s="11">
        <v>3</v>
      </c>
      <c r="J997" s="20">
        <v>2.99</v>
      </c>
      <c r="L997" s="36">
        <f t="shared" si="549"/>
        <v>3.3444816053511683E-3</v>
      </c>
    </row>
    <row r="998" spans="1:13" ht="12" hidden="1" customHeight="1" outlineLevel="2" x14ac:dyDescent="0.25">
      <c r="J998" s="31"/>
      <c r="L998" s="35"/>
    </row>
    <row r="999" spans="1:13" ht="12" hidden="1" customHeight="1" outlineLevel="2" x14ac:dyDescent="0.25">
      <c r="B999" s="8" t="s">
        <v>141</v>
      </c>
      <c r="F999" s="3">
        <v>808</v>
      </c>
      <c r="G999" s="3">
        <v>780</v>
      </c>
      <c r="H999" s="3">
        <v>1008</v>
      </c>
      <c r="J999" s="14">
        <v>980.10935781902299</v>
      </c>
      <c r="L999" s="36">
        <f t="shared" si="549"/>
        <v>2.8456663492164136E-2</v>
      </c>
    </row>
    <row r="1000" spans="1:13" ht="12" hidden="1" customHeight="1" outlineLevel="2" x14ac:dyDescent="0.25">
      <c r="B1000" s="8" t="s">
        <v>142</v>
      </c>
      <c r="F1000" s="3">
        <v>104</v>
      </c>
      <c r="G1000" s="3">
        <v>111</v>
      </c>
      <c r="H1000" s="3">
        <v>124</v>
      </c>
      <c r="J1000" s="14">
        <v>122.66402573715591</v>
      </c>
      <c r="L1000" s="36">
        <f t="shared" si="549"/>
        <v>1.0891329016926354E-2</v>
      </c>
    </row>
    <row r="1001" spans="1:13" ht="12" hidden="1" customHeight="1" outlineLevel="2" x14ac:dyDescent="0.25">
      <c r="B1001" s="8" t="s">
        <v>68</v>
      </c>
      <c r="F1001" s="3">
        <v>-584</v>
      </c>
      <c r="G1001" s="3">
        <v>-800</v>
      </c>
      <c r="H1001" s="3">
        <v>-1208</v>
      </c>
      <c r="J1001" s="14">
        <v>-1232.4919569006697</v>
      </c>
      <c r="L1001" s="36">
        <f t="shared" si="549"/>
        <v>-1.9871899985667518E-2</v>
      </c>
    </row>
    <row r="1002" spans="1:13" ht="12" customHeight="1" outlineLevel="1" collapsed="1" x14ac:dyDescent="0.25"/>
    <row r="1003" spans="1:13" ht="12" customHeight="1" x14ac:dyDescent="0.25">
      <c r="B1003" s="61" t="s">
        <v>384</v>
      </c>
      <c r="C1003" s="61"/>
      <c r="D1003" s="61"/>
      <c r="E1003" s="61"/>
      <c r="F1003" s="61"/>
      <c r="G1003" s="61"/>
      <c r="H1003" s="61"/>
      <c r="I1003" s="61"/>
      <c r="J1003" s="61"/>
      <c r="K1003" s="61"/>
      <c r="L1003" s="61"/>
      <c r="M1003" s="91" t="s">
        <v>39</v>
      </c>
    </row>
    <row r="1004" spans="1:13" ht="12" customHeight="1" x14ac:dyDescent="0.25">
      <c r="B1004" s="38"/>
      <c r="C1004" s="15"/>
      <c r="D1004" s="15"/>
      <c r="E1004" s="15"/>
      <c r="F1004" s="15"/>
      <c r="G1004" s="15"/>
      <c r="H1004" s="15"/>
      <c r="I1004" s="15"/>
      <c r="J1004" s="15"/>
      <c r="K1004" s="62"/>
      <c r="L1004" s="62"/>
    </row>
    <row r="1005" spans="1:13" ht="12" customHeight="1" outlineLevel="1" x14ac:dyDescent="0.25">
      <c r="B1005" s="85" t="s">
        <v>338</v>
      </c>
      <c r="C1005" s="86"/>
      <c r="D1005" s="86"/>
      <c r="E1005" s="86"/>
      <c r="F1005" s="89" t="s">
        <v>369</v>
      </c>
      <c r="G1005" s="89"/>
      <c r="H1005" s="90"/>
      <c r="I1005" s="15"/>
      <c r="J1005" s="82" t="s">
        <v>370</v>
      </c>
      <c r="K1005" s="62"/>
      <c r="L1005" s="68" t="s">
        <v>386</v>
      </c>
    </row>
    <row r="1006" spans="1:13" ht="12" customHeight="1" outlineLevel="1" x14ac:dyDescent="0.25">
      <c r="B1006" s="87"/>
      <c r="C1006" s="88"/>
      <c r="D1006" s="88"/>
      <c r="E1006" s="88"/>
      <c r="F1006" s="39">
        <f>G1006-1</f>
        <v>2016</v>
      </c>
      <c r="G1006" s="39">
        <f>H1006-1</f>
        <v>2017</v>
      </c>
      <c r="H1006" s="60">
        <f>J1006</f>
        <v>2018</v>
      </c>
      <c r="I1006" s="15"/>
      <c r="J1006" s="81">
        <v>2018</v>
      </c>
      <c r="K1006" s="62"/>
      <c r="L1006" s="68" t="s">
        <v>370</v>
      </c>
    </row>
    <row r="1007" spans="1:13" ht="12" customHeight="1" outlineLevel="1" x14ac:dyDescent="0.25">
      <c r="B1007" s="62"/>
      <c r="C1007" s="62"/>
      <c r="D1007" s="62"/>
      <c r="E1007" s="62"/>
      <c r="F1007" s="40"/>
      <c r="G1007" s="40"/>
      <c r="H1007" s="40"/>
      <c r="I1007" s="15"/>
      <c r="J1007" s="40"/>
      <c r="K1007" s="62"/>
      <c r="L1007" s="62"/>
    </row>
    <row r="1008" spans="1:13" ht="12" customHeight="1" outlineLevel="1" x14ac:dyDescent="0.25">
      <c r="A1008" s="70" t="str">
        <f>M1003</f>
        <v>ISRG</v>
      </c>
      <c r="B1008" s="43" t="s">
        <v>340</v>
      </c>
      <c r="C1008" s="44"/>
      <c r="D1008" s="44"/>
      <c r="E1008" s="74" t="str">
        <f>B1008&amp;" ("&amp;A1008&amp;")"</f>
        <v>Total Revenue (ISRG)</v>
      </c>
      <c r="F1008" s="45">
        <f>F1053</f>
        <v>2706.5</v>
      </c>
      <c r="G1008" s="45">
        <f t="shared" ref="G1008:J1008" si="560">G1053</f>
        <v>3138.2000000000003</v>
      </c>
      <c r="H1008" s="45">
        <f t="shared" si="560"/>
        <v>3724.2</v>
      </c>
      <c r="I1008" s="71"/>
      <c r="J1008" s="45">
        <f t="shared" si="560"/>
        <v>3596.2905156831466</v>
      </c>
      <c r="K1008" s="62"/>
      <c r="L1008" s="67">
        <f>IF(ISERROR(H1008/J1008-1),0,(H1008/J1008-1))</f>
        <v>3.5567061047779625E-2</v>
      </c>
    </row>
    <row r="1009" spans="1:12" ht="12" customHeight="1" outlineLevel="1" x14ac:dyDescent="0.25">
      <c r="A1009" s="70" t="str">
        <f>A1008</f>
        <v>ISRG</v>
      </c>
      <c r="B1009" s="42" t="s">
        <v>341</v>
      </c>
      <c r="C1009" s="46"/>
      <c r="D1009" s="46"/>
      <c r="E1009" s="72" t="str">
        <f t="shared" ref="E1009:E1044" si="561">B1009&amp;" ("&amp;A1009&amp;")"</f>
        <v>% Growth (ISRG)</v>
      </c>
      <c r="F1009" s="47" t="s">
        <v>342</v>
      </c>
      <c r="G1009" s="47">
        <f>G1008/F1008-1</f>
        <v>0.1595048956216516</v>
      </c>
      <c r="H1009" s="47">
        <f>H1008/G1008-1</f>
        <v>0.18673124721177725</v>
      </c>
      <c r="I1009" s="71"/>
      <c r="J1009" s="47">
        <f>J1008/G1008-1</f>
        <v>0.1459723776952222</v>
      </c>
      <c r="K1009" s="62"/>
      <c r="L1009" s="67">
        <f t="shared" ref="L1009:L1044" si="562">IF(ISERROR(H1009/J1009-1),0,(H1009/J1009-1))</f>
        <v>0.27922316646548073</v>
      </c>
    </row>
    <row r="1010" spans="1:12" ht="12" customHeight="1" outlineLevel="1" x14ac:dyDescent="0.25">
      <c r="A1010" s="70" t="str">
        <f t="shared" ref="A1010:A1044" si="563">A1009</f>
        <v>ISRG</v>
      </c>
      <c r="B1010" s="42" t="s">
        <v>343</v>
      </c>
      <c r="C1010" s="41"/>
      <c r="D1010" s="41"/>
      <c r="E1010" s="40" t="str">
        <f t="shared" si="561"/>
        <v>COGS (ISRG)</v>
      </c>
      <c r="F1010" s="48">
        <f>F1057</f>
        <v>813.6</v>
      </c>
      <c r="G1010" s="48">
        <f t="shared" ref="G1010:H1010" si="564">G1057</f>
        <v>936.19999999999993</v>
      </c>
      <c r="H1010" s="48">
        <f t="shared" si="564"/>
        <v>1120.1000000000001</v>
      </c>
      <c r="I1010" s="71"/>
      <c r="J1010" s="48">
        <f t="shared" ref="J1010" si="565">J1057</f>
        <v>1093.3137561257079</v>
      </c>
      <c r="K1010" s="62"/>
      <c r="L1010" s="67">
        <f t="shared" si="562"/>
        <v>2.4500051997161876E-2</v>
      </c>
    </row>
    <row r="1011" spans="1:12" ht="12" customHeight="1" outlineLevel="1" x14ac:dyDescent="0.25">
      <c r="A1011" s="70" t="str">
        <f t="shared" si="563"/>
        <v>ISRG</v>
      </c>
      <c r="B1011" s="42" t="s">
        <v>344</v>
      </c>
      <c r="C1011" s="41"/>
      <c r="D1011" s="41"/>
      <c r="E1011" s="40" t="str">
        <f t="shared" si="561"/>
        <v>Total Depreciation &amp; Amortization (ISRG)</v>
      </c>
      <c r="F1011" s="48">
        <f>F1075</f>
        <v>73.900000000000006</v>
      </c>
      <c r="G1011" s="48">
        <f t="shared" ref="G1011:H1011" si="566">G1075</f>
        <v>86.2</v>
      </c>
      <c r="H1011" s="48">
        <f t="shared" si="566"/>
        <v>108.6</v>
      </c>
      <c r="I1011" s="71"/>
      <c r="J1011" s="48">
        <f t="shared" ref="J1011" si="567">J1075</f>
        <v>103.60977804613914</v>
      </c>
      <c r="K1011" s="62"/>
      <c r="L1011" s="67">
        <f t="shared" si="562"/>
        <v>4.816361976606709E-2</v>
      </c>
    </row>
    <row r="1012" spans="1:12" ht="12" customHeight="1" outlineLevel="1" x14ac:dyDescent="0.25">
      <c r="A1012" s="70" t="str">
        <f t="shared" si="563"/>
        <v>ISRG</v>
      </c>
      <c r="B1012" s="42" t="s">
        <v>345</v>
      </c>
      <c r="C1012" s="41"/>
      <c r="D1012" s="41"/>
      <c r="E1012" s="40" t="str">
        <f t="shared" si="561"/>
        <v>COGS (Exclusive of D&amp;A) (ISRG)</v>
      </c>
      <c r="F1012" s="49">
        <f>F1010-F1011</f>
        <v>739.7</v>
      </c>
      <c r="G1012" s="49">
        <f>G1010-G1011</f>
        <v>849.99999999999989</v>
      </c>
      <c r="H1012" s="49">
        <f>H1010-H1011</f>
        <v>1011.5000000000001</v>
      </c>
      <c r="I1012" s="71"/>
      <c r="J1012" s="49">
        <f t="shared" ref="J1012" si="568">J1010-J1011</f>
        <v>989.70397807956874</v>
      </c>
      <c r="K1012" s="62"/>
      <c r="L1012" s="67">
        <f t="shared" si="562"/>
        <v>2.2022768831064576E-2</v>
      </c>
    </row>
    <row r="1013" spans="1:12" ht="12" customHeight="1" outlineLevel="1" x14ac:dyDescent="0.25">
      <c r="A1013" s="70" t="str">
        <f t="shared" si="563"/>
        <v>ISRG</v>
      </c>
      <c r="B1013" s="42" t="s">
        <v>346</v>
      </c>
      <c r="C1013" s="46"/>
      <c r="D1013" s="46"/>
      <c r="E1013" s="72" t="str">
        <f t="shared" si="561"/>
        <v>% Total Revenue (ISRG)</v>
      </c>
      <c r="F1013" s="50">
        <f>F1012/F1008</f>
        <v>0.27330500646591538</v>
      </c>
      <c r="G1013" s="50">
        <f>G1012/G1008</f>
        <v>0.2708559046587215</v>
      </c>
      <c r="H1013" s="50">
        <f>H1012/H1008</f>
        <v>0.27160195478223514</v>
      </c>
      <c r="I1013" s="71"/>
      <c r="J1013" s="50">
        <f t="shared" ref="J1013" si="569">J1012/J1008</f>
        <v>0.27520134253991596</v>
      </c>
      <c r="K1013" s="62"/>
      <c r="L1013" s="67">
        <f t="shared" si="562"/>
        <v>-1.3079106825791609E-2</v>
      </c>
    </row>
    <row r="1014" spans="1:12" ht="12" customHeight="1" outlineLevel="1" x14ac:dyDescent="0.25">
      <c r="A1014" s="70" t="str">
        <f t="shared" si="563"/>
        <v>ISRG</v>
      </c>
      <c r="B1014" s="43" t="s">
        <v>347</v>
      </c>
      <c r="C1014" s="44"/>
      <c r="D1014" s="44"/>
      <c r="E1014" s="74" t="str">
        <f t="shared" si="561"/>
        <v>Gross Profit (ISRG)</v>
      </c>
      <c r="F1014" s="51">
        <f>F1008-F1012</f>
        <v>1966.8</v>
      </c>
      <c r="G1014" s="51">
        <f>G1008-G1012</f>
        <v>2288.2000000000003</v>
      </c>
      <c r="H1014" s="51">
        <f>H1008-H1012</f>
        <v>2712.7</v>
      </c>
      <c r="I1014" s="71"/>
      <c r="J1014" s="51">
        <f t="shared" ref="J1014" si="570">J1008-J1012</f>
        <v>2606.5865376035781</v>
      </c>
      <c r="K1014" s="62"/>
      <c r="L1014" s="67">
        <f t="shared" si="562"/>
        <v>4.0709740829851571E-2</v>
      </c>
    </row>
    <row r="1015" spans="1:12" ht="12" customHeight="1" outlineLevel="1" x14ac:dyDescent="0.25">
      <c r="A1015" s="70" t="str">
        <f t="shared" si="563"/>
        <v>ISRG</v>
      </c>
      <c r="B1015" s="42" t="s">
        <v>348</v>
      </c>
      <c r="C1015" s="46"/>
      <c r="D1015" s="46"/>
      <c r="E1015" s="72" t="str">
        <f t="shared" si="561"/>
        <v>Gross Profit Margin (%) (ISRG)</v>
      </c>
      <c r="F1015" s="47">
        <f>F1014/F1008</f>
        <v>0.72669499353408462</v>
      </c>
      <c r="G1015" s="47">
        <f>G1014/G1008</f>
        <v>0.72914409534127844</v>
      </c>
      <c r="H1015" s="47">
        <f>H1014/H1008</f>
        <v>0.72839804521776486</v>
      </c>
      <c r="I1015" s="71"/>
      <c r="J1015" s="47">
        <f t="shared" ref="J1015" si="571">J1014/J1008</f>
        <v>0.72479865746008409</v>
      </c>
      <c r="K1015" s="62"/>
      <c r="L1015" s="67">
        <f t="shared" si="562"/>
        <v>4.9660519106011769E-3</v>
      </c>
    </row>
    <row r="1016" spans="1:12" ht="12" customHeight="1" outlineLevel="1" x14ac:dyDescent="0.25">
      <c r="A1016" s="70" t="str">
        <f t="shared" si="563"/>
        <v>ISRG</v>
      </c>
      <c r="B1016" s="42" t="s">
        <v>349</v>
      </c>
      <c r="C1016" s="41"/>
      <c r="D1016" s="41"/>
      <c r="E1016" s="40" t="str">
        <f t="shared" si="561"/>
        <v>Operating expenses (ISRG)</v>
      </c>
      <c r="F1016" s="48">
        <f>F1062</f>
        <v>943.2</v>
      </c>
      <c r="G1016" s="48">
        <f t="shared" ref="G1016:J1016" si="572">G1062</f>
        <v>1139.0999999999999</v>
      </c>
      <c r="H1016" s="48">
        <f t="shared" si="572"/>
        <v>1404.7</v>
      </c>
      <c r="I1016" s="71"/>
      <c r="J1016" s="48">
        <f t="shared" si="572"/>
        <v>1325.4821643370897</v>
      </c>
      <c r="K1016" s="62"/>
      <c r="L1016" s="67">
        <f t="shared" si="562"/>
        <v>5.9765297334294587E-2</v>
      </c>
    </row>
    <row r="1017" spans="1:12" ht="12" customHeight="1" outlineLevel="1" x14ac:dyDescent="0.25">
      <c r="A1017" s="70" t="str">
        <f t="shared" si="563"/>
        <v>ISRG</v>
      </c>
      <c r="B1017" s="42" t="s">
        <v>346</v>
      </c>
      <c r="C1017" s="46"/>
      <c r="D1017" s="46"/>
      <c r="E1017" s="72" t="str">
        <f t="shared" si="561"/>
        <v>% Total Revenue (ISRG)</v>
      </c>
      <c r="F1017" s="50">
        <f>F1016/F1008</f>
        <v>0.34849436541658974</v>
      </c>
      <c r="G1017" s="50">
        <f>G1016/G1008</f>
        <v>0.36297877764323494</v>
      </c>
      <c r="H1017" s="50">
        <f>H1016/H1008</f>
        <v>0.37718167660168628</v>
      </c>
      <c r="I1017" s="71"/>
      <c r="J1017" s="50">
        <f t="shared" ref="J1017" si="573">J1016/J1008</f>
        <v>0.36856926840497556</v>
      </c>
      <c r="K1017" s="62"/>
      <c r="L1017" s="67">
        <f t="shared" si="562"/>
        <v>2.3367135936161576E-2</v>
      </c>
    </row>
    <row r="1018" spans="1:12" ht="12" customHeight="1" outlineLevel="1" x14ac:dyDescent="0.25">
      <c r="A1018" s="70" t="str">
        <f t="shared" si="563"/>
        <v>ISRG</v>
      </c>
      <c r="B1018" s="43" t="s">
        <v>350</v>
      </c>
      <c r="C1018" s="44"/>
      <c r="D1018" s="44"/>
      <c r="E1018" s="74" t="str">
        <f t="shared" si="561"/>
        <v>Operating Profit (ISRG)</v>
      </c>
      <c r="F1018" s="51">
        <f>F1014-F1016</f>
        <v>1023.5999999999999</v>
      </c>
      <c r="G1018" s="51">
        <f>G1014-G1016</f>
        <v>1149.1000000000004</v>
      </c>
      <c r="H1018" s="51">
        <f>H1014-H1016</f>
        <v>1307.9999999999998</v>
      </c>
      <c r="I1018" s="71"/>
      <c r="J1018" s="51">
        <f t="shared" ref="J1018" si="574">J1014-J1016</f>
        <v>1281.1043732664884</v>
      </c>
      <c r="K1018" s="62"/>
      <c r="L1018" s="67">
        <f t="shared" si="562"/>
        <v>2.0994094856560563E-2</v>
      </c>
    </row>
    <row r="1019" spans="1:12" ht="12" customHeight="1" outlineLevel="1" x14ac:dyDescent="0.25">
      <c r="A1019" s="70" t="str">
        <f t="shared" si="563"/>
        <v>ISRG</v>
      </c>
      <c r="B1019" s="42" t="s">
        <v>351</v>
      </c>
      <c r="C1019" s="46"/>
      <c r="D1019" s="46"/>
      <c r="E1019" s="72" t="str">
        <f t="shared" si="561"/>
        <v>Operating Profit Margin (%) (ISRG)</v>
      </c>
      <c r="F1019" s="47">
        <f>F1018/F1008</f>
        <v>0.37820062811749489</v>
      </c>
      <c r="G1019" s="47">
        <f>G1018/G1008</f>
        <v>0.36616531769804356</v>
      </c>
      <c r="H1019" s="47">
        <f>H1018/H1008</f>
        <v>0.35121636861607858</v>
      </c>
      <c r="I1019" s="71"/>
      <c r="J1019" s="47">
        <f t="shared" ref="J1019" si="575">J1018/J1008</f>
        <v>0.35622938905510848</v>
      </c>
      <c r="K1019" s="62"/>
      <c r="L1019" s="67">
        <f t="shared" si="562"/>
        <v>-1.4072450485702048E-2</v>
      </c>
    </row>
    <row r="1020" spans="1:12" ht="12" customHeight="1" outlineLevel="1" x14ac:dyDescent="0.25">
      <c r="A1020" s="70" t="str">
        <f t="shared" si="563"/>
        <v>ISRG</v>
      </c>
      <c r="B1020" s="42" t="s">
        <v>352</v>
      </c>
      <c r="C1020" s="41"/>
      <c r="D1020" s="41"/>
      <c r="E1020" s="40" t="str">
        <f t="shared" si="561"/>
        <v>Total Other Expenses / (Income) (ISRG)</v>
      </c>
      <c r="F1020" s="52">
        <v>0</v>
      </c>
      <c r="G1020" s="52">
        <v>0</v>
      </c>
      <c r="H1020" s="52">
        <v>0</v>
      </c>
      <c r="I1020" s="71"/>
      <c r="J1020" s="52">
        <v>0</v>
      </c>
      <c r="K1020" s="62"/>
      <c r="L1020" s="67">
        <f t="shared" si="562"/>
        <v>0</v>
      </c>
    </row>
    <row r="1021" spans="1:12" ht="12" customHeight="1" outlineLevel="1" x14ac:dyDescent="0.25">
      <c r="A1021" s="70" t="str">
        <f t="shared" si="563"/>
        <v>ISRG</v>
      </c>
      <c r="B1021" s="43" t="s">
        <v>353</v>
      </c>
      <c r="C1021" s="44"/>
      <c r="D1021" s="44"/>
      <c r="E1021" s="74" t="str">
        <f t="shared" si="561"/>
        <v>EBITDA (ISRG)</v>
      </c>
      <c r="F1021" s="51">
        <f>F1018-F1020</f>
        <v>1023.5999999999999</v>
      </c>
      <c r="G1021" s="51">
        <f>G1018-G1020</f>
        <v>1149.1000000000004</v>
      </c>
      <c r="H1021" s="51">
        <f>H1018-H1020</f>
        <v>1307.9999999999998</v>
      </c>
      <c r="I1021" s="71"/>
      <c r="J1021" s="51">
        <f t="shared" ref="J1021" si="576">J1018-J1020</f>
        <v>1281.1043732664884</v>
      </c>
      <c r="K1021" s="62"/>
      <c r="L1021" s="67">
        <f t="shared" si="562"/>
        <v>2.0994094856560563E-2</v>
      </c>
    </row>
    <row r="1022" spans="1:12" ht="12" customHeight="1" outlineLevel="1" x14ac:dyDescent="0.25">
      <c r="A1022" s="70" t="str">
        <f t="shared" si="563"/>
        <v>ISRG</v>
      </c>
      <c r="B1022" s="42" t="s">
        <v>354</v>
      </c>
      <c r="C1022" s="46"/>
      <c r="D1022" s="46"/>
      <c r="E1022" s="72" t="str">
        <f t="shared" si="561"/>
        <v>EBITDA Margin (%) (ISRG)</v>
      </c>
      <c r="F1022" s="47">
        <f>F1021/F1008</f>
        <v>0.37820062811749489</v>
      </c>
      <c r="G1022" s="47">
        <f>G1021/G1008</f>
        <v>0.36616531769804356</v>
      </c>
      <c r="H1022" s="47">
        <f>H1021/H1008</f>
        <v>0.35121636861607858</v>
      </c>
      <c r="I1022" s="71"/>
      <c r="J1022" s="47">
        <f t="shared" ref="J1022" si="577">J1021/J1008</f>
        <v>0.35622938905510848</v>
      </c>
      <c r="K1022" s="62"/>
      <c r="L1022" s="67">
        <f t="shared" si="562"/>
        <v>-1.4072450485702048E-2</v>
      </c>
    </row>
    <row r="1023" spans="1:12" ht="12" customHeight="1" outlineLevel="1" x14ac:dyDescent="0.25">
      <c r="A1023" s="70" t="str">
        <f t="shared" si="563"/>
        <v>ISRG</v>
      </c>
      <c r="B1023" s="42" t="s">
        <v>344</v>
      </c>
      <c r="C1023" s="53"/>
      <c r="D1023" s="53"/>
      <c r="E1023" s="40" t="str">
        <f t="shared" si="561"/>
        <v>Total Depreciation &amp; Amortization (ISRG)</v>
      </c>
      <c r="F1023" s="49">
        <f>F1011</f>
        <v>73.900000000000006</v>
      </c>
      <c r="G1023" s="49">
        <f>G1011</f>
        <v>86.2</v>
      </c>
      <c r="H1023" s="49">
        <f>H1011</f>
        <v>108.6</v>
      </c>
      <c r="I1023" s="71"/>
      <c r="J1023" s="49">
        <f t="shared" ref="J1023" si="578">J1011</f>
        <v>103.60977804613914</v>
      </c>
      <c r="K1023" s="62"/>
      <c r="L1023" s="67">
        <f t="shared" si="562"/>
        <v>4.816361976606709E-2</v>
      </c>
    </row>
    <row r="1024" spans="1:12" ht="12" customHeight="1" outlineLevel="1" x14ac:dyDescent="0.25">
      <c r="A1024" s="70" t="str">
        <f t="shared" si="563"/>
        <v>ISRG</v>
      </c>
      <c r="B1024" s="42" t="s">
        <v>346</v>
      </c>
      <c r="C1024" s="46"/>
      <c r="D1024" s="46"/>
      <c r="E1024" s="72" t="str">
        <f t="shared" si="561"/>
        <v>% Total Revenue (ISRG)</v>
      </c>
      <c r="F1024" s="47">
        <f>F1023/F1008</f>
        <v>2.7304636985036025E-2</v>
      </c>
      <c r="G1024" s="47">
        <f>G1023/G1008</f>
        <v>2.7467975272449173E-2</v>
      </c>
      <c r="H1024" s="47">
        <f>H1023/H1008</f>
        <v>2.9160625100692766E-2</v>
      </c>
      <c r="I1024" s="71"/>
      <c r="J1024" s="47">
        <f t="shared" ref="J1024" si="579">J1023/J1008</f>
        <v>2.8810180266111665E-2</v>
      </c>
      <c r="K1024" s="62"/>
      <c r="L1024" s="67">
        <f t="shared" si="562"/>
        <v>1.2163923701418611E-2</v>
      </c>
    </row>
    <row r="1025" spans="1:12" ht="12" customHeight="1" outlineLevel="1" x14ac:dyDescent="0.25">
      <c r="A1025" s="70" t="str">
        <f t="shared" si="563"/>
        <v>ISRG</v>
      </c>
      <c r="B1025" s="43" t="s">
        <v>355</v>
      </c>
      <c r="C1025" s="44"/>
      <c r="D1025" s="44"/>
      <c r="E1025" s="74" t="str">
        <f t="shared" si="561"/>
        <v>EBIT (ISRG)</v>
      </c>
      <c r="F1025" s="54">
        <f>F1021-F1023</f>
        <v>949.69999999999993</v>
      </c>
      <c r="G1025" s="54">
        <f>G1021-G1023</f>
        <v>1062.9000000000003</v>
      </c>
      <c r="H1025" s="54">
        <f>H1021-H1023</f>
        <v>1199.3999999999999</v>
      </c>
      <c r="I1025" s="71"/>
      <c r="J1025" s="54">
        <f t="shared" ref="J1025" si="580">J1021-J1023</f>
        <v>1177.4945952203493</v>
      </c>
      <c r="K1025" s="62"/>
      <c r="L1025" s="67">
        <f t="shared" si="562"/>
        <v>1.8603401551538612E-2</v>
      </c>
    </row>
    <row r="1026" spans="1:12" ht="12" customHeight="1" outlineLevel="1" x14ac:dyDescent="0.25">
      <c r="A1026" s="70" t="str">
        <f t="shared" si="563"/>
        <v>ISRG</v>
      </c>
      <c r="B1026" s="42" t="s">
        <v>356</v>
      </c>
      <c r="C1026" s="46"/>
      <c r="D1026" s="46"/>
      <c r="E1026" s="72" t="str">
        <f t="shared" si="561"/>
        <v>EBIT Margin (%) (ISRG)</v>
      </c>
      <c r="F1026" s="47">
        <f>F1025/F1008</f>
        <v>0.3508959911324589</v>
      </c>
      <c r="G1026" s="47">
        <f>G1025/G1008</f>
        <v>0.33869734242559435</v>
      </c>
      <c r="H1026" s="47">
        <f>H1025/H1008</f>
        <v>0.32205574351538585</v>
      </c>
      <c r="I1026" s="71"/>
      <c r="J1026" s="47">
        <f t="shared" ref="J1026" si="581">J1025/J1008</f>
        <v>0.32741920878899683</v>
      </c>
      <c r="K1026" s="62"/>
      <c r="L1026" s="67">
        <f t="shared" si="562"/>
        <v>-1.6381034251009452E-2</v>
      </c>
    </row>
    <row r="1027" spans="1:12" ht="12" customHeight="1" outlineLevel="1" x14ac:dyDescent="0.25">
      <c r="A1027" s="70" t="str">
        <f t="shared" si="563"/>
        <v>ISRG</v>
      </c>
      <c r="B1027" s="43" t="s">
        <v>357</v>
      </c>
      <c r="C1027" s="44"/>
      <c r="D1027" s="44"/>
      <c r="E1027" s="74" t="str">
        <f t="shared" si="561"/>
        <v>Net Interest Expense (ISRG)</v>
      </c>
      <c r="F1027" s="45">
        <f>-F1064</f>
        <v>-35.6</v>
      </c>
      <c r="G1027" s="45">
        <f t="shared" ref="G1027:J1027" si="582">-G1064</f>
        <v>-41.9</v>
      </c>
      <c r="H1027" s="45">
        <f t="shared" si="582"/>
        <v>-83.000000000000767</v>
      </c>
      <c r="I1027" s="71"/>
      <c r="J1027" s="45">
        <f t="shared" si="582"/>
        <v>-69.789924255183394</v>
      </c>
      <c r="K1027" s="62"/>
      <c r="L1027" s="67">
        <f t="shared" si="562"/>
        <v>0.18928342286940136</v>
      </c>
    </row>
    <row r="1028" spans="1:12" ht="12" customHeight="1" outlineLevel="1" x14ac:dyDescent="0.25">
      <c r="A1028" s="70" t="str">
        <f t="shared" si="563"/>
        <v>ISRG</v>
      </c>
      <c r="B1028" s="42" t="s">
        <v>346</v>
      </c>
      <c r="C1028" s="46"/>
      <c r="D1028" s="46"/>
      <c r="E1028" s="72" t="str">
        <f t="shared" si="561"/>
        <v>% Total Revenue (ISRG)</v>
      </c>
      <c r="F1028" s="47">
        <f>F1027/F1008</f>
        <v>-1.3153519305375947E-2</v>
      </c>
      <c r="G1028" s="47">
        <f>G1027/G1008</f>
        <v>-1.3351602829647567E-2</v>
      </c>
      <c r="H1028" s="47">
        <f>H1027/H1008</f>
        <v>-2.2286665592610701E-2</v>
      </c>
      <c r="I1028" s="71"/>
      <c r="J1028" s="47">
        <f t="shared" ref="J1028" si="583">J1027/J1008</f>
        <v>-1.9406086341143713E-2</v>
      </c>
      <c r="K1028" s="62"/>
      <c r="L1028" s="67">
        <f t="shared" si="562"/>
        <v>0.14843689762215173</v>
      </c>
    </row>
    <row r="1029" spans="1:12" ht="12" customHeight="1" outlineLevel="1" x14ac:dyDescent="0.25">
      <c r="A1029" s="70" t="str">
        <f t="shared" si="563"/>
        <v>ISRG</v>
      </c>
      <c r="B1029" s="43" t="s">
        <v>358</v>
      </c>
      <c r="C1029" s="44"/>
      <c r="D1029" s="44"/>
      <c r="E1029" s="74" t="str">
        <f t="shared" si="561"/>
        <v>EBT (ISRG)</v>
      </c>
      <c r="F1029" s="54">
        <f>F1025-F1027</f>
        <v>985.3</v>
      </c>
      <c r="G1029" s="54">
        <f>G1025-G1027</f>
        <v>1104.8000000000004</v>
      </c>
      <c r="H1029" s="54">
        <f>H1025-H1027</f>
        <v>1282.4000000000005</v>
      </c>
      <c r="I1029" s="71"/>
      <c r="J1029" s="54">
        <f t="shared" ref="J1029" si="584">J1025-J1027</f>
        <v>1247.2845194755328</v>
      </c>
      <c r="K1029" s="62"/>
      <c r="L1029" s="67">
        <f t="shared" si="562"/>
        <v>2.8153544741526426E-2</v>
      </c>
    </row>
    <row r="1030" spans="1:12" ht="12" customHeight="1" outlineLevel="1" x14ac:dyDescent="0.25">
      <c r="A1030" s="70" t="str">
        <f t="shared" si="563"/>
        <v>ISRG</v>
      </c>
      <c r="B1030" s="42" t="s">
        <v>359</v>
      </c>
      <c r="C1030" s="46"/>
      <c r="D1030" s="46"/>
      <c r="E1030" s="72" t="str">
        <f t="shared" si="561"/>
        <v>EBT Margin (%) (ISRG)</v>
      </c>
      <c r="F1030" s="47">
        <f>F1029/F1008</f>
        <v>0.36404951043783484</v>
      </c>
      <c r="G1030" s="47">
        <f>G1029/G1008</f>
        <v>0.35204894525524194</v>
      </c>
      <c r="H1030" s="47">
        <f>H1029/H1008</f>
        <v>0.34434240910799652</v>
      </c>
      <c r="I1030" s="71"/>
      <c r="J1030" s="47">
        <f t="shared" ref="J1030" si="585">J1029/J1008</f>
        <v>0.3468252951301406</v>
      </c>
      <c r="K1030" s="62"/>
      <c r="L1030" s="67">
        <f t="shared" si="562"/>
        <v>-7.1588954352721501E-3</v>
      </c>
    </row>
    <row r="1031" spans="1:12" ht="12" customHeight="1" outlineLevel="1" x14ac:dyDescent="0.25">
      <c r="A1031" s="70" t="str">
        <f t="shared" si="563"/>
        <v>ISRG</v>
      </c>
      <c r="B1031" s="42" t="s">
        <v>360</v>
      </c>
      <c r="C1031" s="41"/>
      <c r="D1031" s="41"/>
      <c r="E1031" s="40" t="str">
        <f t="shared" si="561"/>
        <v>Income Tax Expense (ISRG)</v>
      </c>
      <c r="F1031" s="55">
        <f>F1066</f>
        <v>247</v>
      </c>
      <c r="G1031" s="55">
        <f t="shared" ref="G1031:J1031" si="586">G1066</f>
        <v>433.9</v>
      </c>
      <c r="H1031" s="55">
        <f t="shared" si="586"/>
        <v>154.5</v>
      </c>
      <c r="I1031" s="71"/>
      <c r="J1031" s="55">
        <f t="shared" si="586"/>
        <v>166.59670727150549</v>
      </c>
      <c r="K1031" s="62"/>
      <c r="L1031" s="67">
        <f t="shared" si="562"/>
        <v>-7.261072244237865E-2</v>
      </c>
    </row>
    <row r="1032" spans="1:12" ht="12" customHeight="1" outlineLevel="1" x14ac:dyDescent="0.25">
      <c r="A1032" s="70" t="str">
        <f t="shared" si="563"/>
        <v>ISRG</v>
      </c>
      <c r="B1032" s="42" t="s">
        <v>361</v>
      </c>
      <c r="C1032" s="46"/>
      <c r="D1032" s="46"/>
      <c r="E1032" s="72" t="str">
        <f t="shared" si="561"/>
        <v>Effective Tax Rate (%) (ISRG)</v>
      </c>
      <c r="F1032" s="47">
        <f>F1031/F1029</f>
        <v>0.25068507053689232</v>
      </c>
      <c r="G1032" s="47">
        <f>G1031/G1029</f>
        <v>0.39274076755973913</v>
      </c>
      <c r="H1032" s="47">
        <f>H1031/H1029</f>
        <v>0.12047723019338735</v>
      </c>
      <c r="I1032" s="71"/>
      <c r="J1032" s="47">
        <f t="shared" ref="J1032" si="587">J1031/J1029</f>
        <v>0.13356752582927695</v>
      </c>
      <c r="K1032" s="62"/>
      <c r="L1032" s="67">
        <f t="shared" si="562"/>
        <v>-9.8005076867421548E-2</v>
      </c>
    </row>
    <row r="1033" spans="1:12" ht="12" customHeight="1" outlineLevel="1" x14ac:dyDescent="0.25">
      <c r="A1033" s="70" t="str">
        <f t="shared" si="563"/>
        <v>ISRG</v>
      </c>
      <c r="B1033" s="42" t="s">
        <v>362</v>
      </c>
      <c r="C1033" s="41"/>
      <c r="D1033" s="41"/>
      <c r="E1033" s="40" t="str">
        <f t="shared" si="561"/>
        <v>Noncontrolling Interest (ISRG)</v>
      </c>
      <c r="F1033" s="52">
        <v>0</v>
      </c>
      <c r="G1033" s="52">
        <v>0</v>
      </c>
      <c r="H1033" s="52">
        <v>0</v>
      </c>
      <c r="I1033" s="71"/>
      <c r="J1033" s="52">
        <v>0</v>
      </c>
      <c r="K1033" s="62"/>
      <c r="L1033" s="67">
        <f t="shared" si="562"/>
        <v>0</v>
      </c>
    </row>
    <row r="1034" spans="1:12" ht="12" customHeight="1" outlineLevel="1" thickBot="1" x14ac:dyDescent="0.3">
      <c r="A1034" s="70" t="str">
        <f t="shared" si="563"/>
        <v>ISRG</v>
      </c>
      <c r="B1034" s="43" t="s">
        <v>170</v>
      </c>
      <c r="C1034" s="44"/>
      <c r="D1034" s="44"/>
      <c r="E1034" s="74" t="str">
        <f t="shared" si="561"/>
        <v>Net Income (ISRG)</v>
      </c>
      <c r="F1034" s="56">
        <f>F1029-SUM(F1031,F1033)</f>
        <v>738.3</v>
      </c>
      <c r="G1034" s="56">
        <f>G1029-SUM(G1031,G1033)</f>
        <v>670.90000000000043</v>
      </c>
      <c r="H1034" s="56">
        <f>H1029-SUM(H1031,H1033)</f>
        <v>1127.9000000000005</v>
      </c>
      <c r="I1034" s="71"/>
      <c r="J1034" s="56">
        <f t="shared" ref="J1034" si="588">J1029-SUM(J1031,J1033)</f>
        <v>1080.6878122040273</v>
      </c>
      <c r="K1034" s="62"/>
      <c r="L1034" s="67">
        <f t="shared" si="562"/>
        <v>4.3687165953769425E-2</v>
      </c>
    </row>
    <row r="1035" spans="1:12" ht="12" customHeight="1" outlineLevel="1" thickTop="1" x14ac:dyDescent="0.25">
      <c r="A1035" s="70" t="str">
        <f t="shared" si="563"/>
        <v>ISRG</v>
      </c>
      <c r="B1035" s="42" t="s">
        <v>363</v>
      </c>
      <c r="C1035" s="46"/>
      <c r="D1035" s="46"/>
      <c r="E1035" s="72" t="str">
        <f t="shared" si="561"/>
        <v>Net Profit Margin (%) (ISRG)</v>
      </c>
      <c r="F1035" s="47">
        <f>F1034/F1008</f>
        <v>0.2727877332348051</v>
      </c>
      <c r="G1035" s="47">
        <f>G1034/G1008</f>
        <v>0.21378497227710164</v>
      </c>
      <c r="H1035" s="47">
        <f>H1034/H1008</f>
        <v>0.30285698942054684</v>
      </c>
      <c r="I1035" s="71"/>
      <c r="J1035" s="47">
        <f t="shared" ref="J1035" si="589">J1034/J1008</f>
        <v>0.30050069856459893</v>
      </c>
      <c r="K1035" s="62"/>
      <c r="L1035" s="67">
        <f t="shared" si="562"/>
        <v>7.8412159013379057E-3</v>
      </c>
    </row>
    <row r="1036" spans="1:12" ht="12" customHeight="1" outlineLevel="1" x14ac:dyDescent="0.25">
      <c r="A1036" s="70" t="str">
        <f t="shared" si="563"/>
        <v>ISRG</v>
      </c>
      <c r="B1036" s="42"/>
      <c r="C1036" s="41"/>
      <c r="D1036" s="41"/>
      <c r="E1036" s="40" t="str">
        <f t="shared" si="561"/>
        <v xml:space="preserve"> (ISRG)</v>
      </c>
      <c r="F1036" s="41"/>
      <c r="G1036" s="41"/>
      <c r="H1036" s="41"/>
      <c r="I1036" s="71"/>
      <c r="J1036" s="41"/>
      <c r="K1036" s="62"/>
      <c r="L1036" s="67"/>
    </row>
    <row r="1037" spans="1:12" ht="12" customHeight="1" outlineLevel="1" x14ac:dyDescent="0.25">
      <c r="A1037" s="70" t="str">
        <f t="shared" si="563"/>
        <v>ISRG</v>
      </c>
      <c r="B1037" s="42"/>
      <c r="C1037" s="41"/>
      <c r="D1037" s="41"/>
      <c r="E1037" s="40" t="str">
        <f t="shared" si="561"/>
        <v xml:space="preserve"> (ISRG)</v>
      </c>
      <c r="F1037" s="41"/>
      <c r="G1037" s="41"/>
      <c r="H1037" s="41"/>
      <c r="I1037" s="71"/>
      <c r="J1037" s="41"/>
      <c r="K1037" s="62"/>
      <c r="L1037" s="67"/>
    </row>
    <row r="1038" spans="1:12" ht="12" customHeight="1" outlineLevel="1" x14ac:dyDescent="0.25">
      <c r="A1038" s="70" t="str">
        <f t="shared" si="563"/>
        <v>ISRG</v>
      </c>
      <c r="B1038" s="42" t="s">
        <v>364</v>
      </c>
      <c r="C1038" s="41"/>
      <c r="D1038" s="41"/>
      <c r="E1038" s="40" t="str">
        <f t="shared" si="561"/>
        <v>Earnings Per Share (ISRG)</v>
      </c>
      <c r="F1038" s="41"/>
      <c r="G1038" s="41"/>
      <c r="H1038" s="41"/>
      <c r="I1038" s="71"/>
      <c r="J1038" s="41"/>
      <c r="K1038" s="62"/>
      <c r="L1038" s="67"/>
    </row>
    <row r="1039" spans="1:12" ht="12" customHeight="1" outlineLevel="1" x14ac:dyDescent="0.25">
      <c r="A1039" s="70" t="str">
        <f t="shared" si="563"/>
        <v>ISRG</v>
      </c>
      <c r="B1039" s="42" t="s">
        <v>365</v>
      </c>
      <c r="C1039" s="57"/>
      <c r="D1039" s="57"/>
      <c r="E1039" s="73" t="str">
        <f t="shared" si="561"/>
        <v>Basic (ISRG)</v>
      </c>
      <c r="F1039" s="58">
        <f>F1069</f>
        <v>6.43</v>
      </c>
      <c r="G1039" s="58">
        <f t="shared" ref="G1039:H1039" si="590">G1069</f>
        <v>6.01</v>
      </c>
      <c r="H1039" s="58">
        <f t="shared" si="590"/>
        <v>9.92</v>
      </c>
      <c r="I1039" s="71"/>
      <c r="J1039" s="58">
        <f t="shared" ref="J1039" si="591">J1069</f>
        <v>9.5216474754739213</v>
      </c>
      <c r="K1039" s="62"/>
      <c r="L1039" s="67">
        <f t="shared" si="562"/>
        <v>4.1836512594292552E-2</v>
      </c>
    </row>
    <row r="1040" spans="1:12" ht="12" customHeight="1" outlineLevel="1" x14ac:dyDescent="0.25">
      <c r="A1040" s="70" t="str">
        <f t="shared" si="563"/>
        <v>ISRG</v>
      </c>
      <c r="B1040" s="42" t="s">
        <v>366</v>
      </c>
      <c r="C1040" s="57"/>
      <c r="D1040" s="57"/>
      <c r="E1040" s="73" t="str">
        <f t="shared" si="561"/>
        <v>Diluted (ISRG)</v>
      </c>
      <c r="F1040" s="58">
        <f>F1070</f>
        <v>6.26</v>
      </c>
      <c r="G1040" s="58">
        <f t="shared" ref="G1040:H1040" si="592">G1070</f>
        <v>5.77</v>
      </c>
      <c r="H1040" s="58">
        <f t="shared" si="592"/>
        <v>9.49</v>
      </c>
      <c r="I1040" s="71"/>
      <c r="J1040" s="58">
        <f t="shared" ref="J1040" si="593">J1070</f>
        <v>9.0977836594297585</v>
      </c>
      <c r="K1040" s="62"/>
      <c r="L1040" s="67">
        <f t="shared" si="562"/>
        <v>4.3111196666422602E-2</v>
      </c>
    </row>
    <row r="1041" spans="1:13" ht="12" customHeight="1" outlineLevel="1" x14ac:dyDescent="0.25">
      <c r="A1041" s="70" t="str">
        <f t="shared" si="563"/>
        <v>ISRG</v>
      </c>
      <c r="B1041" s="42"/>
      <c r="C1041" s="41"/>
      <c r="D1041" s="41"/>
      <c r="E1041" s="40" t="str">
        <f t="shared" si="561"/>
        <v xml:space="preserve"> (ISRG)</v>
      </c>
      <c r="F1041" s="41"/>
      <c r="G1041" s="41"/>
      <c r="H1041" s="41"/>
      <c r="I1041" s="71"/>
      <c r="J1041" s="41"/>
      <c r="K1041" s="62"/>
      <c r="L1041" s="67"/>
    </row>
    <row r="1042" spans="1:13" ht="12" customHeight="1" outlineLevel="1" x14ac:dyDescent="0.25">
      <c r="A1042" s="70" t="str">
        <f t="shared" si="563"/>
        <v>ISRG</v>
      </c>
      <c r="B1042" s="42" t="s">
        <v>367</v>
      </c>
      <c r="C1042" s="41"/>
      <c r="D1042" s="41"/>
      <c r="E1042" s="40" t="str">
        <f t="shared" si="561"/>
        <v>Avg. Common Shares Outstanding (ISRG)</v>
      </c>
      <c r="F1042" s="41"/>
      <c r="G1042" s="41"/>
      <c r="H1042" s="41"/>
      <c r="I1042" s="71"/>
      <c r="J1042" s="41"/>
      <c r="K1042" s="62"/>
      <c r="L1042" s="67"/>
    </row>
    <row r="1043" spans="1:13" ht="12" customHeight="1" outlineLevel="1" x14ac:dyDescent="0.25">
      <c r="A1043" s="70" t="str">
        <f t="shared" si="563"/>
        <v>ISRG</v>
      </c>
      <c r="B1043" s="42" t="s">
        <v>365</v>
      </c>
      <c r="C1043" s="41"/>
      <c r="D1043" s="41"/>
      <c r="E1043" s="40" t="str">
        <f t="shared" si="561"/>
        <v>Basic (ISRG)</v>
      </c>
      <c r="F1043" s="53">
        <f>F1034/F1039</f>
        <v>114.82115085536547</v>
      </c>
      <c r="G1043" s="53">
        <f>G1034/G1039</f>
        <v>111.63061564059907</v>
      </c>
      <c r="H1043" s="53">
        <f>H1034/H1039</f>
        <v>113.69959677419361</v>
      </c>
      <c r="I1043" s="71"/>
      <c r="J1043" s="53">
        <f t="shared" ref="J1043" si="594">J1034/J1039</f>
        <v>113.49798603526206</v>
      </c>
      <c r="K1043" s="62"/>
      <c r="L1043" s="67">
        <f t="shared" si="562"/>
        <v>1.7763375895403222E-3</v>
      </c>
    </row>
    <row r="1044" spans="1:13" ht="12" customHeight="1" outlineLevel="1" x14ac:dyDescent="0.25">
      <c r="A1044" s="70" t="str">
        <f t="shared" si="563"/>
        <v>ISRG</v>
      </c>
      <c r="B1044" s="42" t="s">
        <v>366</v>
      </c>
      <c r="C1044" s="41"/>
      <c r="D1044" s="41"/>
      <c r="E1044" s="40" t="str">
        <f t="shared" si="561"/>
        <v>Diluted (ISRG)</v>
      </c>
      <c r="F1044" s="53">
        <f>F1034/F1040</f>
        <v>117.93929712460064</v>
      </c>
      <c r="G1044" s="53">
        <f>G1034/G1040</f>
        <v>116.27383015597928</v>
      </c>
      <c r="H1044" s="53">
        <f>H1034/H1040</f>
        <v>118.85142255005275</v>
      </c>
      <c r="I1044" s="71"/>
      <c r="J1044" s="53">
        <f t="shared" ref="J1044" si="595">J1034/J1040</f>
        <v>118.78583319398957</v>
      </c>
      <c r="K1044" s="62"/>
      <c r="L1044" s="67">
        <f t="shared" si="562"/>
        <v>5.5216480197639584E-4</v>
      </c>
    </row>
    <row r="1045" spans="1:13" ht="12" customHeight="1" outlineLevel="1" x14ac:dyDescent="0.25">
      <c r="B1045" s="62"/>
      <c r="C1045" s="62"/>
      <c r="D1045" s="62"/>
      <c r="E1045" s="62"/>
      <c r="F1045" s="62"/>
      <c r="G1045" s="62"/>
      <c r="H1045" s="62"/>
      <c r="I1045" s="15"/>
      <c r="J1045" s="62"/>
      <c r="K1045" s="62"/>
      <c r="L1045" s="62"/>
    </row>
    <row r="1046" spans="1:13" ht="12" customHeight="1" outlineLevel="1" x14ac:dyDescent="0.25">
      <c r="B1046" s="63" t="s">
        <v>371</v>
      </c>
      <c r="C1046" s="63"/>
      <c r="D1046" s="63"/>
      <c r="E1046" s="63"/>
      <c r="F1046" s="63"/>
      <c r="G1046" s="63"/>
      <c r="H1046" s="63"/>
      <c r="I1046" s="63"/>
      <c r="J1046" s="63"/>
      <c r="K1046" s="63"/>
      <c r="L1046" s="64"/>
      <c r="M1046" s="64"/>
    </row>
    <row r="1047" spans="1:13" ht="12" hidden="1" customHeight="1" outlineLevel="2" x14ac:dyDescent="0.25">
      <c r="B1047" s="1"/>
    </row>
    <row r="1048" spans="1:13" ht="12" hidden="1" customHeight="1" outlineLevel="2" x14ac:dyDescent="0.25">
      <c r="B1048" s="8" t="s">
        <v>69</v>
      </c>
    </row>
    <row r="1049" spans="1:13" ht="12" hidden="1" customHeight="1" outlineLevel="2" x14ac:dyDescent="0.25">
      <c r="B1049" s="8" t="s">
        <v>230</v>
      </c>
      <c r="F1049" s="3" t="s">
        <v>4</v>
      </c>
      <c r="G1049" s="3" t="s">
        <v>3</v>
      </c>
      <c r="H1049" s="3" t="s">
        <v>2</v>
      </c>
      <c r="J1049" s="14" t="s">
        <v>2</v>
      </c>
      <c r="L1049" s="36">
        <f>MEDIAN(L1051:L1076)</f>
        <v>3.9599779248481681E-2</v>
      </c>
    </row>
    <row r="1050" spans="1:13" ht="12" hidden="1" customHeight="1" outlineLevel="2" x14ac:dyDescent="0.25">
      <c r="B1050" s="8" t="s">
        <v>70</v>
      </c>
      <c r="J1050" s="15"/>
    </row>
    <row r="1051" spans="1:13" ht="12" hidden="1" customHeight="1" outlineLevel="2" x14ac:dyDescent="0.25">
      <c r="B1051" s="8" t="s">
        <v>327</v>
      </c>
      <c r="F1051" s="3">
        <v>2195.8000000000002</v>
      </c>
      <c r="G1051" s="3">
        <v>2565.3000000000002</v>
      </c>
      <c r="H1051" s="3">
        <v>3089.1</v>
      </c>
      <c r="J1051" s="14">
        <v>2966.9976608682036</v>
      </c>
      <c r="L1051" s="36">
        <f t="shared" ref="L1051:L1076" si="596">IF(ISERROR(H1051/J1051-1),0,(H1051/J1051-1))</f>
        <v>4.1153500301738255E-2</v>
      </c>
    </row>
    <row r="1052" spans="1:13" ht="12" hidden="1" customHeight="1" outlineLevel="2" x14ac:dyDescent="0.25">
      <c r="B1052" s="8" t="s">
        <v>328</v>
      </c>
      <c r="F1052" s="6">
        <v>510.7</v>
      </c>
      <c r="G1052" s="6">
        <v>572.9</v>
      </c>
      <c r="H1052" s="6">
        <v>635.1</v>
      </c>
      <c r="J1052" s="14">
        <v>629.29285481494298</v>
      </c>
      <c r="L1052" s="36">
        <f t="shared" si="596"/>
        <v>9.2280488180098708E-3</v>
      </c>
    </row>
    <row r="1053" spans="1:13" ht="12" hidden="1" customHeight="1" outlineLevel="2" x14ac:dyDescent="0.25">
      <c r="B1053" s="8" t="s">
        <v>71</v>
      </c>
      <c r="F1053" s="9">
        <f>SUM(F1051:F1052)</f>
        <v>2706.5</v>
      </c>
      <c r="G1053" s="9">
        <f t="shared" ref="G1053:H1053" si="597">SUM(G1051:G1052)</f>
        <v>3138.2000000000003</v>
      </c>
      <c r="H1053" s="9">
        <f t="shared" si="597"/>
        <v>3724.2</v>
      </c>
      <c r="J1053" s="17">
        <v>3596.2905156831466</v>
      </c>
      <c r="L1053" s="36">
        <f t="shared" si="596"/>
        <v>3.5567061047779625E-2</v>
      </c>
    </row>
    <row r="1054" spans="1:13" ht="12" hidden="1" customHeight="1" outlineLevel="2" x14ac:dyDescent="0.25">
      <c r="B1054" s="8" t="s">
        <v>72</v>
      </c>
      <c r="J1054" s="15"/>
      <c r="L1054" s="35"/>
    </row>
    <row r="1055" spans="1:13" ht="12" hidden="1" customHeight="1" outlineLevel="2" x14ac:dyDescent="0.25">
      <c r="B1055" s="8" t="s">
        <v>273</v>
      </c>
      <c r="F1055" s="3">
        <v>662.6</v>
      </c>
      <c r="G1055" s="3">
        <v>756.3</v>
      </c>
      <c r="H1055" s="3">
        <v>906.2</v>
      </c>
      <c r="J1055" s="14">
        <v>887.56150004632843</v>
      </c>
      <c r="L1055" s="36">
        <f t="shared" si="596"/>
        <v>2.0999671518761032E-2</v>
      </c>
    </row>
    <row r="1056" spans="1:13" ht="12" hidden="1" customHeight="1" outlineLevel="2" x14ac:dyDescent="0.25">
      <c r="B1056" s="8" t="s">
        <v>274</v>
      </c>
      <c r="F1056" s="3">
        <v>151</v>
      </c>
      <c r="G1056" s="3">
        <v>179.9</v>
      </c>
      <c r="H1056" s="3">
        <v>213.9</v>
      </c>
      <c r="J1056" s="14">
        <v>205.75225607937949</v>
      </c>
      <c r="L1056" s="36">
        <f t="shared" si="596"/>
        <v>3.9599779248481681E-2</v>
      </c>
    </row>
    <row r="1057" spans="2:12" ht="12" hidden="1" customHeight="1" outlineLevel="2" x14ac:dyDescent="0.25">
      <c r="B1057" s="8" t="s">
        <v>73</v>
      </c>
      <c r="F1057" s="9">
        <f>SUM(F1055:F1056)</f>
        <v>813.6</v>
      </c>
      <c r="G1057" s="9">
        <f t="shared" ref="G1057:H1057" si="598">SUM(G1055:G1056)</f>
        <v>936.19999999999993</v>
      </c>
      <c r="H1057" s="9">
        <f t="shared" si="598"/>
        <v>1120.1000000000001</v>
      </c>
      <c r="J1057" s="17">
        <v>1093.3137561257079</v>
      </c>
      <c r="L1057" s="36">
        <f t="shared" si="596"/>
        <v>2.4500051997161876E-2</v>
      </c>
    </row>
    <row r="1058" spans="2:12" ht="12" hidden="1" customHeight="1" outlineLevel="2" x14ac:dyDescent="0.25">
      <c r="B1058" s="8" t="s">
        <v>8</v>
      </c>
      <c r="F1058" s="9">
        <f>F1053-F1057</f>
        <v>1892.9</v>
      </c>
      <c r="G1058" s="9">
        <f t="shared" ref="G1058:H1058" si="599">G1053-G1057</f>
        <v>2202.0000000000005</v>
      </c>
      <c r="H1058" s="9">
        <f t="shared" si="599"/>
        <v>2604.0999999999995</v>
      </c>
      <c r="J1058" s="17">
        <v>2502.9767595574385</v>
      </c>
      <c r="L1058" s="36">
        <f t="shared" si="596"/>
        <v>4.0401190325251246E-2</v>
      </c>
    </row>
    <row r="1059" spans="2:12" ht="12" hidden="1" customHeight="1" outlineLevel="2" x14ac:dyDescent="0.25">
      <c r="B1059" s="8" t="s">
        <v>74</v>
      </c>
      <c r="J1059" s="15"/>
      <c r="L1059" s="35"/>
    </row>
    <row r="1060" spans="2:12" ht="12" hidden="1" customHeight="1" outlineLevel="2" x14ac:dyDescent="0.25">
      <c r="B1060" s="8" t="s">
        <v>75</v>
      </c>
      <c r="F1060" s="3">
        <v>703.6</v>
      </c>
      <c r="G1060" s="3">
        <v>810.5</v>
      </c>
      <c r="H1060" s="3">
        <v>986.6</v>
      </c>
      <c r="J1060" s="14">
        <v>929.43783809891852</v>
      </c>
      <c r="L1060" s="36">
        <f t="shared" si="596"/>
        <v>6.1501866567000851E-2</v>
      </c>
    </row>
    <row r="1061" spans="2:12" ht="12" hidden="1" customHeight="1" outlineLevel="2" x14ac:dyDescent="0.25">
      <c r="B1061" s="8" t="s">
        <v>45</v>
      </c>
      <c r="F1061" s="3">
        <v>239.6</v>
      </c>
      <c r="G1061" s="3">
        <v>328.6</v>
      </c>
      <c r="H1061" s="3">
        <v>418.1</v>
      </c>
      <c r="J1061" s="14">
        <v>396.0443262381711</v>
      </c>
      <c r="L1061" s="36">
        <f t="shared" si="596"/>
        <v>5.568991221595021E-2</v>
      </c>
    </row>
    <row r="1062" spans="2:12" ht="12" hidden="1" customHeight="1" outlineLevel="2" x14ac:dyDescent="0.25">
      <c r="B1062" s="8" t="s">
        <v>76</v>
      </c>
      <c r="F1062" s="9">
        <f>SUM(F1060:F1061)</f>
        <v>943.2</v>
      </c>
      <c r="G1062" s="9">
        <f t="shared" ref="G1062:H1062" si="600">SUM(G1060:G1061)</f>
        <v>1139.0999999999999</v>
      </c>
      <c r="H1062" s="9">
        <f t="shared" si="600"/>
        <v>1404.7</v>
      </c>
      <c r="J1062" s="17">
        <v>1325.4821643370897</v>
      </c>
      <c r="L1062" s="36">
        <f t="shared" si="596"/>
        <v>5.9765297334294587E-2</v>
      </c>
    </row>
    <row r="1063" spans="2:12" ht="12" hidden="1" customHeight="1" outlineLevel="2" x14ac:dyDescent="0.25">
      <c r="B1063" s="8" t="s">
        <v>48</v>
      </c>
      <c r="F1063" s="9">
        <f>F1058-F1062</f>
        <v>949.7</v>
      </c>
      <c r="G1063" s="9">
        <f t="shared" ref="G1063:H1063" si="601">G1058-G1062</f>
        <v>1062.9000000000005</v>
      </c>
      <c r="H1063" s="9">
        <f t="shared" si="601"/>
        <v>1199.3999999999994</v>
      </c>
      <c r="J1063" s="17">
        <v>1177.4945952203489</v>
      </c>
      <c r="L1063" s="36">
        <f t="shared" si="596"/>
        <v>1.8603401551538612E-2</v>
      </c>
    </row>
    <row r="1064" spans="2:12" ht="12" hidden="1" customHeight="1" outlineLevel="2" x14ac:dyDescent="0.25">
      <c r="B1064" s="8" t="s">
        <v>77</v>
      </c>
      <c r="F1064" s="3">
        <v>35.6</v>
      </c>
      <c r="G1064" s="3">
        <v>41.9</v>
      </c>
      <c r="H1064" s="3">
        <v>83.000000000000767</v>
      </c>
      <c r="J1064" s="14">
        <v>69.789924255183394</v>
      </c>
      <c r="L1064" s="36">
        <f t="shared" si="596"/>
        <v>0.18928342286940136</v>
      </c>
    </row>
    <row r="1065" spans="2:12" ht="12" hidden="1" customHeight="1" outlineLevel="2" x14ac:dyDescent="0.25">
      <c r="B1065" s="8" t="s">
        <v>78</v>
      </c>
      <c r="F1065" s="9">
        <f>SUM(F1063:F1064)</f>
        <v>985.30000000000007</v>
      </c>
      <c r="G1065" s="9">
        <f t="shared" ref="G1065:H1065" si="602">SUM(G1063:G1064)</f>
        <v>1104.8000000000006</v>
      </c>
      <c r="H1065" s="9">
        <f t="shared" si="602"/>
        <v>1282.4000000000001</v>
      </c>
      <c r="J1065" s="17">
        <v>1247.2845194755323</v>
      </c>
      <c r="L1065" s="36">
        <f t="shared" si="596"/>
        <v>2.8153544741526426E-2</v>
      </c>
    </row>
    <row r="1066" spans="2:12" ht="12" hidden="1" customHeight="1" outlineLevel="2" x14ac:dyDescent="0.25">
      <c r="B1066" s="8" t="s">
        <v>53</v>
      </c>
      <c r="F1066" s="6">
        <v>247</v>
      </c>
      <c r="G1066" s="6">
        <v>433.9</v>
      </c>
      <c r="H1066" s="6">
        <v>154.5</v>
      </c>
      <c r="J1066" s="14">
        <v>166.59670727150549</v>
      </c>
      <c r="L1066" s="36">
        <f t="shared" si="596"/>
        <v>-7.261072244237865E-2</v>
      </c>
    </row>
    <row r="1067" spans="2:12" ht="12" hidden="1" customHeight="1" outlineLevel="2" thickBot="1" x14ac:dyDescent="0.3">
      <c r="B1067" s="8" t="s">
        <v>17</v>
      </c>
      <c r="F1067" s="10">
        <f>F1065-F1066</f>
        <v>738.30000000000007</v>
      </c>
      <c r="G1067" s="10">
        <f t="shared" ref="G1067:H1067" si="603">G1065-G1066</f>
        <v>670.90000000000066</v>
      </c>
      <c r="H1067" s="10">
        <f t="shared" si="603"/>
        <v>1127.9000000000001</v>
      </c>
      <c r="J1067" s="19">
        <v>1080.6878122040268</v>
      </c>
      <c r="L1067" s="36">
        <f t="shared" si="596"/>
        <v>4.3687165953769425E-2</v>
      </c>
    </row>
    <row r="1068" spans="2:12" ht="12" hidden="1" customHeight="1" outlineLevel="2" thickTop="1" x14ac:dyDescent="0.25">
      <c r="B1068" s="8" t="s">
        <v>92</v>
      </c>
      <c r="J1068" s="15"/>
      <c r="L1068" s="35"/>
    </row>
    <row r="1069" spans="2:12" ht="12" hidden="1" customHeight="1" outlineLevel="2" x14ac:dyDescent="0.25">
      <c r="B1069" s="8" t="s">
        <v>19</v>
      </c>
      <c r="F1069" s="11">
        <v>6.43</v>
      </c>
      <c r="G1069" s="11">
        <v>6.01</v>
      </c>
      <c r="H1069" s="11">
        <v>9.92</v>
      </c>
      <c r="J1069" s="20">
        <v>9.5216474754739213</v>
      </c>
      <c r="L1069" s="36">
        <f t="shared" si="596"/>
        <v>4.1836512594292552E-2</v>
      </c>
    </row>
    <row r="1070" spans="2:12" ht="12" hidden="1" customHeight="1" outlineLevel="2" x14ac:dyDescent="0.25">
      <c r="B1070" s="8" t="s">
        <v>20</v>
      </c>
      <c r="F1070" s="11">
        <v>6.26</v>
      </c>
      <c r="G1070" s="11">
        <v>5.77</v>
      </c>
      <c r="H1070" s="11">
        <v>9.49</v>
      </c>
      <c r="J1070" s="20">
        <v>9.0977836594297585</v>
      </c>
      <c r="L1070" s="36">
        <f t="shared" si="596"/>
        <v>4.3111196666422602E-2</v>
      </c>
    </row>
    <row r="1071" spans="2:12" ht="12" hidden="1" customHeight="1" outlineLevel="2" x14ac:dyDescent="0.25">
      <c r="B1071" s="8" t="s">
        <v>329</v>
      </c>
      <c r="J1071" s="15"/>
      <c r="L1071" s="35"/>
    </row>
    <row r="1072" spans="2:12" ht="12" hidden="1" customHeight="1" outlineLevel="2" x14ac:dyDescent="0.25">
      <c r="B1072" s="8" t="s">
        <v>22</v>
      </c>
      <c r="F1072" s="3">
        <v>114.9</v>
      </c>
      <c r="G1072" s="3">
        <v>111.7</v>
      </c>
      <c r="H1072" s="3">
        <v>113.7</v>
      </c>
      <c r="J1072" s="14">
        <v>114</v>
      </c>
      <c r="L1072" s="36">
        <f t="shared" si="596"/>
        <v>-2.6315789473684292E-3</v>
      </c>
    </row>
    <row r="1073" spans="1:13" ht="12" hidden="1" customHeight="1" outlineLevel="2" x14ac:dyDescent="0.25">
      <c r="B1073" s="8" t="s">
        <v>23</v>
      </c>
      <c r="F1073" s="3">
        <v>117.9</v>
      </c>
      <c r="G1073" s="3">
        <v>116.3</v>
      </c>
      <c r="H1073" s="3">
        <v>118.8</v>
      </c>
      <c r="J1073" s="14">
        <v>119.2</v>
      </c>
      <c r="L1073" s="36">
        <f t="shared" si="596"/>
        <v>-3.3557046979866278E-3</v>
      </c>
    </row>
    <row r="1074" spans="1:13" ht="12" hidden="1" customHeight="1" outlineLevel="2" x14ac:dyDescent="0.25">
      <c r="J1074" s="21"/>
      <c r="L1074" s="35"/>
    </row>
    <row r="1075" spans="1:13" ht="12" hidden="1" customHeight="1" outlineLevel="2" x14ac:dyDescent="0.25">
      <c r="B1075" s="8" t="s">
        <v>79</v>
      </c>
      <c r="F1075" s="3">
        <v>73.900000000000006</v>
      </c>
      <c r="G1075" s="3">
        <v>86.2</v>
      </c>
      <c r="H1075" s="3">
        <v>108.6</v>
      </c>
      <c r="J1075" s="14">
        <v>103.60977804613914</v>
      </c>
      <c r="L1075" s="36">
        <f t="shared" si="596"/>
        <v>4.816361976606709E-2</v>
      </c>
    </row>
    <row r="1076" spans="1:13" ht="12" hidden="1" customHeight="1" outlineLevel="2" x14ac:dyDescent="0.25">
      <c r="B1076" s="8" t="s">
        <v>81</v>
      </c>
      <c r="F1076" s="3">
        <v>-53.9</v>
      </c>
      <c r="G1076" s="3">
        <v>-190.7</v>
      </c>
      <c r="H1076" s="3">
        <v>-187.4</v>
      </c>
      <c r="J1076" s="14">
        <v>-201.77659073569862</v>
      </c>
      <c r="L1076" s="36">
        <f t="shared" si="596"/>
        <v>-7.1250042848281181E-2</v>
      </c>
    </row>
    <row r="1077" spans="1:13" ht="12" customHeight="1" outlineLevel="1" collapsed="1" x14ac:dyDescent="0.25"/>
    <row r="1078" spans="1:13" ht="12" customHeight="1" x14ac:dyDescent="0.25">
      <c r="B1078" s="61" t="s">
        <v>385</v>
      </c>
      <c r="C1078" s="61"/>
      <c r="D1078" s="61"/>
      <c r="E1078" s="61"/>
      <c r="F1078" s="61"/>
      <c r="G1078" s="61"/>
      <c r="H1078" s="61"/>
      <c r="I1078" s="61"/>
      <c r="J1078" s="61"/>
      <c r="K1078" s="61"/>
      <c r="L1078" s="61"/>
      <c r="M1078" s="91" t="s">
        <v>40</v>
      </c>
    </row>
    <row r="1079" spans="1:13" ht="12" customHeight="1" x14ac:dyDescent="0.25">
      <c r="B1079" s="38"/>
      <c r="C1079" s="15"/>
      <c r="D1079" s="15"/>
      <c r="E1079" s="15"/>
      <c r="F1079" s="15"/>
      <c r="G1079" s="15"/>
      <c r="H1079" s="15"/>
      <c r="I1079" s="15"/>
      <c r="J1079" s="15"/>
      <c r="K1079" s="62"/>
      <c r="L1079" s="62"/>
    </row>
    <row r="1080" spans="1:13" ht="12" customHeight="1" outlineLevel="1" x14ac:dyDescent="0.25">
      <c r="B1080" s="85" t="s">
        <v>338</v>
      </c>
      <c r="C1080" s="86"/>
      <c r="D1080" s="86"/>
      <c r="E1080" s="86"/>
      <c r="F1080" s="89" t="s">
        <v>369</v>
      </c>
      <c r="G1080" s="89"/>
      <c r="H1080" s="90"/>
      <c r="I1080" s="15"/>
      <c r="J1080" s="82" t="s">
        <v>370</v>
      </c>
      <c r="K1080" s="62"/>
      <c r="L1080" s="68" t="s">
        <v>386</v>
      </c>
    </row>
    <row r="1081" spans="1:13" ht="12" customHeight="1" outlineLevel="1" x14ac:dyDescent="0.25">
      <c r="B1081" s="87"/>
      <c r="C1081" s="88"/>
      <c r="D1081" s="88"/>
      <c r="E1081" s="88"/>
      <c r="F1081" s="39">
        <f>G1081-1</f>
        <v>2016</v>
      </c>
      <c r="G1081" s="39">
        <f>H1081-1</f>
        <v>2017</v>
      </c>
      <c r="H1081" s="60">
        <f>J1081</f>
        <v>2018</v>
      </c>
      <c r="I1081" s="15"/>
      <c r="J1081" s="81">
        <v>2018</v>
      </c>
      <c r="K1081" s="62"/>
      <c r="L1081" s="68" t="s">
        <v>370</v>
      </c>
    </row>
    <row r="1082" spans="1:13" ht="12" customHeight="1" outlineLevel="1" x14ac:dyDescent="0.25">
      <c r="B1082" s="62"/>
      <c r="C1082" s="62"/>
      <c r="D1082" s="62"/>
      <c r="E1082" s="62"/>
      <c r="F1082" s="40"/>
      <c r="G1082" s="40"/>
      <c r="H1082" s="40"/>
      <c r="I1082" s="15"/>
      <c r="J1082" s="40"/>
      <c r="K1082" s="62"/>
      <c r="L1082" s="62"/>
    </row>
    <row r="1083" spans="1:13" ht="12" customHeight="1" outlineLevel="1" x14ac:dyDescent="0.25">
      <c r="A1083" s="70" t="str">
        <f>M1078</f>
        <v>BIIB</v>
      </c>
      <c r="B1083" s="43" t="s">
        <v>340</v>
      </c>
      <c r="C1083" s="44"/>
      <c r="D1083" s="44"/>
      <c r="E1083" s="74" t="str">
        <f>B1083&amp;" ("&amp;A1083&amp;")"</f>
        <v>Total Revenue (BIIB)</v>
      </c>
      <c r="F1083" s="45">
        <f>F1129</f>
        <v>11448.8</v>
      </c>
      <c r="G1083" s="45">
        <f t="shared" ref="G1083:J1083" si="604">G1129</f>
        <v>12273.900000000001</v>
      </c>
      <c r="H1083" s="45">
        <f t="shared" si="604"/>
        <v>13452.9</v>
      </c>
      <c r="I1083" s="71"/>
      <c r="J1083" s="45">
        <f t="shared" si="604"/>
        <v>13570.256883421564</v>
      </c>
      <c r="K1083" s="62"/>
      <c r="L1083" s="67">
        <f>IF(ISERROR(H1083/J1083-1),0,(H1083/J1083-1))</f>
        <v>-8.6480959372947641E-3</v>
      </c>
    </row>
    <row r="1084" spans="1:13" ht="12" customHeight="1" outlineLevel="1" x14ac:dyDescent="0.25">
      <c r="A1084" s="70" t="str">
        <f>A1083</f>
        <v>BIIB</v>
      </c>
      <c r="B1084" s="42" t="s">
        <v>341</v>
      </c>
      <c r="C1084" s="46"/>
      <c r="D1084" s="46"/>
      <c r="E1084" s="72" t="str">
        <f t="shared" ref="E1084:E1119" si="605">B1084&amp;" ("&amp;A1084&amp;")"</f>
        <v>% Growth (BIIB)</v>
      </c>
      <c r="F1084" s="47" t="s">
        <v>342</v>
      </c>
      <c r="G1084" s="47">
        <f>G1083/F1083-1</f>
        <v>7.2068688421494054E-2</v>
      </c>
      <c r="H1084" s="47">
        <f>H1083/G1083-1</f>
        <v>9.6057487840050637E-2</v>
      </c>
      <c r="I1084" s="71"/>
      <c r="J1084" s="47">
        <f>J1083/G1083-1</f>
        <v>0.10561898690893368</v>
      </c>
      <c r="K1084" s="62"/>
      <c r="L1084" s="67">
        <f t="shared" ref="L1084:L1119" si="606">IF(ISERROR(H1084/J1084-1),0,(H1084/J1084-1))</f>
        <v>-9.0528221759285654E-2</v>
      </c>
    </row>
    <row r="1085" spans="1:13" ht="12" customHeight="1" outlineLevel="1" x14ac:dyDescent="0.25">
      <c r="A1085" s="70" t="str">
        <f t="shared" ref="A1085:A1119" si="607">A1084</f>
        <v>BIIB</v>
      </c>
      <c r="B1085" s="42" t="s">
        <v>343</v>
      </c>
      <c r="C1085" s="41"/>
      <c r="D1085" s="41"/>
      <c r="E1085" s="40" t="str">
        <f t="shared" si="605"/>
        <v>COGS (BIIB)</v>
      </c>
      <c r="F1085" s="48">
        <f>SUM(F1131,F1134)</f>
        <v>1864.3000000000002</v>
      </c>
      <c r="G1085" s="48">
        <f t="shared" ref="G1085:H1085" si="608">SUM(G1131,G1134)</f>
        <v>2444.6999999999998</v>
      </c>
      <c r="H1085" s="48">
        <f t="shared" si="608"/>
        <v>2563.6</v>
      </c>
      <c r="I1085" s="71"/>
      <c r="J1085" s="48">
        <f t="shared" ref="J1085" si="609">SUM(J1131,J1134)</f>
        <v>2487.8857329094876</v>
      </c>
      <c r="K1085" s="62"/>
      <c r="L1085" s="67">
        <f t="shared" si="606"/>
        <v>3.0433177090479768E-2</v>
      </c>
    </row>
    <row r="1086" spans="1:13" ht="12" customHeight="1" outlineLevel="1" x14ac:dyDescent="0.25">
      <c r="A1086" s="70" t="str">
        <f t="shared" si="607"/>
        <v>BIIB</v>
      </c>
      <c r="B1086" s="42" t="s">
        <v>344</v>
      </c>
      <c r="C1086" s="41"/>
      <c r="D1086" s="41"/>
      <c r="E1086" s="40" t="str">
        <f t="shared" si="605"/>
        <v>Total Depreciation &amp; Amortization (BIIB)</v>
      </c>
      <c r="F1086" s="48">
        <f>F1157</f>
        <v>682.7</v>
      </c>
      <c r="G1086" s="48">
        <f t="shared" ref="G1086:H1086" si="610">G1157</f>
        <v>1081</v>
      </c>
      <c r="H1086" s="48">
        <f t="shared" si="610"/>
        <v>1016.6</v>
      </c>
      <c r="I1086" s="71"/>
      <c r="J1086" s="48">
        <f t="shared" ref="J1086" si="611">J1157</f>
        <v>937.355904771322</v>
      </c>
      <c r="K1086" s="62"/>
      <c r="L1086" s="67">
        <f t="shared" si="606"/>
        <v>8.4540028846364912E-2</v>
      </c>
    </row>
    <row r="1087" spans="1:13" ht="12" customHeight="1" outlineLevel="1" x14ac:dyDescent="0.25">
      <c r="A1087" s="70" t="str">
        <f t="shared" si="607"/>
        <v>BIIB</v>
      </c>
      <c r="B1087" s="42" t="s">
        <v>345</v>
      </c>
      <c r="C1087" s="41"/>
      <c r="D1087" s="41"/>
      <c r="E1087" s="40" t="str">
        <f t="shared" si="605"/>
        <v>COGS (Exclusive of D&amp;A) (BIIB)</v>
      </c>
      <c r="F1087" s="49">
        <f>F1085-F1086</f>
        <v>1181.6000000000001</v>
      </c>
      <c r="G1087" s="49">
        <f>G1085-G1086</f>
        <v>1363.6999999999998</v>
      </c>
      <c r="H1087" s="49">
        <f>H1085-H1086</f>
        <v>1547</v>
      </c>
      <c r="I1087" s="71"/>
      <c r="J1087" s="49">
        <f t="shared" ref="J1087" si="612">J1085-J1086</f>
        <v>1550.5298281381656</v>
      </c>
      <c r="K1087" s="62"/>
      <c r="L1087" s="67">
        <f t="shared" si="606"/>
        <v>-2.2765303021640149E-3</v>
      </c>
    </row>
    <row r="1088" spans="1:13" ht="12" customHeight="1" outlineLevel="1" x14ac:dyDescent="0.25">
      <c r="A1088" s="70" t="str">
        <f t="shared" si="607"/>
        <v>BIIB</v>
      </c>
      <c r="B1088" s="42" t="s">
        <v>346</v>
      </c>
      <c r="C1088" s="46"/>
      <c r="D1088" s="46"/>
      <c r="E1088" s="72" t="str">
        <f t="shared" si="605"/>
        <v>% Total Revenue (BIIB)</v>
      </c>
      <c r="F1088" s="50">
        <f>F1087/F1083</f>
        <v>0.10320732303822236</v>
      </c>
      <c r="G1088" s="50">
        <f>G1087/G1083</f>
        <v>0.11110567953136327</v>
      </c>
      <c r="H1088" s="50">
        <f>H1087/H1083</f>
        <v>0.11499379315983914</v>
      </c>
      <c r="I1088" s="71"/>
      <c r="J1088" s="50">
        <f t="shared" ref="J1088" si="613">J1087/J1083</f>
        <v>0.11425943086106265</v>
      </c>
      <c r="K1088" s="62"/>
      <c r="L1088" s="67">
        <f t="shared" si="606"/>
        <v>6.4271482296236471E-3</v>
      </c>
    </row>
    <row r="1089" spans="1:12" ht="12" customHeight="1" outlineLevel="1" x14ac:dyDescent="0.25">
      <c r="A1089" s="70" t="str">
        <f t="shared" si="607"/>
        <v>BIIB</v>
      </c>
      <c r="B1089" s="43" t="s">
        <v>347</v>
      </c>
      <c r="C1089" s="44"/>
      <c r="D1089" s="44"/>
      <c r="E1089" s="74" t="str">
        <f t="shared" si="605"/>
        <v>Gross Profit (BIIB)</v>
      </c>
      <c r="F1089" s="51">
        <f>F1083-F1087</f>
        <v>10267.199999999999</v>
      </c>
      <c r="G1089" s="51">
        <f>G1083-G1087</f>
        <v>10910.2</v>
      </c>
      <c r="H1089" s="51">
        <f>H1083-H1087</f>
        <v>11905.9</v>
      </c>
      <c r="I1089" s="71"/>
      <c r="J1089" s="51">
        <f t="shared" ref="J1089" si="614">J1083-J1087</f>
        <v>12019.727055283398</v>
      </c>
      <c r="K1089" s="62"/>
      <c r="L1089" s="67">
        <f t="shared" si="606"/>
        <v>-9.4700199729880197E-3</v>
      </c>
    </row>
    <row r="1090" spans="1:12" ht="12" customHeight="1" outlineLevel="1" x14ac:dyDescent="0.25">
      <c r="A1090" s="70" t="str">
        <f t="shared" si="607"/>
        <v>BIIB</v>
      </c>
      <c r="B1090" s="42" t="s">
        <v>348</v>
      </c>
      <c r="C1090" s="46"/>
      <c r="D1090" s="46"/>
      <c r="E1090" s="72" t="str">
        <f t="shared" si="605"/>
        <v>Gross Profit Margin (%) (BIIB)</v>
      </c>
      <c r="F1090" s="47">
        <f>F1089/F1083</f>
        <v>0.89679267696177767</v>
      </c>
      <c r="G1090" s="47">
        <f>G1089/G1083</f>
        <v>0.8888943204686367</v>
      </c>
      <c r="H1090" s="47">
        <f>H1089/H1083</f>
        <v>0.88500620684016085</v>
      </c>
      <c r="I1090" s="71"/>
      <c r="J1090" s="47">
        <f t="shared" ref="J1090" si="615">J1089/J1083</f>
        <v>0.88574056913893739</v>
      </c>
      <c r="K1090" s="62"/>
      <c r="L1090" s="67">
        <f t="shared" si="606"/>
        <v>-8.2909412119447357E-4</v>
      </c>
    </row>
    <row r="1091" spans="1:12" ht="12" customHeight="1" outlineLevel="1" x14ac:dyDescent="0.25">
      <c r="A1091" s="70" t="str">
        <f t="shared" si="607"/>
        <v>BIIB</v>
      </c>
      <c r="B1091" s="42" t="s">
        <v>349</v>
      </c>
      <c r="C1091" s="41"/>
      <c r="D1091" s="41"/>
      <c r="E1091" s="40" t="str">
        <f t="shared" si="605"/>
        <v>Operating expenses (BIIB)</v>
      </c>
      <c r="F1091" s="48">
        <f>SUM(F1132,F1133)</f>
        <v>3919.8999999999996</v>
      </c>
      <c r="G1091" s="48">
        <f t="shared" ref="G1091:J1091" si="616">SUM(G1132,G1133)</f>
        <v>4187.5</v>
      </c>
      <c r="H1091" s="48">
        <f t="shared" si="616"/>
        <v>4703.5</v>
      </c>
      <c r="I1091" s="71"/>
      <c r="J1091" s="48">
        <f t="shared" si="616"/>
        <v>4784.9042255300319</v>
      </c>
      <c r="K1091" s="62"/>
      <c r="L1091" s="67">
        <f t="shared" si="606"/>
        <v>-1.7012717850379722E-2</v>
      </c>
    </row>
    <row r="1092" spans="1:12" ht="12" customHeight="1" outlineLevel="1" x14ac:dyDescent="0.25">
      <c r="A1092" s="70" t="str">
        <f t="shared" si="607"/>
        <v>BIIB</v>
      </c>
      <c r="B1092" s="42" t="s">
        <v>346</v>
      </c>
      <c r="C1092" s="46"/>
      <c r="D1092" s="46"/>
      <c r="E1092" s="72" t="str">
        <f t="shared" si="605"/>
        <v>% Total Revenue (BIIB)</v>
      </c>
      <c r="F1092" s="50">
        <f>F1091/F1083</f>
        <v>0.34238522814618128</v>
      </c>
      <c r="G1092" s="50">
        <f>G1091/G1083</f>
        <v>0.34117110290942565</v>
      </c>
      <c r="H1092" s="50">
        <f>H1091/H1083</f>
        <v>0.34962721792327306</v>
      </c>
      <c r="I1092" s="71"/>
      <c r="J1092" s="50">
        <f t="shared" ref="J1092" si="617">J1091/J1083</f>
        <v>0.35260233219134024</v>
      </c>
      <c r="K1092" s="62"/>
      <c r="L1092" s="67">
        <f t="shared" si="606"/>
        <v>-8.4375910096157192E-3</v>
      </c>
    </row>
    <row r="1093" spans="1:12" ht="12" customHeight="1" outlineLevel="1" x14ac:dyDescent="0.25">
      <c r="A1093" s="70" t="str">
        <f t="shared" si="607"/>
        <v>BIIB</v>
      </c>
      <c r="B1093" s="43" t="s">
        <v>350</v>
      </c>
      <c r="C1093" s="44"/>
      <c r="D1093" s="44"/>
      <c r="E1093" s="74" t="str">
        <f t="shared" si="605"/>
        <v>Operating Profit (BIIB)</v>
      </c>
      <c r="F1093" s="51">
        <f>F1089-F1091</f>
        <v>6347.2999999999993</v>
      </c>
      <c r="G1093" s="51">
        <f>G1089-G1091</f>
        <v>6722.7000000000007</v>
      </c>
      <c r="H1093" s="51">
        <f>H1089-H1091</f>
        <v>7202.4</v>
      </c>
      <c r="I1093" s="71"/>
      <c r="J1093" s="51">
        <f t="shared" ref="J1093" si="618">J1089-J1091</f>
        <v>7234.822829753366</v>
      </c>
      <c r="K1093" s="62"/>
      <c r="L1093" s="67">
        <f t="shared" si="606"/>
        <v>-4.4814960250342262E-3</v>
      </c>
    </row>
    <row r="1094" spans="1:12" ht="12" customHeight="1" outlineLevel="1" x14ac:dyDescent="0.25">
      <c r="A1094" s="70" t="str">
        <f t="shared" si="607"/>
        <v>BIIB</v>
      </c>
      <c r="B1094" s="42" t="s">
        <v>351</v>
      </c>
      <c r="C1094" s="46"/>
      <c r="D1094" s="46"/>
      <c r="E1094" s="72" t="str">
        <f t="shared" si="605"/>
        <v>Operating Profit Margin (%) (BIIB)</v>
      </c>
      <c r="F1094" s="47">
        <f>F1093/F1083</f>
        <v>0.55440744881559634</v>
      </c>
      <c r="G1094" s="47">
        <f>G1093/G1083</f>
        <v>0.54772321755921105</v>
      </c>
      <c r="H1094" s="47">
        <f>H1093/H1083</f>
        <v>0.53537898891688784</v>
      </c>
      <c r="I1094" s="71"/>
      <c r="J1094" s="47">
        <f t="shared" ref="J1094" si="619">J1093/J1083</f>
        <v>0.5331382369475971</v>
      </c>
      <c r="K1094" s="62"/>
      <c r="L1094" s="67">
        <f t="shared" si="606"/>
        <v>4.2029474046352266E-3</v>
      </c>
    </row>
    <row r="1095" spans="1:12" ht="12" customHeight="1" outlineLevel="1" x14ac:dyDescent="0.25">
      <c r="A1095" s="70" t="str">
        <f t="shared" si="607"/>
        <v>BIIB</v>
      </c>
      <c r="B1095" s="42" t="s">
        <v>352</v>
      </c>
      <c r="C1095" s="41"/>
      <c r="D1095" s="41"/>
      <c r="E1095" s="40" t="str">
        <f t="shared" si="605"/>
        <v>Total Other Expenses / (Income) (BIIB)</v>
      </c>
      <c r="F1095" s="52">
        <f>SUM(F1135,F1136,F1137,F1138,F1139,-F1141,-F1143,F1146)</f>
        <v>731.59999999999991</v>
      </c>
      <c r="G1095" s="52">
        <f t="shared" ref="G1095:J1095" si="620">SUM(G1135,G1136,G1137,G1138,G1139,-G1141,-G1143,G1146)</f>
        <v>512.9</v>
      </c>
      <c r="H1095" s="52">
        <f t="shared" si="620"/>
        <v>286.2</v>
      </c>
      <c r="I1095" s="71"/>
      <c r="J1095" s="52">
        <f t="shared" si="620"/>
        <v>177.998510134745</v>
      </c>
      <c r="K1095" s="62"/>
      <c r="L1095" s="67">
        <f t="shared" si="606"/>
        <v>0.60787862653089841</v>
      </c>
    </row>
    <row r="1096" spans="1:12" ht="12" customHeight="1" outlineLevel="1" x14ac:dyDescent="0.25">
      <c r="A1096" s="70" t="str">
        <f t="shared" si="607"/>
        <v>BIIB</v>
      </c>
      <c r="B1096" s="43" t="s">
        <v>353</v>
      </c>
      <c r="C1096" s="44"/>
      <c r="D1096" s="44"/>
      <c r="E1096" s="74" t="str">
        <f t="shared" si="605"/>
        <v>EBITDA (BIIB)</v>
      </c>
      <c r="F1096" s="51">
        <f>F1093-F1095</f>
        <v>5615.6999999999989</v>
      </c>
      <c r="G1096" s="51">
        <f>G1093-G1095</f>
        <v>6209.8000000000011</v>
      </c>
      <c r="H1096" s="51">
        <f>H1093-H1095</f>
        <v>6916.2</v>
      </c>
      <c r="I1096" s="71"/>
      <c r="J1096" s="51">
        <f t="shared" ref="J1096" si="621">J1093-J1095</f>
        <v>7056.8243196186213</v>
      </c>
      <c r="K1096" s="62"/>
      <c r="L1096" s="67">
        <f t="shared" si="606"/>
        <v>-1.9927422484880775E-2</v>
      </c>
    </row>
    <row r="1097" spans="1:12" ht="12" customHeight="1" outlineLevel="1" x14ac:dyDescent="0.25">
      <c r="A1097" s="70" t="str">
        <f t="shared" si="607"/>
        <v>BIIB</v>
      </c>
      <c r="B1097" s="42" t="s">
        <v>354</v>
      </c>
      <c r="C1097" s="46"/>
      <c r="D1097" s="46"/>
      <c r="E1097" s="72" t="str">
        <f t="shared" si="605"/>
        <v>EBITDA Margin (%) (BIIB)</v>
      </c>
      <c r="F1097" s="47">
        <f>F1096/F1083</f>
        <v>0.49050555516735372</v>
      </c>
      <c r="G1097" s="47">
        <f>G1096/G1083</f>
        <v>0.50593535876942131</v>
      </c>
      <c r="H1097" s="47">
        <f>H1096/H1083</f>
        <v>0.51410476551524209</v>
      </c>
      <c r="I1097" s="71"/>
      <c r="J1097" s="47">
        <f t="shared" ref="J1097" si="622">J1096/J1083</f>
        <v>0.52002142481471836</v>
      </c>
      <c r="K1097" s="62"/>
      <c r="L1097" s="67">
        <f t="shared" si="606"/>
        <v>-1.137772218055122E-2</v>
      </c>
    </row>
    <row r="1098" spans="1:12" ht="12" customHeight="1" outlineLevel="1" x14ac:dyDescent="0.25">
      <c r="A1098" s="70" t="str">
        <f t="shared" si="607"/>
        <v>BIIB</v>
      </c>
      <c r="B1098" s="42" t="s">
        <v>344</v>
      </c>
      <c r="C1098" s="53"/>
      <c r="D1098" s="53"/>
      <c r="E1098" s="40" t="str">
        <f t="shared" si="605"/>
        <v>Total Depreciation &amp; Amortization (BIIB)</v>
      </c>
      <c r="F1098" s="49">
        <f>F1086</f>
        <v>682.7</v>
      </c>
      <c r="G1098" s="49">
        <f>G1086</f>
        <v>1081</v>
      </c>
      <c r="H1098" s="49">
        <f>H1086</f>
        <v>1016.6</v>
      </c>
      <c r="I1098" s="71"/>
      <c r="J1098" s="49">
        <f t="shared" ref="J1098" si="623">J1086</f>
        <v>937.355904771322</v>
      </c>
      <c r="K1098" s="62"/>
      <c r="L1098" s="67">
        <f t="shared" si="606"/>
        <v>8.4540028846364912E-2</v>
      </c>
    </row>
    <row r="1099" spans="1:12" ht="12" customHeight="1" outlineLevel="1" x14ac:dyDescent="0.25">
      <c r="A1099" s="70" t="str">
        <f t="shared" si="607"/>
        <v>BIIB</v>
      </c>
      <c r="B1099" s="42" t="s">
        <v>346</v>
      </c>
      <c r="C1099" s="46"/>
      <c r="D1099" s="46"/>
      <c r="E1099" s="72" t="str">
        <f t="shared" si="605"/>
        <v>% Total Revenue (BIIB)</v>
      </c>
      <c r="F1099" s="47">
        <f>F1098/F1083</f>
        <v>5.9630703654531485E-2</v>
      </c>
      <c r="G1099" s="47">
        <f>G1098/G1083</f>
        <v>8.8073065610767554E-2</v>
      </c>
      <c r="H1099" s="47">
        <f>H1098/H1083</f>
        <v>7.5567349790751442E-2</v>
      </c>
      <c r="I1099" s="71"/>
      <c r="J1099" s="47">
        <f t="shared" ref="J1099" si="624">J1098/J1083</f>
        <v>6.9074293347863275E-2</v>
      </c>
      <c r="K1099" s="62"/>
      <c r="L1099" s="67">
        <f t="shared" si="606"/>
        <v>9.4001054924856886E-2</v>
      </c>
    </row>
    <row r="1100" spans="1:12" ht="12" customHeight="1" outlineLevel="1" x14ac:dyDescent="0.25">
      <c r="A1100" s="70" t="str">
        <f t="shared" si="607"/>
        <v>BIIB</v>
      </c>
      <c r="B1100" s="43" t="s">
        <v>355</v>
      </c>
      <c r="C1100" s="44"/>
      <c r="D1100" s="44"/>
      <c r="E1100" s="74" t="str">
        <f t="shared" si="605"/>
        <v>EBIT (BIIB)</v>
      </c>
      <c r="F1100" s="54">
        <f>F1096-F1098</f>
        <v>4932.9999999999991</v>
      </c>
      <c r="G1100" s="54">
        <f>G1096-G1098</f>
        <v>5128.8000000000011</v>
      </c>
      <c r="H1100" s="54">
        <f>H1096-H1098</f>
        <v>5899.5999999999995</v>
      </c>
      <c r="I1100" s="71"/>
      <c r="J1100" s="54">
        <f t="shared" ref="J1100" si="625">J1096-J1098</f>
        <v>6119.4684148472988</v>
      </c>
      <c r="K1100" s="62"/>
      <c r="L1100" s="67">
        <f t="shared" si="606"/>
        <v>-3.5929332409633141E-2</v>
      </c>
    </row>
    <row r="1101" spans="1:12" ht="12" customHeight="1" outlineLevel="1" x14ac:dyDescent="0.25">
      <c r="A1101" s="70" t="str">
        <f t="shared" si="607"/>
        <v>BIIB</v>
      </c>
      <c r="B1101" s="42" t="s">
        <v>356</v>
      </c>
      <c r="C1101" s="46"/>
      <c r="D1101" s="46"/>
      <c r="E1101" s="72" t="str">
        <f t="shared" si="605"/>
        <v>EBIT Margin (%) (BIIB)</v>
      </c>
      <c r="F1101" s="47">
        <f>F1100/F1083</f>
        <v>0.43087485151282223</v>
      </c>
      <c r="G1101" s="47">
        <f>G1100/G1083</f>
        <v>0.41786229315865375</v>
      </c>
      <c r="H1101" s="47">
        <f>H1100/H1083</f>
        <v>0.43853741572449062</v>
      </c>
      <c r="I1101" s="71"/>
      <c r="J1101" s="47">
        <f t="shared" ref="J1101" si="626">J1100/J1083</f>
        <v>0.45094713146685506</v>
      </c>
      <c r="K1101" s="62"/>
      <c r="L1101" s="67">
        <f t="shared" si="606"/>
        <v>-2.7519225373488276E-2</v>
      </c>
    </row>
    <row r="1102" spans="1:12" ht="12" customHeight="1" outlineLevel="1" x14ac:dyDescent="0.25">
      <c r="A1102" s="70" t="str">
        <f t="shared" si="607"/>
        <v>BIIB</v>
      </c>
      <c r="B1102" s="43" t="s">
        <v>357</v>
      </c>
      <c r="C1102" s="44"/>
      <c r="D1102" s="44"/>
      <c r="E1102" s="74" t="str">
        <f t="shared" si="605"/>
        <v>Net Interest Expense (BIIB)</v>
      </c>
      <c r="F1102" s="45">
        <v>0</v>
      </c>
      <c r="G1102" s="45">
        <v>0</v>
      </c>
      <c r="H1102" s="45">
        <v>0</v>
      </c>
      <c r="I1102" s="71"/>
      <c r="J1102" s="45">
        <v>0</v>
      </c>
      <c r="K1102" s="62"/>
      <c r="L1102" s="67">
        <f t="shared" si="606"/>
        <v>0</v>
      </c>
    </row>
    <row r="1103" spans="1:12" ht="12" customHeight="1" outlineLevel="1" x14ac:dyDescent="0.25">
      <c r="A1103" s="70" t="str">
        <f t="shared" si="607"/>
        <v>BIIB</v>
      </c>
      <c r="B1103" s="42" t="s">
        <v>346</v>
      </c>
      <c r="C1103" s="46"/>
      <c r="D1103" s="46"/>
      <c r="E1103" s="72" t="str">
        <f t="shared" si="605"/>
        <v>% Total Revenue (BIIB)</v>
      </c>
      <c r="F1103" s="47">
        <f>F1102/F1083</f>
        <v>0</v>
      </c>
      <c r="G1103" s="47">
        <f>G1102/G1083</f>
        <v>0</v>
      </c>
      <c r="H1103" s="47">
        <f>H1102/H1083</f>
        <v>0</v>
      </c>
      <c r="I1103" s="71"/>
      <c r="J1103" s="47">
        <f t="shared" ref="J1103" si="627">J1102/J1083</f>
        <v>0</v>
      </c>
      <c r="K1103" s="62"/>
      <c r="L1103" s="67">
        <f t="shared" si="606"/>
        <v>0</v>
      </c>
    </row>
    <row r="1104" spans="1:12" ht="12" customHeight="1" outlineLevel="1" x14ac:dyDescent="0.25">
      <c r="A1104" s="70" t="str">
        <f t="shared" si="607"/>
        <v>BIIB</v>
      </c>
      <c r="B1104" s="43" t="s">
        <v>358</v>
      </c>
      <c r="C1104" s="44"/>
      <c r="D1104" s="44"/>
      <c r="E1104" s="74" t="str">
        <f t="shared" si="605"/>
        <v>EBT (BIIB)</v>
      </c>
      <c r="F1104" s="54">
        <f>F1100-F1102</f>
        <v>4932.9999999999991</v>
      </c>
      <c r="G1104" s="54">
        <f>G1100-G1102</f>
        <v>5128.8000000000011</v>
      </c>
      <c r="H1104" s="54">
        <f>H1100-H1102</f>
        <v>5899.5999999999995</v>
      </c>
      <c r="I1104" s="71"/>
      <c r="J1104" s="54">
        <f t="shared" ref="J1104" si="628">J1100-J1102</f>
        <v>6119.4684148472988</v>
      </c>
      <c r="K1104" s="62"/>
      <c r="L1104" s="67">
        <f t="shared" si="606"/>
        <v>-3.5929332409633141E-2</v>
      </c>
    </row>
    <row r="1105" spans="1:12" ht="12" customHeight="1" outlineLevel="1" x14ac:dyDescent="0.25">
      <c r="A1105" s="70" t="str">
        <f t="shared" si="607"/>
        <v>BIIB</v>
      </c>
      <c r="B1105" s="42" t="s">
        <v>359</v>
      </c>
      <c r="C1105" s="46"/>
      <c r="D1105" s="46"/>
      <c r="E1105" s="72" t="str">
        <f t="shared" si="605"/>
        <v>EBT Margin (%) (BIIB)</v>
      </c>
      <c r="F1105" s="47">
        <f>F1104/F1083</f>
        <v>0.43087485151282223</v>
      </c>
      <c r="G1105" s="47">
        <f>G1104/G1083</f>
        <v>0.41786229315865375</v>
      </c>
      <c r="H1105" s="47">
        <f>H1104/H1083</f>
        <v>0.43853741572449062</v>
      </c>
      <c r="I1105" s="71"/>
      <c r="J1105" s="47">
        <f t="shared" ref="J1105" si="629">J1104/J1083</f>
        <v>0.45094713146685506</v>
      </c>
      <c r="K1105" s="62"/>
      <c r="L1105" s="67">
        <f t="shared" si="606"/>
        <v>-2.7519225373488276E-2</v>
      </c>
    </row>
    <row r="1106" spans="1:12" ht="12" customHeight="1" outlineLevel="1" x14ac:dyDescent="0.25">
      <c r="A1106" s="70" t="str">
        <f t="shared" si="607"/>
        <v>BIIB</v>
      </c>
      <c r="B1106" s="42" t="s">
        <v>360</v>
      </c>
      <c r="C1106" s="41"/>
      <c r="D1106" s="41"/>
      <c r="E1106" s="40" t="str">
        <f t="shared" si="605"/>
        <v>Income Tax Expense (BIIB)</v>
      </c>
      <c r="F1106" s="55">
        <f>F1145</f>
        <v>1237.3</v>
      </c>
      <c r="G1106" s="55">
        <f t="shared" ref="G1106:J1106" si="630">G1145</f>
        <v>2458.6999999999998</v>
      </c>
      <c r="H1106" s="55">
        <f t="shared" si="630"/>
        <v>1425.6</v>
      </c>
      <c r="I1106" s="71"/>
      <c r="J1106" s="55">
        <f t="shared" si="630"/>
        <v>1348.2484195633519</v>
      </c>
      <c r="K1106" s="62"/>
      <c r="L1106" s="67">
        <f t="shared" si="606"/>
        <v>5.7371905143192681E-2</v>
      </c>
    </row>
    <row r="1107" spans="1:12" ht="12" customHeight="1" outlineLevel="1" x14ac:dyDescent="0.25">
      <c r="A1107" s="70" t="str">
        <f t="shared" si="607"/>
        <v>BIIB</v>
      </c>
      <c r="B1107" s="42" t="s">
        <v>361</v>
      </c>
      <c r="C1107" s="46"/>
      <c r="D1107" s="46"/>
      <c r="E1107" s="72" t="str">
        <f t="shared" si="605"/>
        <v>Effective Tax Rate (%) (BIIB)</v>
      </c>
      <c r="F1107" s="47">
        <f>F1106/F1104</f>
        <v>0.25082100141901481</v>
      </c>
      <c r="G1107" s="47">
        <f>G1106/G1104</f>
        <v>0.47939089065668367</v>
      </c>
      <c r="H1107" s="47">
        <f>H1106/H1104</f>
        <v>0.24164350125432232</v>
      </c>
      <c r="I1107" s="71"/>
      <c r="J1107" s="47">
        <f t="shared" ref="J1107" si="631">J1106/J1104</f>
        <v>0.2203211665072374</v>
      </c>
      <c r="K1107" s="62"/>
      <c r="L1107" s="67">
        <f t="shared" si="606"/>
        <v>9.6778421633785694E-2</v>
      </c>
    </row>
    <row r="1108" spans="1:12" ht="12" customHeight="1" outlineLevel="1" x14ac:dyDescent="0.25">
      <c r="A1108" s="70" t="str">
        <f t="shared" si="607"/>
        <v>BIIB</v>
      </c>
      <c r="B1108" s="42" t="s">
        <v>362</v>
      </c>
      <c r="C1108" s="41"/>
      <c r="D1108" s="41"/>
      <c r="E1108" s="40" t="str">
        <f t="shared" si="605"/>
        <v>Noncontrolling Interest (BIIB)</v>
      </c>
      <c r="F1108" s="52">
        <f>F1148</f>
        <v>-7.1</v>
      </c>
      <c r="G1108" s="52">
        <f t="shared" ref="G1108:J1108" si="632">G1148</f>
        <v>131</v>
      </c>
      <c r="H1108" s="52">
        <f t="shared" si="632"/>
        <v>43.3</v>
      </c>
      <c r="I1108" s="71"/>
      <c r="J1108" s="52">
        <f t="shared" si="632"/>
        <v>47.021828441710781</v>
      </c>
      <c r="K1108" s="62"/>
      <c r="L1108" s="67">
        <f t="shared" si="606"/>
        <v>-7.9151078659657759E-2</v>
      </c>
    </row>
    <row r="1109" spans="1:12" ht="12" customHeight="1" outlineLevel="1" thickBot="1" x14ac:dyDescent="0.3">
      <c r="A1109" s="70" t="str">
        <f t="shared" si="607"/>
        <v>BIIB</v>
      </c>
      <c r="B1109" s="43" t="s">
        <v>170</v>
      </c>
      <c r="C1109" s="44"/>
      <c r="D1109" s="44"/>
      <c r="E1109" s="74" t="str">
        <f t="shared" si="605"/>
        <v>Net Income (BIIB)</v>
      </c>
      <c r="F1109" s="56">
        <f>F1104-SUM(F1106,F1108)</f>
        <v>3702.7999999999993</v>
      </c>
      <c r="G1109" s="56">
        <f>G1104-SUM(G1106,G1108)</f>
        <v>2539.1000000000013</v>
      </c>
      <c r="H1109" s="56">
        <f>H1104-SUM(H1106,H1108)</f>
        <v>4430.7</v>
      </c>
      <c r="I1109" s="71"/>
      <c r="J1109" s="56">
        <f t="shared" ref="J1109" si="633">J1104-SUM(J1106,J1108)</f>
        <v>4724.1981668422359</v>
      </c>
      <c r="K1109" s="62"/>
      <c r="L1109" s="67">
        <f t="shared" si="606"/>
        <v>-6.2126557031881857E-2</v>
      </c>
    </row>
    <row r="1110" spans="1:12" ht="12" customHeight="1" outlineLevel="1" thickTop="1" x14ac:dyDescent="0.25">
      <c r="A1110" s="70" t="str">
        <f t="shared" si="607"/>
        <v>BIIB</v>
      </c>
      <c r="B1110" s="42" t="s">
        <v>363</v>
      </c>
      <c r="C1110" s="46"/>
      <c r="D1110" s="46"/>
      <c r="E1110" s="72" t="str">
        <f t="shared" si="605"/>
        <v>Net Profit Margin (%) (BIIB)</v>
      </c>
      <c r="F1110" s="47">
        <f>F1109/F1083</f>
        <v>0.3234225421004821</v>
      </c>
      <c r="G1110" s="47">
        <f>G1109/G1083</f>
        <v>0.20686986206503238</v>
      </c>
      <c r="H1110" s="47">
        <f>H1109/H1083</f>
        <v>0.32934906228396849</v>
      </c>
      <c r="I1110" s="71"/>
      <c r="J1110" s="47">
        <f t="shared" ref="J1110" si="634">J1109/J1083</f>
        <v>0.34812886796665349</v>
      </c>
      <c r="K1110" s="62"/>
      <c r="L1110" s="67">
        <f t="shared" si="606"/>
        <v>-5.3944982478396075E-2</v>
      </c>
    </row>
    <row r="1111" spans="1:12" ht="12" customHeight="1" outlineLevel="1" x14ac:dyDescent="0.25">
      <c r="A1111" s="70" t="str">
        <f t="shared" si="607"/>
        <v>BIIB</v>
      </c>
      <c r="B1111" s="42"/>
      <c r="C1111" s="41"/>
      <c r="D1111" s="41"/>
      <c r="E1111" s="40" t="str">
        <f t="shared" si="605"/>
        <v xml:space="preserve"> (BIIB)</v>
      </c>
      <c r="F1111" s="41"/>
      <c r="G1111" s="41"/>
      <c r="H1111" s="41"/>
      <c r="I1111" s="71"/>
      <c r="J1111" s="41"/>
      <c r="K1111" s="62"/>
      <c r="L1111" s="67"/>
    </row>
    <row r="1112" spans="1:12" ht="12" customHeight="1" outlineLevel="1" x14ac:dyDescent="0.25">
      <c r="A1112" s="70" t="str">
        <f t="shared" si="607"/>
        <v>BIIB</v>
      </c>
      <c r="B1112" s="42"/>
      <c r="C1112" s="41"/>
      <c r="D1112" s="41"/>
      <c r="E1112" s="40" t="str">
        <f t="shared" si="605"/>
        <v xml:space="preserve"> (BIIB)</v>
      </c>
      <c r="F1112" s="41"/>
      <c r="G1112" s="41"/>
      <c r="H1112" s="41"/>
      <c r="I1112" s="71"/>
      <c r="J1112" s="41"/>
      <c r="K1112" s="62"/>
      <c r="L1112" s="67"/>
    </row>
    <row r="1113" spans="1:12" ht="12" customHeight="1" outlineLevel="1" x14ac:dyDescent="0.25">
      <c r="A1113" s="70" t="str">
        <f t="shared" si="607"/>
        <v>BIIB</v>
      </c>
      <c r="B1113" s="42" t="s">
        <v>364</v>
      </c>
      <c r="C1113" s="41"/>
      <c r="D1113" s="41"/>
      <c r="E1113" s="40" t="str">
        <f t="shared" si="605"/>
        <v>Earnings Per Share (BIIB)</v>
      </c>
      <c r="F1113" s="41"/>
      <c r="G1113" s="41"/>
      <c r="H1113" s="41"/>
      <c r="I1113" s="71"/>
      <c r="J1113" s="41"/>
      <c r="K1113" s="62"/>
      <c r="L1113" s="67"/>
    </row>
    <row r="1114" spans="1:12" ht="12" customHeight="1" outlineLevel="1" x14ac:dyDescent="0.25">
      <c r="A1114" s="70" t="str">
        <f t="shared" si="607"/>
        <v>BIIB</v>
      </c>
      <c r="B1114" s="42" t="s">
        <v>365</v>
      </c>
      <c r="C1114" s="57"/>
      <c r="D1114" s="57"/>
      <c r="E1114" s="73" t="str">
        <f t="shared" si="605"/>
        <v>Basic (BIIB)</v>
      </c>
      <c r="F1114" s="58">
        <f>F1151</f>
        <v>16.96</v>
      </c>
      <c r="G1114" s="58">
        <f t="shared" ref="G1114:H1114" si="635">G1151</f>
        <v>11.94</v>
      </c>
      <c r="H1114" s="58">
        <f t="shared" si="635"/>
        <v>21.63</v>
      </c>
      <c r="I1114" s="71"/>
      <c r="J1114" s="58">
        <f t="shared" ref="J1114" si="636">J1151</f>
        <v>23.058382159097505</v>
      </c>
      <c r="K1114" s="62"/>
      <c r="L1114" s="67">
        <f t="shared" si="606"/>
        <v>-6.1946330373137126E-2</v>
      </c>
    </row>
    <row r="1115" spans="1:12" ht="12" customHeight="1" outlineLevel="1" x14ac:dyDescent="0.25">
      <c r="A1115" s="70" t="str">
        <f t="shared" si="607"/>
        <v>BIIB</v>
      </c>
      <c r="B1115" s="42" t="s">
        <v>366</v>
      </c>
      <c r="C1115" s="57"/>
      <c r="D1115" s="57"/>
      <c r="E1115" s="73" t="str">
        <f t="shared" si="605"/>
        <v>Diluted (BIIB)</v>
      </c>
      <c r="F1115" s="58">
        <f>F1152</f>
        <v>16.93</v>
      </c>
      <c r="G1115" s="58">
        <f t="shared" ref="G1115:H1115" si="637">G1152</f>
        <v>11.92</v>
      </c>
      <c r="H1115" s="58">
        <f t="shared" si="637"/>
        <v>21.58</v>
      </c>
      <c r="I1115" s="71"/>
      <c r="J1115" s="58">
        <f t="shared" ref="J1115" si="638">J1152</f>
        <v>23.013131088866949</v>
      </c>
      <c r="K1115" s="62"/>
      <c r="L1115" s="67">
        <f t="shared" si="606"/>
        <v>-6.2274493780650975E-2</v>
      </c>
    </row>
    <row r="1116" spans="1:12" ht="12" customHeight="1" outlineLevel="1" x14ac:dyDescent="0.25">
      <c r="A1116" s="70" t="str">
        <f t="shared" si="607"/>
        <v>BIIB</v>
      </c>
      <c r="B1116" s="42"/>
      <c r="C1116" s="41"/>
      <c r="D1116" s="41"/>
      <c r="E1116" s="40" t="str">
        <f t="shared" si="605"/>
        <v xml:space="preserve"> (BIIB)</v>
      </c>
      <c r="F1116" s="41"/>
      <c r="G1116" s="41"/>
      <c r="H1116" s="41"/>
      <c r="I1116" s="71"/>
      <c r="J1116" s="41"/>
      <c r="K1116" s="62"/>
      <c r="L1116" s="67"/>
    </row>
    <row r="1117" spans="1:12" ht="12" customHeight="1" outlineLevel="1" x14ac:dyDescent="0.25">
      <c r="A1117" s="70" t="str">
        <f t="shared" si="607"/>
        <v>BIIB</v>
      </c>
      <c r="B1117" s="42" t="s">
        <v>367</v>
      </c>
      <c r="C1117" s="41"/>
      <c r="D1117" s="41"/>
      <c r="E1117" s="40" t="str">
        <f t="shared" si="605"/>
        <v>Avg. Common Shares Outstanding (BIIB)</v>
      </c>
      <c r="F1117" s="41"/>
      <c r="G1117" s="41"/>
      <c r="H1117" s="41"/>
      <c r="I1117" s="71"/>
      <c r="J1117" s="41"/>
      <c r="K1117" s="62"/>
      <c r="L1117" s="67"/>
    </row>
    <row r="1118" spans="1:12" ht="12" customHeight="1" outlineLevel="1" x14ac:dyDescent="0.25">
      <c r="A1118" s="70" t="str">
        <f t="shared" si="607"/>
        <v>BIIB</v>
      </c>
      <c r="B1118" s="42" t="s">
        <v>365</v>
      </c>
      <c r="C1118" s="41"/>
      <c r="D1118" s="41"/>
      <c r="E1118" s="40" t="str">
        <f t="shared" si="605"/>
        <v>Basic (BIIB)</v>
      </c>
      <c r="F1118" s="53">
        <f>F1109/F1114</f>
        <v>218.32547169811315</v>
      </c>
      <c r="G1118" s="53">
        <f>G1109/G1114</f>
        <v>212.65494137353446</v>
      </c>
      <c r="H1118" s="53">
        <f>H1109/H1114</f>
        <v>204.84049930651872</v>
      </c>
      <c r="I1118" s="71"/>
      <c r="J1118" s="53">
        <f t="shared" ref="J1118" si="639">J1109/J1114</f>
        <v>204.87986252662313</v>
      </c>
      <c r="K1118" s="62"/>
      <c r="L1118" s="67">
        <f t="shared" si="606"/>
        <v>-1.9212830201553732E-4</v>
      </c>
    </row>
    <row r="1119" spans="1:12" ht="12" customHeight="1" outlineLevel="1" x14ac:dyDescent="0.25">
      <c r="A1119" s="70" t="str">
        <f t="shared" si="607"/>
        <v>BIIB</v>
      </c>
      <c r="B1119" s="42" t="s">
        <v>366</v>
      </c>
      <c r="C1119" s="41"/>
      <c r="D1119" s="41"/>
      <c r="E1119" s="40" t="str">
        <f t="shared" si="605"/>
        <v>Diluted (BIIB)</v>
      </c>
      <c r="F1119" s="53">
        <f>F1109/F1115</f>
        <v>218.71234494979322</v>
      </c>
      <c r="G1119" s="53">
        <f>G1109/G1115</f>
        <v>213.01174496644308</v>
      </c>
      <c r="H1119" s="53">
        <f>H1109/H1115</f>
        <v>205.31510658016683</v>
      </c>
      <c r="I1119" s="71"/>
      <c r="J1119" s="53">
        <f t="shared" ref="J1119" si="640">J1109/J1115</f>
        <v>205.28272092134645</v>
      </c>
      <c r="K1119" s="62"/>
      <c r="L1119" s="67">
        <f t="shared" si="606"/>
        <v>1.577612508010251E-4</v>
      </c>
    </row>
    <row r="1120" spans="1:12" ht="12" customHeight="1" outlineLevel="1" x14ac:dyDescent="0.25">
      <c r="B1120" s="62"/>
      <c r="C1120" s="62"/>
      <c r="D1120" s="62"/>
      <c r="E1120" s="62"/>
      <c r="F1120" s="62"/>
      <c r="G1120" s="62"/>
      <c r="H1120" s="62"/>
      <c r="I1120" s="15"/>
      <c r="J1120" s="62"/>
      <c r="K1120" s="62"/>
      <c r="L1120" s="62"/>
    </row>
    <row r="1121" spans="2:13" ht="12" customHeight="1" outlineLevel="1" x14ac:dyDescent="0.25">
      <c r="B1121" s="63" t="s">
        <v>371</v>
      </c>
      <c r="C1121" s="63"/>
      <c r="D1121" s="63"/>
      <c r="E1121" s="63"/>
      <c r="F1121" s="63"/>
      <c r="G1121" s="63"/>
      <c r="H1121" s="63"/>
      <c r="I1121" s="63"/>
      <c r="J1121" s="63"/>
      <c r="K1121" s="63"/>
      <c r="L1121" s="64"/>
      <c r="M1121" s="64"/>
    </row>
    <row r="1122" spans="2:13" ht="12" hidden="1" customHeight="1" outlineLevel="2" x14ac:dyDescent="0.25">
      <c r="B1122" s="1"/>
    </row>
    <row r="1123" spans="2:13" ht="12" hidden="1" customHeight="1" outlineLevel="2" x14ac:dyDescent="0.25">
      <c r="B1123" s="8" t="s">
        <v>82</v>
      </c>
    </row>
    <row r="1124" spans="2:13" ht="12" hidden="1" customHeight="1" outlineLevel="2" x14ac:dyDescent="0.25">
      <c r="B1124" s="8" t="s">
        <v>230</v>
      </c>
      <c r="F1124" s="3" t="s">
        <v>4</v>
      </c>
      <c r="G1124" s="3" t="s">
        <v>3</v>
      </c>
      <c r="H1124" s="3" t="s">
        <v>2</v>
      </c>
      <c r="J1124" s="14" t="s">
        <v>2</v>
      </c>
      <c r="L1124" s="36">
        <f>MEDIAN(L1126:L1158)</f>
        <v>-1.7527644436908796E-3</v>
      </c>
    </row>
    <row r="1125" spans="2:13" ht="12" hidden="1" customHeight="1" outlineLevel="2" x14ac:dyDescent="0.25">
      <c r="B1125" s="8" t="s">
        <v>42</v>
      </c>
      <c r="J1125" s="15"/>
    </row>
    <row r="1126" spans="2:13" ht="12" hidden="1" customHeight="1" outlineLevel="2" x14ac:dyDescent="0.25">
      <c r="B1126" s="8" t="s">
        <v>96</v>
      </c>
      <c r="F1126" s="3">
        <v>9817.9</v>
      </c>
      <c r="G1126" s="3">
        <v>10354.700000000001</v>
      </c>
      <c r="H1126" s="3">
        <v>10886.8</v>
      </c>
      <c r="J1126" s="14">
        <v>11159.402313032026</v>
      </c>
      <c r="L1126" s="36">
        <f t="shared" ref="L1126:L1158" si="641">IF(ISERROR(H1126/J1126-1),0,(H1126/J1126-1))</f>
        <v>-2.4428038830868193E-2</v>
      </c>
    </row>
    <row r="1127" spans="2:13" ht="12" hidden="1" customHeight="1" outlineLevel="2" x14ac:dyDescent="0.25">
      <c r="B1127" s="8" t="s">
        <v>330</v>
      </c>
      <c r="F1127" s="3">
        <v>1314.5</v>
      </c>
      <c r="G1127" s="3">
        <v>1559.2</v>
      </c>
      <c r="H1127" s="3">
        <v>1980.2</v>
      </c>
      <c r="J1127" s="14">
        <v>1868.3911273781982</v>
      </c>
      <c r="L1127" s="36">
        <f t="shared" si="641"/>
        <v>5.9842326900094278E-2</v>
      </c>
    </row>
    <row r="1128" spans="2:13" ht="12" hidden="1" customHeight="1" outlineLevel="2" x14ac:dyDescent="0.25">
      <c r="B1128" s="8" t="s">
        <v>25</v>
      </c>
      <c r="F1128" s="6">
        <v>316.39999999999998</v>
      </c>
      <c r="G1128" s="6">
        <v>360</v>
      </c>
      <c r="H1128" s="6">
        <v>585.9</v>
      </c>
      <c r="J1128" s="14">
        <v>542.46344301134093</v>
      </c>
      <c r="L1128" s="36">
        <f t="shared" si="641"/>
        <v>8.0072781951042726E-2</v>
      </c>
    </row>
    <row r="1129" spans="2:13" ht="12" hidden="1" customHeight="1" outlineLevel="2" x14ac:dyDescent="0.25">
      <c r="B1129" s="8" t="s">
        <v>101</v>
      </c>
      <c r="F1129" s="9">
        <f>SUM(F1126:F1128)</f>
        <v>11448.8</v>
      </c>
      <c r="G1129" s="9">
        <f t="shared" ref="G1129:H1129" si="642">SUM(G1126:G1128)</f>
        <v>12273.900000000001</v>
      </c>
      <c r="H1129" s="9">
        <f t="shared" si="642"/>
        <v>13452.9</v>
      </c>
      <c r="J1129" s="17">
        <v>13570.256883421564</v>
      </c>
      <c r="L1129" s="36">
        <f t="shared" si="641"/>
        <v>-8.6480959372947641E-3</v>
      </c>
    </row>
    <row r="1130" spans="2:13" ht="12" hidden="1" customHeight="1" outlineLevel="2" x14ac:dyDescent="0.25">
      <c r="B1130" s="8" t="s">
        <v>84</v>
      </c>
      <c r="J1130" s="15"/>
      <c r="L1130" s="35"/>
    </row>
    <row r="1131" spans="2:13" ht="12" hidden="1" customHeight="1" outlineLevel="2" x14ac:dyDescent="0.25">
      <c r="B1131" s="8" t="s">
        <v>331</v>
      </c>
      <c r="F1131" s="3">
        <v>1478.7</v>
      </c>
      <c r="G1131" s="3">
        <v>1630</v>
      </c>
      <c r="H1131" s="3">
        <v>1816.3</v>
      </c>
      <c r="J1131" s="14">
        <v>1819.4891358630225</v>
      </c>
      <c r="L1131" s="36">
        <f t="shared" si="641"/>
        <v>-1.7527644436908796E-3</v>
      </c>
    </row>
    <row r="1132" spans="2:13" ht="12" hidden="1" customHeight="1" outlineLevel="2" x14ac:dyDescent="0.25">
      <c r="B1132" s="8" t="s">
        <v>45</v>
      </c>
      <c r="F1132" s="3">
        <v>1973.3</v>
      </c>
      <c r="G1132" s="3">
        <v>2253.6</v>
      </c>
      <c r="H1132" s="3">
        <v>2597.1999999999998</v>
      </c>
      <c r="J1132" s="14">
        <v>2663.9347153157037</v>
      </c>
      <c r="L1132" s="36">
        <f t="shared" si="641"/>
        <v>-2.5051182723070275E-2</v>
      </c>
    </row>
    <row r="1133" spans="2:13" ht="12" hidden="1" customHeight="1" outlineLevel="2" x14ac:dyDescent="0.25">
      <c r="B1133" s="8" t="s">
        <v>75</v>
      </c>
      <c r="F1133" s="3">
        <v>1946.6</v>
      </c>
      <c r="G1133" s="3">
        <v>1933.9</v>
      </c>
      <c r="H1133" s="3">
        <v>2106.3000000000002</v>
      </c>
      <c r="J1133" s="14">
        <v>2120.9695102143282</v>
      </c>
      <c r="L1133" s="36">
        <f t="shared" si="641"/>
        <v>-6.9164173005229479E-3</v>
      </c>
    </row>
    <row r="1134" spans="2:13" ht="12" hidden="1" customHeight="1" outlineLevel="2" x14ac:dyDescent="0.25">
      <c r="B1134" s="8" t="s">
        <v>332</v>
      </c>
      <c r="F1134" s="3">
        <v>385.6</v>
      </c>
      <c r="G1134" s="3">
        <v>814.7</v>
      </c>
      <c r="H1134" s="3">
        <v>747.3</v>
      </c>
      <c r="J1134" s="14">
        <v>668.39659704646499</v>
      </c>
      <c r="L1134" s="36">
        <f t="shared" si="641"/>
        <v>0.11804878017362164</v>
      </c>
    </row>
    <row r="1135" spans="2:13" ht="12" hidden="1" customHeight="1" outlineLevel="2" x14ac:dyDescent="0.25">
      <c r="B1135" s="8" t="s">
        <v>67</v>
      </c>
      <c r="F1135" s="3">
        <v>0</v>
      </c>
      <c r="G1135" s="3">
        <v>120</v>
      </c>
      <c r="H1135" s="3">
        <v>112.5</v>
      </c>
      <c r="J1135" s="14">
        <v>112.5</v>
      </c>
      <c r="L1135" s="36">
        <f t="shared" si="641"/>
        <v>0</v>
      </c>
    </row>
    <row r="1136" spans="2:13" ht="12" hidden="1" customHeight="1" outlineLevel="2" x14ac:dyDescent="0.25">
      <c r="B1136" s="8" t="s">
        <v>85</v>
      </c>
      <c r="F1136" s="3">
        <v>10.199999999999999</v>
      </c>
      <c r="G1136" s="3">
        <v>112.3</v>
      </c>
      <c r="H1136" s="3">
        <v>185</v>
      </c>
      <c r="J1136" s="14">
        <v>161.99291195079405</v>
      </c>
      <c r="L1136" s="36">
        <f t="shared" si="641"/>
        <v>0.14202527611945404</v>
      </c>
    </row>
    <row r="1137" spans="2:12" ht="12" hidden="1" customHeight="1" outlineLevel="2" x14ac:dyDescent="0.25">
      <c r="B1137" s="8" t="s">
        <v>333</v>
      </c>
      <c r="F1137" s="3">
        <v>14.8</v>
      </c>
      <c r="G1137" s="3">
        <v>62.7</v>
      </c>
      <c r="H1137" s="3">
        <v>-12.3</v>
      </c>
      <c r="J1137" s="14">
        <v>-87.956343116578438</v>
      </c>
      <c r="L1137" s="36">
        <f t="shared" si="641"/>
        <v>-0.86015789692737199</v>
      </c>
    </row>
    <row r="1138" spans="2:12" ht="12" hidden="1" customHeight="1" outlineLevel="2" x14ac:dyDescent="0.25">
      <c r="B1138" s="8" t="s">
        <v>86</v>
      </c>
      <c r="F1138" s="3">
        <v>33.1</v>
      </c>
      <c r="G1138" s="3">
        <v>0.9</v>
      </c>
      <c r="H1138" s="3">
        <v>12</v>
      </c>
      <c r="J1138" s="14">
        <v>9.1999999999999993</v>
      </c>
      <c r="L1138" s="36">
        <f t="shared" si="641"/>
        <v>0.30434782608695654</v>
      </c>
    </row>
    <row r="1139" spans="2:12" ht="12" hidden="1" customHeight="1" outlineLevel="2" x14ac:dyDescent="0.25">
      <c r="B1139" s="8" t="s">
        <v>334</v>
      </c>
      <c r="F1139" s="3">
        <v>454.8</v>
      </c>
      <c r="G1139" s="3">
        <v>0</v>
      </c>
      <c r="H1139" s="3">
        <v>0</v>
      </c>
      <c r="J1139" s="14">
        <v>0</v>
      </c>
      <c r="L1139" s="36">
        <f t="shared" si="641"/>
        <v>0</v>
      </c>
    </row>
    <row r="1140" spans="2:12" ht="12" hidden="1" customHeight="1" outlineLevel="2" x14ac:dyDescent="0.25">
      <c r="B1140" s="8" t="s">
        <v>87</v>
      </c>
      <c r="F1140" s="9">
        <f>SUM(F1131:F1139)</f>
        <v>6297.1000000000013</v>
      </c>
      <c r="G1140" s="9">
        <f t="shared" ref="G1140:H1140" si="643">SUM(G1131:G1139)</f>
        <v>6928.0999999999995</v>
      </c>
      <c r="H1140" s="9">
        <f t="shared" si="643"/>
        <v>7564.3</v>
      </c>
      <c r="J1140" s="17">
        <v>7468.5265272737352</v>
      </c>
      <c r="L1140" s="36">
        <f t="shared" si="641"/>
        <v>1.2823610169491628E-2</v>
      </c>
    </row>
    <row r="1141" spans="2:12" ht="12" hidden="1" customHeight="1" outlineLevel="2" x14ac:dyDescent="0.25">
      <c r="B1141" s="8" t="s">
        <v>335</v>
      </c>
      <c r="F1141" s="3">
        <v>0</v>
      </c>
      <c r="G1141" s="3">
        <v>0</v>
      </c>
      <c r="H1141" s="3">
        <v>0</v>
      </c>
      <c r="J1141" s="14">
        <v>0</v>
      </c>
      <c r="L1141" s="36">
        <f t="shared" si="641"/>
        <v>0</v>
      </c>
    </row>
    <row r="1142" spans="2:12" ht="12" hidden="1" customHeight="1" outlineLevel="2" x14ac:dyDescent="0.25">
      <c r="B1142" s="8" t="s">
        <v>48</v>
      </c>
      <c r="F1142" s="9">
        <f>F1129-F1140+F1141</f>
        <v>5151.699999999998</v>
      </c>
      <c r="G1142" s="9">
        <f t="shared" ref="G1142:H1142" si="644">G1129-G1140+G1141</f>
        <v>5345.800000000002</v>
      </c>
      <c r="H1142" s="9">
        <f t="shared" si="644"/>
        <v>5888.5999999999995</v>
      </c>
      <c r="J1142" s="17">
        <v>6101.7303561478284</v>
      </c>
      <c r="L1142" s="36">
        <f t="shared" si="641"/>
        <v>-3.4929494374180026E-2</v>
      </c>
    </row>
    <row r="1143" spans="2:12" ht="12" hidden="1" customHeight="1" outlineLevel="2" x14ac:dyDescent="0.25">
      <c r="B1143" s="8" t="s">
        <v>50</v>
      </c>
      <c r="F1143" s="3">
        <v>-218.7</v>
      </c>
      <c r="G1143" s="3">
        <v>-217</v>
      </c>
      <c r="H1143" s="3">
        <v>11</v>
      </c>
      <c r="J1143" s="14">
        <v>17.738058699470606</v>
      </c>
      <c r="L1143" s="36">
        <f t="shared" si="641"/>
        <v>-0.37986449439767067</v>
      </c>
    </row>
    <row r="1144" spans="2:12" ht="12" hidden="1" customHeight="1" outlineLevel="2" x14ac:dyDescent="0.25">
      <c r="B1144" s="8" t="s">
        <v>88</v>
      </c>
      <c r="F1144" s="9">
        <f>SUM(F1142:F1143)</f>
        <v>4932.9999999999982</v>
      </c>
      <c r="G1144" s="9">
        <f t="shared" ref="G1144:H1144" si="645">SUM(G1142:G1143)</f>
        <v>5128.800000000002</v>
      </c>
      <c r="H1144" s="9">
        <f t="shared" si="645"/>
        <v>5899.5999999999995</v>
      </c>
      <c r="J1144" s="17">
        <v>6119.4684148472988</v>
      </c>
      <c r="L1144" s="36">
        <f t="shared" si="641"/>
        <v>-3.5929332409633141E-2</v>
      </c>
    </row>
    <row r="1145" spans="2:12" ht="12" hidden="1" customHeight="1" outlineLevel="2" x14ac:dyDescent="0.25">
      <c r="B1145" s="8" t="s">
        <v>53</v>
      </c>
      <c r="F1145" s="3">
        <v>1237.3</v>
      </c>
      <c r="G1145" s="3">
        <v>2458.6999999999998</v>
      </c>
      <c r="H1145" s="3">
        <v>1425.6</v>
      </c>
      <c r="J1145" s="14">
        <v>1348.2484195633519</v>
      </c>
      <c r="L1145" s="36">
        <f t="shared" si="641"/>
        <v>5.7371905143192681E-2</v>
      </c>
    </row>
    <row r="1146" spans="2:12" ht="12" hidden="1" customHeight="1" outlineLevel="2" x14ac:dyDescent="0.25">
      <c r="B1146" s="8" t="s">
        <v>89</v>
      </c>
      <c r="F1146" s="6">
        <v>0</v>
      </c>
      <c r="G1146" s="6">
        <v>0</v>
      </c>
      <c r="H1146" s="6">
        <v>0</v>
      </c>
      <c r="J1146" s="14">
        <v>0</v>
      </c>
      <c r="L1146" s="36">
        <f t="shared" si="641"/>
        <v>0</v>
      </c>
    </row>
    <row r="1147" spans="2:12" ht="12" hidden="1" customHeight="1" outlineLevel="2" thickBot="1" x14ac:dyDescent="0.3">
      <c r="B1147" s="8" t="s">
        <v>17</v>
      </c>
      <c r="F1147" s="10">
        <f>F1144-SUM(F1145:F1146)</f>
        <v>3695.699999999998</v>
      </c>
      <c r="G1147" s="10">
        <f t="shared" ref="G1147:H1147" si="646">G1144-SUM(G1145:G1146)</f>
        <v>2670.1000000000022</v>
      </c>
      <c r="H1147" s="10">
        <f t="shared" si="646"/>
        <v>4474</v>
      </c>
      <c r="J1147" s="19">
        <v>4771.2199952839474</v>
      </c>
      <c r="L1147" s="36">
        <f t="shared" si="641"/>
        <v>-6.2294338885595435E-2</v>
      </c>
    </row>
    <row r="1148" spans="2:12" ht="12" hidden="1" customHeight="1" outlineLevel="2" thickTop="1" x14ac:dyDescent="0.25">
      <c r="B1148" s="8" t="s">
        <v>90</v>
      </c>
      <c r="F1148" s="2">
        <v>-7.1</v>
      </c>
      <c r="G1148" s="2">
        <v>131</v>
      </c>
      <c r="H1148" s="2">
        <v>43.3</v>
      </c>
      <c r="J1148" s="18">
        <v>47.021828441710781</v>
      </c>
      <c r="L1148" s="36">
        <f t="shared" si="641"/>
        <v>-7.9151078659657759E-2</v>
      </c>
    </row>
    <row r="1149" spans="2:12" ht="12" hidden="1" customHeight="1" outlineLevel="2" thickBot="1" x14ac:dyDescent="0.3">
      <c r="B1149" s="8" t="s">
        <v>91</v>
      </c>
      <c r="F1149" s="10">
        <f>F1147-F1148</f>
        <v>3702.7999999999979</v>
      </c>
      <c r="G1149" s="10">
        <f t="shared" ref="G1149:H1149" si="647">G1147-G1148</f>
        <v>2539.1000000000022</v>
      </c>
      <c r="H1149" s="10">
        <f t="shared" si="647"/>
        <v>4430.7</v>
      </c>
      <c r="J1149" s="19">
        <v>4724.1981668422368</v>
      </c>
      <c r="L1149" s="36">
        <f t="shared" si="641"/>
        <v>-6.2126557031882079E-2</v>
      </c>
    </row>
    <row r="1150" spans="2:12" ht="12" hidden="1" customHeight="1" outlineLevel="2" thickTop="1" x14ac:dyDescent="0.25">
      <c r="B1150" s="8" t="s">
        <v>92</v>
      </c>
      <c r="J1150" s="15"/>
      <c r="L1150" s="35"/>
    </row>
    <row r="1151" spans="2:12" ht="12" hidden="1" customHeight="1" outlineLevel="2" x14ac:dyDescent="0.25">
      <c r="B1151" s="8" t="s">
        <v>93</v>
      </c>
      <c r="F1151" s="11">
        <v>16.96</v>
      </c>
      <c r="G1151" s="11">
        <v>11.94</v>
      </c>
      <c r="H1151" s="11">
        <v>21.63</v>
      </c>
      <c r="J1151" s="20">
        <v>23.058382159097505</v>
      </c>
      <c r="L1151" s="36">
        <f t="shared" si="641"/>
        <v>-6.1946330373137126E-2</v>
      </c>
    </row>
    <row r="1152" spans="2:12" ht="12" hidden="1" customHeight="1" outlineLevel="2" x14ac:dyDescent="0.25">
      <c r="B1152" s="8" t="s">
        <v>94</v>
      </c>
      <c r="F1152" s="11">
        <v>16.93</v>
      </c>
      <c r="G1152" s="11">
        <v>11.92</v>
      </c>
      <c r="H1152" s="11">
        <v>21.58</v>
      </c>
      <c r="J1152" s="20">
        <v>23.013131088866949</v>
      </c>
      <c r="L1152" s="36">
        <f t="shared" si="641"/>
        <v>-6.2274493780650975E-2</v>
      </c>
    </row>
    <row r="1153" spans="2:12" ht="12" hidden="1" customHeight="1" outlineLevel="2" x14ac:dyDescent="0.25">
      <c r="B1153" s="8" t="s">
        <v>95</v>
      </c>
      <c r="J1153" s="15"/>
      <c r="L1153" s="35"/>
    </row>
    <row r="1154" spans="2:12" ht="12" hidden="1" customHeight="1" outlineLevel="2" x14ac:dyDescent="0.25">
      <c r="B1154" s="8" t="s">
        <v>93</v>
      </c>
      <c r="F1154" s="3">
        <v>218.4</v>
      </c>
      <c r="G1154" s="3">
        <v>212.6</v>
      </c>
      <c r="H1154" s="3">
        <v>204.9</v>
      </c>
      <c r="J1154" s="14">
        <v>201.4</v>
      </c>
      <c r="L1154" s="36">
        <f t="shared" si="641"/>
        <v>1.7378351539225401E-2</v>
      </c>
    </row>
    <row r="1155" spans="2:12" ht="12" hidden="1" customHeight="1" outlineLevel="2" x14ac:dyDescent="0.25">
      <c r="B1155" s="8" t="s">
        <v>94</v>
      </c>
      <c r="F1155" s="3">
        <v>218.8</v>
      </c>
      <c r="G1155" s="3">
        <v>213</v>
      </c>
      <c r="H1155" s="3">
        <v>205.3</v>
      </c>
      <c r="J1155" s="14">
        <v>201.9</v>
      </c>
      <c r="L1155" s="36">
        <f t="shared" si="641"/>
        <v>1.6840019811787954E-2</v>
      </c>
    </row>
    <row r="1156" spans="2:12" ht="12" hidden="1" customHeight="1" outlineLevel="2" x14ac:dyDescent="0.25">
      <c r="J1156" s="21"/>
      <c r="L1156" s="35"/>
    </row>
    <row r="1157" spans="2:12" ht="12" hidden="1" customHeight="1" outlineLevel="2" x14ac:dyDescent="0.25">
      <c r="B1157" s="8" t="s">
        <v>24</v>
      </c>
      <c r="F1157" s="3">
        <v>682.7</v>
      </c>
      <c r="G1157" s="3">
        <v>1081</v>
      </c>
      <c r="H1157" s="3">
        <v>1016.6</v>
      </c>
      <c r="J1157" s="14">
        <v>937.355904771322</v>
      </c>
      <c r="L1157" s="36">
        <f t="shared" si="641"/>
        <v>8.4540028846364912E-2</v>
      </c>
    </row>
    <row r="1158" spans="2:12" ht="12" hidden="1" customHeight="1" outlineLevel="2" x14ac:dyDescent="0.25">
      <c r="B1158" s="8" t="s">
        <v>98</v>
      </c>
      <c r="F1158" s="3">
        <v>-616.1</v>
      </c>
      <c r="G1158" s="3">
        <v>-867.4</v>
      </c>
      <c r="H1158" s="3">
        <v>-770.6</v>
      </c>
      <c r="J1158" s="14">
        <v>-806.55256876209489</v>
      </c>
      <c r="L1158" s="36">
        <f t="shared" si="641"/>
        <v>-4.4575605056066281E-2</v>
      </c>
    </row>
    <row r="1159" spans="2:12" ht="12" customHeight="1" outlineLevel="1" collapsed="1" x14ac:dyDescent="0.25"/>
  </sheetData>
  <mergeCells count="28">
    <mergeCell ref="B4:E5"/>
    <mergeCell ref="F4:H4"/>
    <mergeCell ref="B76:E77"/>
    <mergeCell ref="B159:E160"/>
    <mergeCell ref="F159:H159"/>
    <mergeCell ref="B235:E236"/>
    <mergeCell ref="F235:H235"/>
    <mergeCell ref="B312:E313"/>
    <mergeCell ref="F312:H312"/>
    <mergeCell ref="B380:E381"/>
    <mergeCell ref="B469:E470"/>
    <mergeCell ref="F469:H469"/>
    <mergeCell ref="B546:E547"/>
    <mergeCell ref="F546:H546"/>
    <mergeCell ref="B617:E618"/>
    <mergeCell ref="F617:H617"/>
    <mergeCell ref="B689:E690"/>
    <mergeCell ref="F689:H689"/>
    <mergeCell ref="B763:E764"/>
    <mergeCell ref="F763:H763"/>
    <mergeCell ref="B847:E848"/>
    <mergeCell ref="F847:H847"/>
    <mergeCell ref="B917:E918"/>
    <mergeCell ref="F917:H917"/>
    <mergeCell ref="B1005:E1006"/>
    <mergeCell ref="F1005:H1005"/>
    <mergeCell ref="B1080:E1081"/>
    <mergeCell ref="F1080:H1080"/>
  </mergeCells>
  <conditionalFormatting sqref="J48:J72">
    <cfRule type="containsText" dxfId="51" priority="51" operator="containsText" text="FALSE">
      <formula>NOT(ISERROR(SEARCH("FALSE",J48)))</formula>
    </cfRule>
    <cfRule type="containsText" dxfId="50" priority="52" operator="containsText" text="TRUE">
      <formula>NOT(ISERROR(SEARCH("TRUE",J48)))</formula>
    </cfRule>
  </conditionalFormatting>
  <conditionalFormatting sqref="J120 J122:J123 J125:J127 J129:J130 J133:J135 J139 J137 J149:J153 J141:J143 J145:J147">
    <cfRule type="containsText" dxfId="49" priority="49" operator="containsText" text="FALSE">
      <formula>NOT(ISERROR(SEARCH("FALSE",J120)))</formula>
    </cfRule>
    <cfRule type="containsText" dxfId="48" priority="50" operator="containsText" text="TRUE">
      <formula>NOT(ISERROR(SEARCH("TRUE",J120)))</formula>
    </cfRule>
  </conditionalFormatting>
  <conditionalFormatting sqref="J124">
    <cfRule type="containsText" dxfId="47" priority="47" operator="containsText" text="FALSE">
      <formula>NOT(ISERROR(SEARCH("FALSE",J124)))</formula>
    </cfRule>
    <cfRule type="containsText" dxfId="46" priority="48" operator="containsText" text="TRUE">
      <formula>NOT(ISERROR(SEARCH("TRUE",J124)))</formula>
    </cfRule>
  </conditionalFormatting>
  <conditionalFormatting sqref="J128">
    <cfRule type="containsText" dxfId="45" priority="45" operator="containsText" text="FALSE">
      <formula>NOT(ISERROR(SEARCH("FALSE",J128)))</formula>
    </cfRule>
    <cfRule type="containsText" dxfId="44" priority="46" operator="containsText" text="TRUE">
      <formula>NOT(ISERROR(SEARCH("TRUE",J128)))</formula>
    </cfRule>
  </conditionalFormatting>
  <conditionalFormatting sqref="J131:J132">
    <cfRule type="containsText" dxfId="43" priority="43" operator="containsText" text="FALSE">
      <formula>NOT(ISERROR(SEARCH("FALSE",J131)))</formula>
    </cfRule>
    <cfRule type="containsText" dxfId="42" priority="44" operator="containsText" text="TRUE">
      <formula>NOT(ISERROR(SEARCH("TRUE",J131)))</formula>
    </cfRule>
  </conditionalFormatting>
  <conditionalFormatting sqref="J136">
    <cfRule type="containsText" dxfId="41" priority="41" operator="containsText" text="FALSE">
      <formula>NOT(ISERROR(SEARCH("FALSE",J136)))</formula>
    </cfRule>
    <cfRule type="containsText" dxfId="40" priority="42" operator="containsText" text="TRUE">
      <formula>NOT(ISERROR(SEARCH("TRUE",J136)))</formula>
    </cfRule>
  </conditionalFormatting>
  <conditionalFormatting sqref="J138">
    <cfRule type="containsText" dxfId="39" priority="39" operator="containsText" text="FALSE">
      <formula>NOT(ISERROR(SEARCH("FALSE",J138)))</formula>
    </cfRule>
    <cfRule type="containsText" dxfId="38" priority="40" operator="containsText" text="TRUE">
      <formula>NOT(ISERROR(SEARCH("TRUE",J138)))</formula>
    </cfRule>
  </conditionalFormatting>
  <conditionalFormatting sqref="J144">
    <cfRule type="containsText" dxfId="37" priority="37" operator="containsText" text="FALSE">
      <formula>NOT(ISERROR(SEARCH("FALSE",J144)))</formula>
    </cfRule>
    <cfRule type="containsText" dxfId="36" priority="38" operator="containsText" text="TRUE">
      <formula>NOT(ISERROR(SEARCH("TRUE",J144)))</formula>
    </cfRule>
  </conditionalFormatting>
  <conditionalFormatting sqref="J148">
    <cfRule type="containsText" dxfId="35" priority="35" operator="containsText" text="FALSE">
      <formula>NOT(ISERROR(SEARCH("FALSE",J148)))</formula>
    </cfRule>
    <cfRule type="containsText" dxfId="34" priority="36" operator="containsText" text="TRUE">
      <formula>NOT(ISERROR(SEARCH("TRUE",J148)))</formula>
    </cfRule>
  </conditionalFormatting>
  <conditionalFormatting sqref="J140">
    <cfRule type="containsText" dxfId="33" priority="33" operator="containsText" text="FALSE">
      <formula>NOT(ISERROR(SEARCH("FALSE",J140)))</formula>
    </cfRule>
    <cfRule type="containsText" dxfId="32" priority="34" operator="containsText" text="TRUE">
      <formula>NOT(ISERROR(SEARCH("TRUE",J140)))</formula>
    </cfRule>
  </conditionalFormatting>
  <conditionalFormatting sqref="J121">
    <cfRule type="containsText" dxfId="31" priority="31" operator="containsText" text="FALSE">
      <formula>NOT(ISERROR(SEARCH("FALSE",J121)))</formula>
    </cfRule>
    <cfRule type="containsText" dxfId="30" priority="32" operator="containsText" text="TRUE">
      <formula>NOT(ISERROR(SEARCH("TRUE",J121)))</formula>
    </cfRule>
  </conditionalFormatting>
  <conditionalFormatting sqref="J154:J155">
    <cfRule type="containsText" dxfId="29" priority="29" operator="containsText" text="FALSE">
      <formula>NOT(ISERROR(SEARCH("FALSE",J154)))</formula>
    </cfRule>
    <cfRule type="containsText" dxfId="28" priority="30" operator="containsText" text="TRUE">
      <formula>NOT(ISERROR(SEARCH("TRUE",J154)))</formula>
    </cfRule>
  </conditionalFormatting>
  <conditionalFormatting sqref="J203:J231">
    <cfRule type="containsText" dxfId="27" priority="27" operator="containsText" text="FALSE">
      <formula>NOT(ISERROR(SEARCH("FALSE",J203)))</formula>
    </cfRule>
    <cfRule type="containsText" dxfId="26" priority="28" operator="containsText" text="TRUE">
      <formula>NOT(ISERROR(SEARCH("TRUE",J203)))</formula>
    </cfRule>
  </conditionalFormatting>
  <conditionalFormatting sqref="J279:J308">
    <cfRule type="containsText" dxfId="25" priority="25" operator="containsText" text="FALSE">
      <formula>NOT(ISERROR(SEARCH("FALSE",J279)))</formula>
    </cfRule>
    <cfRule type="containsText" dxfId="24" priority="26" operator="containsText" text="TRUE">
      <formula>NOT(ISERROR(SEARCH("TRUE",J279)))</formula>
    </cfRule>
  </conditionalFormatting>
  <conditionalFormatting sqref="J356:J376">
    <cfRule type="containsText" dxfId="23" priority="23" operator="containsText" text="FALSE">
      <formula>NOT(ISERROR(SEARCH("FALSE",J356)))</formula>
    </cfRule>
    <cfRule type="containsText" dxfId="22" priority="24" operator="containsText" text="TRUE">
      <formula>NOT(ISERROR(SEARCH("TRUE",J356)))</formula>
    </cfRule>
  </conditionalFormatting>
  <conditionalFormatting sqref="J424:J463">
    <cfRule type="containsText" dxfId="21" priority="21" operator="containsText" text="FALSE">
      <formula>NOT(ISERROR(SEARCH("FALSE",J424)))</formula>
    </cfRule>
    <cfRule type="containsText" dxfId="20" priority="22" operator="containsText" text="TRUE">
      <formula>NOT(ISERROR(SEARCH("TRUE",J424)))</formula>
    </cfRule>
  </conditionalFormatting>
  <conditionalFormatting sqref="J464:J465">
    <cfRule type="containsText" dxfId="19" priority="19" operator="containsText" text="FALSE">
      <formula>NOT(ISERROR(SEARCH("FALSE",J464)))</formula>
    </cfRule>
    <cfRule type="containsText" dxfId="18" priority="20" operator="containsText" text="TRUE">
      <formula>NOT(ISERROR(SEARCH("TRUE",J464)))</formula>
    </cfRule>
  </conditionalFormatting>
  <conditionalFormatting sqref="J513:J537 J539:J542">
    <cfRule type="containsText" dxfId="17" priority="17" operator="containsText" text="FALSE">
      <formula>NOT(ISERROR(SEARCH("FALSE",J513)))</formula>
    </cfRule>
    <cfRule type="containsText" dxfId="16" priority="18" operator="containsText" text="TRUE">
      <formula>NOT(ISERROR(SEARCH("TRUE",J513)))</formula>
    </cfRule>
  </conditionalFormatting>
  <conditionalFormatting sqref="J590:J613">
    <cfRule type="containsText" dxfId="15" priority="15" operator="containsText" text="FALSE">
      <formula>NOT(ISERROR(SEARCH("FALSE",J590)))</formula>
    </cfRule>
    <cfRule type="containsText" dxfId="14" priority="16" operator="containsText" text="TRUE">
      <formula>NOT(ISERROR(SEARCH("TRUE",J590)))</formula>
    </cfRule>
  </conditionalFormatting>
  <conditionalFormatting sqref="J661:J685">
    <cfRule type="containsText" dxfId="13" priority="13" operator="containsText" text="FALSE">
      <formula>NOT(ISERROR(SEARCH("FALSE",J661)))</formula>
    </cfRule>
    <cfRule type="containsText" dxfId="12" priority="14" operator="containsText" text="TRUE">
      <formula>NOT(ISERROR(SEARCH("TRUE",J661)))</formula>
    </cfRule>
  </conditionalFormatting>
  <conditionalFormatting sqref="J733:J759">
    <cfRule type="containsText" dxfId="11" priority="11" operator="containsText" text="FALSE">
      <formula>NOT(ISERROR(SEARCH("FALSE",J733)))</formula>
    </cfRule>
    <cfRule type="containsText" dxfId="10" priority="12" operator="containsText" text="TRUE">
      <formula>NOT(ISERROR(SEARCH("TRUE",J733)))</formula>
    </cfRule>
  </conditionalFormatting>
  <conditionalFormatting sqref="J807:J843">
    <cfRule type="containsText" dxfId="9" priority="9" operator="containsText" text="FALSE">
      <formula>NOT(ISERROR(SEARCH("FALSE",J807)))</formula>
    </cfRule>
    <cfRule type="containsText" dxfId="8" priority="10" operator="containsText" text="TRUE">
      <formula>NOT(ISERROR(SEARCH("TRUE",J807)))</formula>
    </cfRule>
  </conditionalFormatting>
  <conditionalFormatting sqref="J891:J913">
    <cfRule type="containsText" dxfId="7" priority="7" operator="containsText" text="FALSE">
      <formula>NOT(ISERROR(SEARCH("FALSE",J891)))</formula>
    </cfRule>
    <cfRule type="containsText" dxfId="6" priority="8" operator="containsText" text="TRUE">
      <formula>NOT(ISERROR(SEARCH("TRUE",J891)))</formula>
    </cfRule>
  </conditionalFormatting>
  <conditionalFormatting sqref="J961:J1001">
    <cfRule type="containsText" dxfId="5" priority="5" operator="containsText" text="FALSE">
      <formula>NOT(ISERROR(SEARCH("FALSE",J961)))</formula>
    </cfRule>
    <cfRule type="containsText" dxfId="4" priority="6" operator="containsText" text="TRUE">
      <formula>NOT(ISERROR(SEARCH("TRUE",J961)))</formula>
    </cfRule>
  </conditionalFormatting>
  <conditionalFormatting sqref="J1049:J1076">
    <cfRule type="containsText" dxfId="3" priority="3" operator="containsText" text="FALSE">
      <formula>NOT(ISERROR(SEARCH("FALSE",J1049)))</formula>
    </cfRule>
    <cfRule type="containsText" dxfId="2" priority="4" operator="containsText" text="TRUE">
      <formula>NOT(ISERROR(SEARCH("TRUE",J1049)))</formula>
    </cfRule>
  </conditionalFormatting>
  <conditionalFormatting sqref="J1124:J1158">
    <cfRule type="containsText" dxfId="1" priority="1" operator="containsText" text="FALSE">
      <formula>NOT(ISERROR(SEARCH("FALSE",J1124)))</formula>
    </cfRule>
    <cfRule type="containsText" dxfId="0" priority="2" operator="containsText" text="TRUE">
      <formula>NOT(ISERROR(SEARCH("TRUE",J1124)))</formula>
    </cfRule>
  </conditionalFormatting>
  <pageMargins left="0.7" right="0.7" top="0.75" bottom="0.75" header="0.3" footer="0.3"/>
  <pageSetup scale="11" orientation="portrait" horizontalDpi="4294967293" verticalDpi="4294967293" r:id="rId1"/>
  <ignoredErrors>
    <ignoredError sqref="F298:H298 F517:H517 F526:H526 J262 F262:H262 J316 F339:H339 G316:H316 F573:H573 F716:H716 J851 G851:H851" formula="1"/>
    <ignoredError sqref="F305:H305 F669:H669 F814:H814" formulaRange="1"/>
    <ignoredError sqref="J320:J322 J341:J342 J350:J351 G351:H351 J324:J326 J328:J333 J335:J337 J554:J556 J575:J579 J558:J560 J562:J567 J569:J571 J582:J585 J697:J699 J718:J719 J727:J728 J701:J703 J705:J710 J712:J714 J855:J857 J885:J886 J859:J861 J863:J868 J870:J872 J874 J876:J877 J388:J390 J418:J419 H419 J392:J394 J396:J401 J403:J405 J407 J409:J410" evalError="1"/>
    <ignoredError sqref="J339 J573 J716" evalError="1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S26"/>
  <sheetViews>
    <sheetView showGridLines="0" tabSelected="1" zoomScaleNormal="100" workbookViewId="0">
      <selection activeCell="P4" sqref="P4"/>
    </sheetView>
  </sheetViews>
  <sheetFormatPr defaultColWidth="11.77734375" defaultRowHeight="12" customHeight="1" x14ac:dyDescent="0.25"/>
  <cols>
    <col min="1" max="1" width="2.77734375" style="37" customWidth="1"/>
    <col min="2" max="16384" width="11.77734375" style="37"/>
  </cols>
  <sheetData>
    <row r="2" spans="2:19" ht="12" customHeight="1" x14ac:dyDescent="0.25">
      <c r="B2" s="68" t="s">
        <v>387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S2" s="37" t="s">
        <v>388</v>
      </c>
    </row>
    <row r="3" spans="2:19" ht="12" customHeight="1" x14ac:dyDescent="0.25">
      <c r="S3" s="69" t="s">
        <v>0</v>
      </c>
    </row>
    <row r="4" spans="2:19" ht="12" customHeight="1" x14ac:dyDescent="0.25">
      <c r="O4" s="75" t="s">
        <v>339</v>
      </c>
      <c r="P4" s="69" t="s">
        <v>0</v>
      </c>
      <c r="S4" s="69" t="s">
        <v>27</v>
      </c>
    </row>
    <row r="5" spans="2:19" ht="12" customHeight="1" x14ac:dyDescent="0.25">
      <c r="S5" s="69" t="s">
        <v>28</v>
      </c>
    </row>
    <row r="6" spans="2:19" ht="12" customHeight="1" x14ac:dyDescent="0.25">
      <c r="O6" s="75" t="s">
        <v>370</v>
      </c>
      <c r="P6" s="75" t="s">
        <v>369</v>
      </c>
      <c r="Q6" s="80" t="s">
        <v>389</v>
      </c>
      <c r="S6" s="69" t="s">
        <v>29</v>
      </c>
    </row>
    <row r="7" spans="2:19" ht="12" customHeight="1" x14ac:dyDescent="0.25">
      <c r="B7" s="79" t="str">
        <f>Updates!B7</f>
        <v>Total Revenue</v>
      </c>
      <c r="N7" s="78" t="str">
        <f>B7&amp;" ("&amp;$P$4&amp;")"</f>
        <v>Total Revenue (EW)</v>
      </c>
      <c r="O7" s="76">
        <f>VLOOKUP(N7,Updates!$E$7:$L$1119,6,FALSE)</f>
        <v>3696.1549906907871</v>
      </c>
      <c r="P7" s="76">
        <f>VLOOKUP(N7,Updates!$E$7:$L$1119,4,FALSE)</f>
        <v>3722.8</v>
      </c>
      <c r="Q7" s="80">
        <f>IF(ISERROR(P7/O7-1),0,(P7/O7-1))</f>
        <v>7.2088452395318026E-3</v>
      </c>
      <c r="S7" s="69" t="s">
        <v>30</v>
      </c>
    </row>
    <row r="8" spans="2:19" ht="12" customHeight="1" x14ac:dyDescent="0.25">
      <c r="B8" s="79" t="str">
        <f>Updates!B9</f>
        <v>COGS</v>
      </c>
      <c r="N8" s="78" t="str">
        <f t="shared" ref="N8:N21" si="0">B8&amp;" ("&amp;$P$4&amp;")"</f>
        <v>COGS (EW)</v>
      </c>
      <c r="O8" s="76">
        <f>VLOOKUP(N8,Updates!$E$7:$L$1119,6,FALSE)</f>
        <v>954.97343186312833</v>
      </c>
      <c r="P8" s="76">
        <f>VLOOKUP(N8,Updates!$E$7:$L$1119,4,FALSE)</f>
        <v>939.4</v>
      </c>
      <c r="Q8" s="80">
        <f t="shared" ref="Q8:Q21" si="1">IF(ISERROR(P8/O8-1),0,(P8/O8-1))</f>
        <v>-1.6307712176604761E-2</v>
      </c>
      <c r="S8" s="69" t="s">
        <v>31</v>
      </c>
    </row>
    <row r="9" spans="2:19" ht="12" customHeight="1" x14ac:dyDescent="0.25">
      <c r="B9" s="79" t="str">
        <f>Updates!B10</f>
        <v>Total Depreciation &amp; Amortization</v>
      </c>
      <c r="N9" s="78" t="str">
        <f t="shared" si="0"/>
        <v>Total Depreciation &amp; Amortization (EW)</v>
      </c>
      <c r="O9" s="76">
        <f>VLOOKUP(N9,Updates!$E$7:$L$1119,6,FALSE)</f>
        <v>77.742372870496041</v>
      </c>
      <c r="P9" s="76">
        <f>VLOOKUP(N9,Updates!$E$7:$L$1119,4,FALSE)</f>
        <v>77.400000000000006</v>
      </c>
      <c r="Q9" s="80">
        <f t="shared" si="1"/>
        <v>-4.4039416068037962E-3</v>
      </c>
      <c r="S9" s="69" t="s">
        <v>32</v>
      </c>
    </row>
    <row r="10" spans="2:19" ht="12" customHeight="1" x14ac:dyDescent="0.25">
      <c r="B10" s="79" t="str">
        <f>Updates!B11</f>
        <v>COGS (Exclusive of D&amp;A)</v>
      </c>
      <c r="N10" s="78" t="str">
        <f t="shared" si="0"/>
        <v>COGS (Exclusive of D&amp;A) (EW)</v>
      </c>
      <c r="O10" s="76">
        <f>VLOOKUP(N10,Updates!$E$7:$L$1119,6,FALSE)</f>
        <v>877.23105899263226</v>
      </c>
      <c r="P10" s="76">
        <f>VLOOKUP(N10,Updates!$E$7:$L$1119,4,FALSE)</f>
        <v>862</v>
      </c>
      <c r="Q10" s="80">
        <f t="shared" si="1"/>
        <v>-1.736265358652811E-2</v>
      </c>
      <c r="S10" s="69" t="s">
        <v>33</v>
      </c>
    </row>
    <row r="11" spans="2:19" ht="12" customHeight="1" x14ac:dyDescent="0.25">
      <c r="B11" s="79" t="str">
        <f>Updates!B13</f>
        <v>Gross Profit</v>
      </c>
      <c r="N11" s="78" t="str">
        <f t="shared" si="0"/>
        <v>Gross Profit (EW)</v>
      </c>
      <c r="O11" s="76">
        <f>VLOOKUP(N11,Updates!$E$7:$L$1119,6,FALSE)</f>
        <v>2818.9239316981548</v>
      </c>
      <c r="P11" s="76">
        <f>VLOOKUP(N11,Updates!$E$7:$L$1119,4,FALSE)</f>
        <v>2860.8</v>
      </c>
      <c r="Q11" s="80">
        <f t="shared" si="1"/>
        <v>1.4855338177436561E-2</v>
      </c>
      <c r="S11" s="69" t="s">
        <v>34</v>
      </c>
    </row>
    <row r="12" spans="2:19" ht="12" customHeight="1" x14ac:dyDescent="0.25">
      <c r="B12" s="79" t="str">
        <f>Updates!B15</f>
        <v>Operating expenses</v>
      </c>
      <c r="N12" s="78" t="str">
        <f t="shared" si="0"/>
        <v>Operating expenses (EW)</v>
      </c>
      <c r="O12" s="76">
        <f>VLOOKUP(N12,Updates!$E$7:$L$1119,6,FALSE)</f>
        <v>1676.0762106140332</v>
      </c>
      <c r="P12" s="76">
        <f>VLOOKUP(N12,Updates!$E$7:$L$1119,4,FALSE)</f>
        <v>1710.7</v>
      </c>
      <c r="Q12" s="80">
        <f t="shared" si="1"/>
        <v>2.06576462136423E-2</v>
      </c>
      <c r="S12" s="69" t="s">
        <v>35</v>
      </c>
    </row>
    <row r="13" spans="2:19" ht="12" customHeight="1" x14ac:dyDescent="0.25">
      <c r="B13" s="79" t="str">
        <f>Updates!B17</f>
        <v>Operating Profit</v>
      </c>
      <c r="N13" s="78" t="str">
        <f t="shared" si="0"/>
        <v>Operating Profit (EW)</v>
      </c>
      <c r="O13" s="76">
        <f>VLOOKUP(N13,Updates!$E$7:$L$1119,6,FALSE)</f>
        <v>1142.8477210841215</v>
      </c>
      <c r="P13" s="76">
        <f>VLOOKUP(N13,Updates!$E$7:$L$1119,4,FALSE)</f>
        <v>1150.1000000000001</v>
      </c>
      <c r="Q13" s="80">
        <f t="shared" si="1"/>
        <v>6.3457963664652617E-3</v>
      </c>
      <c r="S13" s="69" t="s">
        <v>36</v>
      </c>
    </row>
    <row r="14" spans="2:19" ht="12" customHeight="1" x14ac:dyDescent="0.25">
      <c r="B14" s="79" t="str">
        <f>Updates!B19</f>
        <v>Total Other Expenses / (Income)</v>
      </c>
      <c r="N14" s="78" t="str">
        <f t="shared" si="0"/>
        <v>Total Other Expenses / (Income) (EW)</v>
      </c>
      <c r="O14" s="76">
        <f>VLOOKUP(N14,Updates!$E$7:$L$1119,6,FALSE)</f>
        <v>17.999999999999996</v>
      </c>
      <c r="P14" s="76">
        <f>VLOOKUP(N14,Updates!$E$7:$L$1119,4,FALSE)</f>
        <v>313.40000000000003</v>
      </c>
      <c r="Q14" s="80">
        <f t="shared" si="1"/>
        <v>16.411111111111115</v>
      </c>
      <c r="S14" s="69" t="s">
        <v>37</v>
      </c>
    </row>
    <row r="15" spans="2:19" ht="12" customHeight="1" x14ac:dyDescent="0.25">
      <c r="B15" s="79" t="str">
        <f>Updates!B20</f>
        <v>EBITDA</v>
      </c>
      <c r="N15" s="78" t="str">
        <f t="shared" si="0"/>
        <v>EBITDA (EW)</v>
      </c>
      <c r="O15" s="76">
        <f>VLOOKUP(N15,Updates!$E$7:$L$1119,6,FALSE)</f>
        <v>1124.8477210841215</v>
      </c>
      <c r="P15" s="76">
        <f>VLOOKUP(N15,Updates!$E$7:$L$1119,4,FALSE)</f>
        <v>836.7</v>
      </c>
      <c r="Q15" s="80">
        <f t="shared" si="1"/>
        <v>-0.25616598201079732</v>
      </c>
      <c r="S15" s="69" t="s">
        <v>38</v>
      </c>
    </row>
    <row r="16" spans="2:19" ht="12" customHeight="1" x14ac:dyDescent="0.25">
      <c r="B16" s="79" t="str">
        <f>Updates!B24</f>
        <v>EBIT</v>
      </c>
      <c r="N16" s="78" t="str">
        <f t="shared" si="0"/>
        <v>EBIT (EW)</v>
      </c>
      <c r="O16" s="76">
        <f>VLOOKUP(N16,Updates!$E$7:$L$1119,6,FALSE)</f>
        <v>1047.1053482136256</v>
      </c>
      <c r="P16" s="76">
        <f>VLOOKUP(N16,Updates!$E$7:$L$1119,4,FALSE)</f>
        <v>759.30000000000007</v>
      </c>
      <c r="Q16" s="80">
        <f t="shared" si="1"/>
        <v>-0.27485806342659302</v>
      </c>
      <c r="S16" s="69" t="s">
        <v>39</v>
      </c>
    </row>
    <row r="17" spans="2:19" ht="12" customHeight="1" x14ac:dyDescent="0.25">
      <c r="B17" s="79" t="str">
        <f>Updates!B26</f>
        <v>Net Interest Expense</v>
      </c>
      <c r="N17" s="78" t="str">
        <f t="shared" si="0"/>
        <v>Net Interest Expense (EW)</v>
      </c>
      <c r="O17" s="76">
        <f>VLOOKUP(N17,Updates!$E$7:$L$1119,6,FALSE)</f>
        <v>2.5531649720723619</v>
      </c>
      <c r="P17" s="76">
        <f>VLOOKUP(N17,Updates!$E$7:$L$1119,4,FALSE)</f>
        <v>-2.1000000000000014</v>
      </c>
      <c r="Q17" s="80">
        <f t="shared" si="1"/>
        <v>-1.822508542522995</v>
      </c>
      <c r="S17" s="69" t="s">
        <v>40</v>
      </c>
    </row>
    <row r="18" spans="2:19" ht="12" customHeight="1" x14ac:dyDescent="0.25">
      <c r="B18" s="79" t="str">
        <f>Updates!B28</f>
        <v>EBT</v>
      </c>
      <c r="N18" s="78" t="str">
        <f t="shared" si="0"/>
        <v>EBT (EW)</v>
      </c>
      <c r="O18" s="76">
        <f>VLOOKUP(N18,Updates!$E$7:$L$1119,6,FALSE)</f>
        <v>1044.5521832415532</v>
      </c>
      <c r="P18" s="76">
        <f>VLOOKUP(N18,Updates!$E$7:$L$1119,4,FALSE)</f>
        <v>761.40000000000009</v>
      </c>
      <c r="Q18" s="80">
        <f t="shared" si="1"/>
        <v>-0.27107519163173677</v>
      </c>
    </row>
    <row r="19" spans="2:19" ht="12" customHeight="1" x14ac:dyDescent="0.25">
      <c r="B19" s="79" t="str">
        <f>Updates!B30</f>
        <v>Income Tax Expense</v>
      </c>
      <c r="N19" s="78" t="str">
        <f t="shared" si="0"/>
        <v>Income Tax Expense (EW)</v>
      </c>
      <c r="O19" s="76">
        <f>VLOOKUP(N19,Updates!$E$7:$L$1119,6,FALSE)</f>
        <v>124.24260246331782</v>
      </c>
      <c r="P19" s="76">
        <f>VLOOKUP(N19,Updates!$E$7:$L$1119,4,FALSE)</f>
        <v>39.200000000000003</v>
      </c>
      <c r="Q19" s="80">
        <f t="shared" si="1"/>
        <v>-0.68448825746729136</v>
      </c>
    </row>
    <row r="20" spans="2:19" ht="12" customHeight="1" x14ac:dyDescent="0.25">
      <c r="B20" s="79" t="str">
        <f>Updates!B32</f>
        <v>Noncontrolling Interest</v>
      </c>
      <c r="N20" s="78" t="str">
        <f t="shared" si="0"/>
        <v>Noncontrolling Interest (EW)</v>
      </c>
      <c r="O20" s="76">
        <f>VLOOKUP(N20,Updates!$E$7:$L$1119,6,FALSE)</f>
        <v>0</v>
      </c>
      <c r="P20" s="76">
        <f>VLOOKUP(N20,Updates!$E$7:$L$1119,4,FALSE)</f>
        <v>0</v>
      </c>
      <c r="Q20" s="80">
        <f t="shared" si="1"/>
        <v>0</v>
      </c>
    </row>
    <row r="21" spans="2:19" ht="12" customHeight="1" x14ac:dyDescent="0.25">
      <c r="B21" s="79" t="str">
        <f>Updates!B33</f>
        <v>Net Income</v>
      </c>
      <c r="N21" s="78" t="str">
        <f t="shared" si="0"/>
        <v>Net Income (EW)</v>
      </c>
      <c r="O21" s="76">
        <f>VLOOKUP(N21,Updates!$E$7:$L$1119,6,FALSE)</f>
        <v>920.30958077823539</v>
      </c>
      <c r="P21" s="76">
        <f>VLOOKUP(N21,Updates!$E$7:$L$1119,4,FALSE)</f>
        <v>722.2</v>
      </c>
      <c r="Q21" s="80">
        <f t="shared" si="1"/>
        <v>-0.2152640643061754</v>
      </c>
    </row>
    <row r="22" spans="2:19" ht="12" customHeight="1" x14ac:dyDescent="0.25">
      <c r="B22" s="79"/>
      <c r="N22" s="78"/>
      <c r="O22" s="76"/>
      <c r="P22" s="76"/>
      <c r="Q22" s="80"/>
    </row>
    <row r="23" spans="2:19" ht="12" customHeight="1" x14ac:dyDescent="0.25">
      <c r="B23" s="79"/>
      <c r="N23" s="78"/>
      <c r="O23" s="76"/>
      <c r="P23" s="76"/>
      <c r="Q23" s="80"/>
    </row>
    <row r="24" spans="2:19" ht="12" customHeight="1" x14ac:dyDescent="0.25">
      <c r="B24" s="79" t="str">
        <f>Updates!B37</f>
        <v>Earnings Per Share</v>
      </c>
      <c r="N24" s="78" t="str">
        <f>B24</f>
        <v>Earnings Per Share</v>
      </c>
      <c r="O24" s="76"/>
      <c r="P24" s="76"/>
      <c r="Q24" s="80"/>
    </row>
    <row r="25" spans="2:19" ht="12" customHeight="1" x14ac:dyDescent="0.25">
      <c r="B25" s="79" t="str">
        <f>Updates!B38</f>
        <v>Basic</v>
      </c>
      <c r="N25" s="78" t="str">
        <f t="shared" ref="N25:N26" si="2">B25&amp;" ("&amp;$P$4&amp;")"</f>
        <v>Basic (EW)</v>
      </c>
      <c r="O25" s="77">
        <f>VLOOKUP(N25,Updates!$E$7:$L$1119,6,FALSE)</f>
        <v>4.3867122894201689</v>
      </c>
      <c r="P25" s="77">
        <f>VLOOKUP(N25,Updates!$E$7:$L$1119,4,FALSE)</f>
        <v>3.45</v>
      </c>
      <c r="Q25" s="80">
        <f t="shared" ref="Q25:Q26" si="3">IF(ISERROR(P25/O25-1),0,(P25/O25-1))</f>
        <v>-0.21353401536711736</v>
      </c>
    </row>
    <row r="26" spans="2:19" ht="12" customHeight="1" x14ac:dyDescent="0.25">
      <c r="B26" s="79" t="str">
        <f>Updates!B39</f>
        <v>Diluted</v>
      </c>
      <c r="N26" s="78" t="str">
        <f t="shared" si="2"/>
        <v>Diluted (EW)</v>
      </c>
      <c r="O26" s="77">
        <f>VLOOKUP(N26,Updates!$E$7:$L$1119,6,FALSE)</f>
        <v>4.3020524426746505</v>
      </c>
      <c r="P26" s="77">
        <f>VLOOKUP(N26,Updates!$E$7:$L$1119,4,FALSE)</f>
        <v>3.38</v>
      </c>
      <c r="Q26" s="80">
        <f t="shared" si="3"/>
        <v>-0.21432849900393047</v>
      </c>
    </row>
  </sheetData>
  <dataValidations count="1">
    <dataValidation type="list" allowBlank="1" showInputMessage="1" showErrorMessage="1" sqref="P4">
      <formula1>$S$3:$S$17</formula1>
    </dataValidation>
  </dataValidation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Updates</vt:lpstr>
      <vt:lpstr>Summary</vt:lpstr>
      <vt:lpstr>Summary!Print_Area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Frankie Monzon</dc:creator>
  <cp:lastModifiedBy>Frankie Monzon</cp:lastModifiedBy>
  <cp:lastPrinted>2019-03-13T13:09:56Z</cp:lastPrinted>
  <dcterms:created xsi:type="dcterms:W3CDTF">2019-02-19T23:39:45Z</dcterms:created>
  <dcterms:modified xsi:type="dcterms:W3CDTF">2019-03-13T14:51:13Z</dcterms:modified>
</cp:coreProperties>
</file>