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aleed Ghani\Desktop\Upwork and Assirience work\Financial Modelling Whole\ISIL Data\"/>
    </mc:Choice>
  </mc:AlternateContent>
  <xr:revisionPtr revIDLastSave="0" documentId="13_ncr:1_{99252515-D1D6-4BB9-AE3B-B2D880D04698}" xr6:coauthVersionLast="47" xr6:coauthVersionMax="47" xr10:uidLastSave="{00000000-0000-0000-0000-000000000000}"/>
  <bookViews>
    <workbookView xWindow="-108" yWindow="-108" windowWidth="23256" windowHeight="12576" activeTab="3" xr2:uid="{188C58C5-2723-4692-A909-1B176B49EABA}"/>
  </bookViews>
  <sheets>
    <sheet name="WACC" sheetId="1" r:id="rId1"/>
    <sheet name="Data-competitors" sheetId="2" r:id="rId2"/>
    <sheet name="Rm (KSE-100 Returns)" sheetId="3" r:id="rId3"/>
    <sheet name="Beta-UFPL" sheetId="4" r:id="rId4"/>
    <sheet name="Beta-Nestle Pak Ltd" sheetId="5" r:id="rId5"/>
    <sheet name="Beta-FCEPL" sheetId="6" r:id="rId6"/>
    <sheet name="Beta-Ismail Industries Ltd" sheetId="7" r:id="rId7"/>
    <sheet name="Beta-National Foods Ltd" sheetId="8" r:id="rId8"/>
    <sheet name="BS" sheetId="20" r:id="rId9"/>
    <sheet name="Pnl" sheetId="21" r:id="rId10"/>
    <sheet name="Raw CF Stm" sheetId="11" r:id="rId11"/>
    <sheet name="Ratio Analysis-Profitability" sheetId="22" state="hidden" r:id="rId12"/>
    <sheet name="Intrinsic Growth Rate" sheetId="13" r:id="rId13"/>
    <sheet name="DCF &amp; Sensitivity Analysis" sheetId="14" r:id="rId14"/>
    <sheet name="Further Sensitivity Analysis" sheetId="15" r:id="rId15"/>
    <sheet name="Compr Scenario Analysis-DCF" sheetId="25" r:id="rId16"/>
    <sheet name="Raw Data for Relative Valuation" sheetId="16" r:id="rId17"/>
    <sheet name="IIL-Comp company Valuation" sheetId="17" r:id="rId18"/>
    <sheet name="Div Discouting-initial calculat" sheetId="23" r:id="rId19"/>
    <sheet name="Dividend Discounting-Valuation" sheetId="24" r:id="rId20"/>
    <sheet name="Football Field Analysis" sheetId="18" r:id="rId21"/>
  </sheets>
  <externalReferences>
    <externalReference r:id="rId22"/>
    <externalReference r:id="rId23"/>
    <externalReference r:id="rId24"/>
  </externalReferences>
  <definedNames>
    <definedName name="Beta">'[1]WACC, Ke, Kd calc'!$C$5</definedName>
    <definedName name="Costofdebt">'[1]WACC, Ke, Kd calc'!$C$8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40218.8268634259</definedName>
    <definedName name="IQ_NTM" hidden="1">6000</definedName>
    <definedName name="IQ_TODAY" hidden="1">0</definedName>
    <definedName name="IQ_WEEK" hidden="1">50000</definedName>
    <definedName name="IQ_YTD" hidden="1">3000</definedName>
    <definedName name="Marketreturn">'[1]WACC, Ke, Kd calc'!$C$4</definedName>
    <definedName name="MVofdebt">'[1]WACC, Ke, Kd calc'!$C$13</definedName>
    <definedName name="MVofequity">'[1]WACC, Ke, Kd calc'!$C$12</definedName>
    <definedName name="Riskfreerate">'[1]WACC, Ke, Kd calc'!$C$3</definedName>
    <definedName name="Taxrate">'[1]WACC, Ke, Kd calc'!$C$9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5" i="23" l="1"/>
  <c r="C72" i="23"/>
  <c r="C69" i="23"/>
  <c r="H29" i="23"/>
  <c r="N26" i="17"/>
  <c r="B2" i="25"/>
  <c r="E9" i="25"/>
  <c r="K9" i="25" s="1"/>
  <c r="D9" i="25"/>
  <c r="J9" i="25" s="1"/>
  <c r="E10" i="25"/>
  <c r="K10" i="25" s="1"/>
  <c r="D10" i="25"/>
  <c r="J10" i="25" s="1"/>
  <c r="C10" i="25"/>
  <c r="I10" i="25" s="1"/>
  <c r="C9" i="25"/>
  <c r="I9" i="25" s="1"/>
  <c r="E8" i="25"/>
  <c r="K8" i="25" s="1"/>
  <c r="D8" i="25"/>
  <c r="J8" i="25" s="1"/>
  <c r="C8" i="25"/>
  <c r="I8" i="25" s="1"/>
  <c r="E6" i="25"/>
  <c r="K6" i="25" s="1"/>
  <c r="D6" i="25"/>
  <c r="J6" i="25" s="1"/>
  <c r="C6" i="25"/>
  <c r="I6" i="25" s="1"/>
  <c r="E7" i="25"/>
  <c r="K7" i="25" s="1"/>
  <c r="D7" i="25"/>
  <c r="J7" i="25" s="1"/>
  <c r="C7" i="25"/>
  <c r="I7" i="25" s="1"/>
  <c r="E51" i="15"/>
  <c r="E53" i="15"/>
  <c r="E50" i="15"/>
  <c r="S10" i="18"/>
  <c r="R10" i="18" s="1"/>
  <c r="Q10" i="18"/>
  <c r="P10" i="18" s="1"/>
  <c r="S9" i="18"/>
  <c r="R9" i="18" s="1"/>
  <c r="Q9" i="18"/>
  <c r="P9" i="18" s="1"/>
  <c r="H22" i="24"/>
  <c r="I22" i="24" s="1"/>
  <c r="J22" i="24" s="1"/>
  <c r="K22" i="24" s="1"/>
  <c r="E22" i="24"/>
  <c r="C26" i="24"/>
  <c r="C27" i="24" s="1"/>
  <c r="C28" i="24" s="1"/>
  <c r="C29" i="24" s="1"/>
  <c r="C41" i="23"/>
  <c r="C6" i="24"/>
  <c r="C10" i="24" s="1"/>
  <c r="C22" i="24" s="1"/>
  <c r="B27" i="24"/>
  <c r="C14" i="24"/>
  <c r="N28" i="17"/>
  <c r="C8" i="24"/>
  <c r="B16" i="23"/>
  <c r="I16" i="23" s="1"/>
  <c r="C7" i="24"/>
  <c r="B2" i="24"/>
  <c r="L9" i="23"/>
  <c r="G55" i="23"/>
  <c r="G54" i="23"/>
  <c r="G53" i="23"/>
  <c r="G52" i="23"/>
  <c r="G51" i="23"/>
  <c r="G50" i="23"/>
  <c r="F51" i="23"/>
  <c r="F52" i="23" s="1"/>
  <c r="F53" i="23" s="1"/>
  <c r="F54" i="23" s="1"/>
  <c r="F55" i="23" s="1"/>
  <c r="C51" i="23"/>
  <c r="I15" i="23"/>
  <c r="I9" i="23"/>
  <c r="C9" i="23"/>
  <c r="J9" i="23" s="1"/>
  <c r="K9" i="23" s="1"/>
  <c r="C10" i="23"/>
  <c r="C11" i="23"/>
  <c r="C12" i="23"/>
  <c r="J12" i="23" s="1"/>
  <c r="C13" i="23"/>
  <c r="J13" i="23" s="1"/>
  <c r="C14" i="23"/>
  <c r="J14" i="23" s="1"/>
  <c r="B10" i="23"/>
  <c r="B11" i="23" s="1"/>
  <c r="B12" i="23" s="1"/>
  <c r="B13" i="23" s="1"/>
  <c r="B14" i="23" s="1"/>
  <c r="I14" i="23" s="1"/>
  <c r="C16" i="23"/>
  <c r="C17" i="23"/>
  <c r="C15" i="23"/>
  <c r="C39" i="23"/>
  <c r="C18" i="23"/>
  <c r="C19" i="23"/>
  <c r="C20" i="23" s="1"/>
  <c r="G56" i="23" l="1"/>
  <c r="C54" i="23" s="1"/>
  <c r="C12" i="24"/>
  <c r="C16" i="24" s="1"/>
  <c r="B17" i="23"/>
  <c r="B18" i="23" s="1"/>
  <c r="B19" i="23" s="1"/>
  <c r="C30" i="23"/>
  <c r="C32" i="23" s="1"/>
  <c r="D10" i="23"/>
  <c r="D12" i="23"/>
  <c r="D11" i="23"/>
  <c r="D14" i="23"/>
  <c r="D13" i="23"/>
  <c r="J10" i="23"/>
  <c r="K10" i="23" s="1"/>
  <c r="L10" i="23" s="1"/>
  <c r="J11" i="23"/>
  <c r="I12" i="23"/>
  <c r="I10" i="23"/>
  <c r="I13" i="23"/>
  <c r="I11" i="23"/>
  <c r="C37" i="23"/>
  <c r="C56" i="23" l="1"/>
  <c r="C58" i="23" s="1"/>
  <c r="I17" i="23"/>
  <c r="I18" i="23"/>
  <c r="D15" i="23"/>
  <c r="B20" i="23"/>
  <c r="I20" i="23" s="1"/>
  <c r="I19" i="23"/>
  <c r="D16" i="23"/>
  <c r="D17" i="23"/>
  <c r="K11" i="23"/>
  <c r="L11" i="23" s="1"/>
  <c r="D18" i="23"/>
  <c r="D19" i="23"/>
  <c r="D20" i="23"/>
  <c r="K12" i="23" l="1"/>
  <c r="L12" i="23" l="1"/>
  <c r="K13" i="23" s="1"/>
  <c r="L13" i="23" s="1"/>
  <c r="K14" i="23" l="1"/>
  <c r="L14" i="23" s="1"/>
  <c r="J20" i="23" l="1"/>
  <c r="J17" i="23"/>
  <c r="J16" i="23"/>
  <c r="J18" i="23"/>
  <c r="J15" i="23"/>
  <c r="J19" i="23"/>
  <c r="B2" i="23" l="1"/>
  <c r="M24" i="13"/>
  <c r="L24" i="13"/>
  <c r="K24" i="13"/>
  <c r="J24" i="13"/>
  <c r="I24" i="13"/>
  <c r="H24" i="13"/>
  <c r="H26" i="13" s="1"/>
  <c r="H36" i="13" s="1"/>
  <c r="H23" i="16"/>
  <c r="H21" i="16"/>
  <c r="H22" i="16"/>
  <c r="B2" i="18"/>
  <c r="D20" i="16"/>
  <c r="B3" i="17"/>
  <c r="B24" i="17" s="1"/>
  <c r="I7" i="16"/>
  <c r="F7" i="16"/>
  <c r="H7" i="16"/>
  <c r="G7" i="16" s="1"/>
  <c r="B19" i="16"/>
  <c r="B2" i="15"/>
  <c r="E53" i="14"/>
  <c r="E51" i="14"/>
  <c r="E50" i="14"/>
  <c r="B2" i="14"/>
  <c r="H45" i="11"/>
  <c r="G45" i="11"/>
  <c r="F45" i="11"/>
  <c r="E45" i="11"/>
  <c r="D45" i="11"/>
  <c r="C45" i="11"/>
  <c r="H44" i="11"/>
  <c r="G44" i="11"/>
  <c r="F44" i="11"/>
  <c r="E44" i="11"/>
  <c r="D44" i="11"/>
  <c r="C44" i="11"/>
  <c r="M26" i="13"/>
  <c r="L26" i="13"/>
  <c r="K26" i="13"/>
  <c r="J26" i="13"/>
  <c r="I26" i="13"/>
  <c r="E20" i="16" l="1"/>
  <c r="F20" i="16" s="1"/>
  <c r="G20" i="16" s="1"/>
  <c r="H20" i="16" s="1"/>
  <c r="K7" i="16"/>
  <c r="H14" i="22" l="1"/>
  <c r="G14" i="22"/>
  <c r="F14" i="22"/>
  <c r="E14" i="22"/>
  <c r="D14" i="22"/>
  <c r="C14" i="22"/>
  <c r="K13" i="22"/>
  <c r="J13" i="22"/>
  <c r="K12" i="22"/>
  <c r="J12" i="22"/>
  <c r="H11" i="22"/>
  <c r="G11" i="22"/>
  <c r="F11" i="22"/>
  <c r="E11" i="22"/>
  <c r="D11" i="22"/>
  <c r="K11" i="22" s="1"/>
  <c r="C11" i="22"/>
  <c r="H10" i="22"/>
  <c r="G10" i="22"/>
  <c r="F10" i="22"/>
  <c r="E10" i="22"/>
  <c r="D10" i="22"/>
  <c r="C10" i="22"/>
  <c r="H9" i="22"/>
  <c r="G9" i="22"/>
  <c r="F9" i="22"/>
  <c r="E9" i="22"/>
  <c r="D9" i="22"/>
  <c r="C9" i="22"/>
  <c r="H8" i="22"/>
  <c r="G8" i="22"/>
  <c r="F8" i="22"/>
  <c r="E8" i="22"/>
  <c r="D8" i="22"/>
  <c r="C8" i="22"/>
  <c r="H7" i="22"/>
  <c r="G7" i="22"/>
  <c r="F7" i="22"/>
  <c r="E7" i="22"/>
  <c r="D7" i="22"/>
  <c r="K7" i="22" s="1"/>
  <c r="C7" i="22"/>
  <c r="H6" i="22"/>
  <c r="G6" i="22"/>
  <c r="F6" i="22"/>
  <c r="E6" i="22"/>
  <c r="D6" i="22"/>
  <c r="C6" i="22"/>
  <c r="D3" i="22"/>
  <c r="E3" i="22" s="1"/>
  <c r="F3" i="22" s="1"/>
  <c r="G3" i="22" s="1"/>
  <c r="H3" i="22" s="1"/>
  <c r="B2" i="22"/>
  <c r="L19" i="13"/>
  <c r="K19" i="13"/>
  <c r="M17" i="13"/>
  <c r="M19" i="13" s="1"/>
  <c r="L17" i="13"/>
  <c r="K17" i="13"/>
  <c r="J17" i="13"/>
  <c r="J19" i="13" s="1"/>
  <c r="I17" i="13"/>
  <c r="I19" i="13" s="1"/>
  <c r="H17" i="13"/>
  <c r="H19" i="13" s="1"/>
  <c r="M11" i="13"/>
  <c r="M13" i="13" s="1"/>
  <c r="L11" i="13"/>
  <c r="L13" i="13" s="1"/>
  <c r="K11" i="13"/>
  <c r="K13" i="13" s="1"/>
  <c r="J11" i="13"/>
  <c r="J13" i="13" s="1"/>
  <c r="I11" i="13"/>
  <c r="I13" i="13" s="1"/>
  <c r="H11" i="13"/>
  <c r="H13" i="13" s="1"/>
  <c r="M7" i="13"/>
  <c r="L7" i="13"/>
  <c r="K7" i="13"/>
  <c r="J7" i="13"/>
  <c r="I7" i="13"/>
  <c r="H7" i="13"/>
  <c r="M6" i="13"/>
  <c r="L6" i="13"/>
  <c r="K6" i="13"/>
  <c r="J6" i="13"/>
  <c r="I6" i="13"/>
  <c r="H6" i="13"/>
  <c r="H4" i="13"/>
  <c r="I4" i="13" s="1"/>
  <c r="J4" i="13" s="1"/>
  <c r="K4" i="13" s="1"/>
  <c r="L4" i="13" s="1"/>
  <c r="M4" i="13" s="1"/>
  <c r="B2" i="13"/>
  <c r="E41" i="11"/>
  <c r="F41" i="11" s="1"/>
  <c r="G41" i="11" s="1"/>
  <c r="H41" i="11" s="1"/>
  <c r="D41" i="11"/>
  <c r="H48" i="21"/>
  <c r="G48" i="21"/>
  <c r="C48" i="21"/>
  <c r="G46" i="21"/>
  <c r="C46" i="21"/>
  <c r="G44" i="21"/>
  <c r="F44" i="21"/>
  <c r="E44" i="21"/>
  <c r="D44" i="21"/>
  <c r="C44" i="21"/>
  <c r="D35" i="21"/>
  <c r="C33" i="21"/>
  <c r="C35" i="21" s="1"/>
  <c r="D28" i="21"/>
  <c r="C28" i="21"/>
  <c r="C21" i="21"/>
  <c r="D19" i="21"/>
  <c r="D48" i="21" s="1"/>
  <c r="G17" i="21"/>
  <c r="G21" i="21" s="1"/>
  <c r="F17" i="21"/>
  <c r="E17" i="21"/>
  <c r="D17" i="21"/>
  <c r="C17" i="21"/>
  <c r="H16" i="21"/>
  <c r="H15" i="21"/>
  <c r="H17" i="21" s="1"/>
  <c r="H21" i="21" s="1"/>
  <c r="H14" i="21"/>
  <c r="H13" i="21"/>
  <c r="H12" i="21"/>
  <c r="G11" i="21"/>
  <c r="F11" i="21"/>
  <c r="E11" i="21"/>
  <c r="D11" i="21"/>
  <c r="C11" i="21"/>
  <c r="H10" i="21"/>
  <c r="H9" i="21"/>
  <c r="H11" i="21" s="1"/>
  <c r="F7" i="21"/>
  <c r="G7" i="21" s="1"/>
  <c r="E7" i="21"/>
  <c r="D7" i="21"/>
  <c r="B2" i="21"/>
  <c r="G42" i="20"/>
  <c r="F42" i="20"/>
  <c r="E42" i="20"/>
  <c r="D42" i="20"/>
  <c r="C42" i="20"/>
  <c r="F40" i="20"/>
  <c r="E40" i="20"/>
  <c r="D40" i="20"/>
  <c r="C40" i="20"/>
  <c r="H38" i="20"/>
  <c r="G38" i="20"/>
  <c r="F38" i="20"/>
  <c r="E38" i="20"/>
  <c r="D38" i="20"/>
  <c r="C38" i="20"/>
  <c r="H36" i="20"/>
  <c r="G36" i="20"/>
  <c r="F36" i="20"/>
  <c r="E36" i="20"/>
  <c r="D36" i="20"/>
  <c r="C36" i="20"/>
  <c r="H34" i="20"/>
  <c r="G34" i="20"/>
  <c r="F34" i="20"/>
  <c r="E34" i="20"/>
  <c r="D34" i="20"/>
  <c r="C34" i="20"/>
  <c r="F32" i="20"/>
  <c r="E32" i="20"/>
  <c r="D32" i="20"/>
  <c r="C32" i="20"/>
  <c r="H28" i="20"/>
  <c r="G28" i="20"/>
  <c r="F28" i="20"/>
  <c r="E28" i="20"/>
  <c r="D28" i="20"/>
  <c r="C28" i="20"/>
  <c r="H26" i="20"/>
  <c r="G26" i="20"/>
  <c r="F26" i="20"/>
  <c r="E26" i="20"/>
  <c r="D26" i="20"/>
  <c r="C26" i="20"/>
  <c r="G22" i="20"/>
  <c r="F22" i="20"/>
  <c r="E22" i="20"/>
  <c r="D22" i="20"/>
  <c r="C22" i="20"/>
  <c r="H20" i="20"/>
  <c r="H42" i="20" s="1"/>
  <c r="H19" i="20"/>
  <c r="H18" i="20"/>
  <c r="H17" i="20"/>
  <c r="H16" i="20"/>
  <c r="H14" i="20"/>
  <c r="H13" i="20"/>
  <c r="H40" i="20" s="1"/>
  <c r="H12" i="20"/>
  <c r="H11" i="20"/>
  <c r="H10" i="20"/>
  <c r="H32" i="20" s="1"/>
  <c r="H9" i="20"/>
  <c r="D7" i="20"/>
  <c r="E7" i="20" s="1"/>
  <c r="F7" i="20" s="1"/>
  <c r="G7" i="20" s="1"/>
  <c r="P6" i="6"/>
  <c r="P6" i="7"/>
  <c r="L43" i="1"/>
  <c r="L42" i="1"/>
  <c r="L35" i="1"/>
  <c r="E25" i="1"/>
  <c r="C43" i="1"/>
  <c r="C36" i="1"/>
  <c r="E36" i="1"/>
  <c r="E19" i="21" l="1"/>
  <c r="D46" i="21"/>
  <c r="E46" i="21"/>
  <c r="D21" i="21"/>
  <c r="C22" i="21" s="1"/>
  <c r="E21" i="21"/>
  <c r="E38" i="21" s="1"/>
  <c r="E40" i="21" s="1"/>
  <c r="K8" i="22"/>
  <c r="K14" i="22"/>
  <c r="K6" i="22"/>
  <c r="K10" i="22"/>
  <c r="K9" i="22"/>
  <c r="J6" i="22"/>
  <c r="J7" i="22"/>
  <c r="J8" i="22"/>
  <c r="J9" i="22"/>
  <c r="J10" i="22"/>
  <c r="J11" i="22"/>
  <c r="J14" i="22"/>
  <c r="I9" i="13"/>
  <c r="I15" i="13" s="1"/>
  <c r="I22" i="13" s="1"/>
  <c r="M9" i="13"/>
  <c r="M15" i="13" s="1"/>
  <c r="M22" i="13" s="1"/>
  <c r="K9" i="13"/>
  <c r="K15" i="13" s="1"/>
  <c r="K22" i="13" s="1"/>
  <c r="L9" i="13"/>
  <c r="L15" i="13" s="1"/>
  <c r="L22" i="13" s="1"/>
  <c r="H9" i="13"/>
  <c r="H15" i="13" s="1"/>
  <c r="J9" i="13"/>
  <c r="J15" i="13" s="1"/>
  <c r="J22" i="13" s="1"/>
  <c r="D38" i="21"/>
  <c r="D40" i="21" s="1"/>
  <c r="G38" i="21"/>
  <c r="G40" i="21" s="1"/>
  <c r="G22" i="21"/>
  <c r="H38" i="21"/>
  <c r="H40" i="21" s="1"/>
  <c r="H22" i="21"/>
  <c r="C38" i="21"/>
  <c r="C40" i="21" s="1"/>
  <c r="H44" i="21"/>
  <c r="H46" i="21" s="1"/>
  <c r="H22" i="20"/>
  <c r="G32" i="20"/>
  <c r="G40" i="20"/>
  <c r="D9" i="2"/>
  <c r="D8" i="2"/>
  <c r="D22" i="21" l="1"/>
  <c r="E48" i="21"/>
  <c r="F19" i="21"/>
  <c r="H22" i="13"/>
  <c r="H28" i="13" s="1"/>
  <c r="H51" i="13" s="1"/>
  <c r="H34" i="13"/>
  <c r="F48" i="21" l="1"/>
  <c r="F21" i="21"/>
  <c r="F46" i="21"/>
  <c r="R8" i="18"/>
  <c r="P8" i="18"/>
  <c r="S7" i="18"/>
  <c r="R7" i="18" s="1"/>
  <c r="Q7" i="18"/>
  <c r="P7" i="18" s="1"/>
  <c r="S6" i="18"/>
  <c r="R6" i="18" s="1"/>
  <c r="Q6" i="18"/>
  <c r="P6" i="18" s="1"/>
  <c r="S5" i="18"/>
  <c r="R5" i="18" s="1"/>
  <c r="Q5" i="18"/>
  <c r="P5" i="18" s="1"/>
  <c r="P13" i="17"/>
  <c r="E13" i="17"/>
  <c r="D13" i="17"/>
  <c r="P12" i="17"/>
  <c r="E12" i="17"/>
  <c r="D12" i="17"/>
  <c r="B12" i="17"/>
  <c r="P11" i="17"/>
  <c r="L11" i="17"/>
  <c r="J11" i="17"/>
  <c r="E11" i="17"/>
  <c r="D11" i="17"/>
  <c r="B11" i="17"/>
  <c r="P8" i="17"/>
  <c r="L8" i="17"/>
  <c r="E8" i="17"/>
  <c r="D8" i="17"/>
  <c r="P10" i="17"/>
  <c r="H10" i="17"/>
  <c r="E10" i="17"/>
  <c r="D10" i="17"/>
  <c r="B10" i="17"/>
  <c r="P9" i="17"/>
  <c r="E9" i="17"/>
  <c r="D9" i="17"/>
  <c r="K10" i="16"/>
  <c r="I10" i="16"/>
  <c r="L13" i="17" s="1"/>
  <c r="H10" i="16"/>
  <c r="J13" i="17" s="1"/>
  <c r="G10" i="16"/>
  <c r="F10" i="16"/>
  <c r="K9" i="16"/>
  <c r="I9" i="16"/>
  <c r="L12" i="17" s="1"/>
  <c r="H9" i="16"/>
  <c r="J12" i="17" s="1"/>
  <c r="G9" i="16"/>
  <c r="F9" i="16"/>
  <c r="K8" i="16"/>
  <c r="K11" i="17" s="1"/>
  <c r="G8" i="16"/>
  <c r="F8" i="16"/>
  <c r="K8" i="17"/>
  <c r="J8" i="17"/>
  <c r="L6" i="16"/>
  <c r="I6" i="16"/>
  <c r="L10" i="17" s="1"/>
  <c r="H6" i="16"/>
  <c r="F6" i="16"/>
  <c r="K5" i="16"/>
  <c r="K9" i="17" s="1"/>
  <c r="I5" i="16"/>
  <c r="L9" i="17" s="1"/>
  <c r="H5" i="16"/>
  <c r="J9" i="17" s="1"/>
  <c r="G5" i="16"/>
  <c r="F5" i="16"/>
  <c r="E33" i="15"/>
  <c r="L16" i="15"/>
  <c r="M16" i="15" s="1"/>
  <c r="N16" i="15" s="1"/>
  <c r="O16" i="15" s="1"/>
  <c r="J8" i="15"/>
  <c r="K8" i="15" s="1"/>
  <c r="L8" i="15" s="1"/>
  <c r="M8" i="15" s="1"/>
  <c r="N8" i="15" s="1"/>
  <c r="O8" i="15" s="1"/>
  <c r="F58" i="14"/>
  <c r="K35" i="14"/>
  <c r="K34" i="14"/>
  <c r="E33" i="14"/>
  <c r="K32" i="14"/>
  <c r="N16" i="14"/>
  <c r="O16" i="14" s="1"/>
  <c r="L16" i="14"/>
  <c r="M16" i="14" s="1"/>
  <c r="J8" i="14"/>
  <c r="K8" i="14" s="1"/>
  <c r="L8" i="14" s="1"/>
  <c r="M8" i="14" s="1"/>
  <c r="N8" i="14" s="1"/>
  <c r="O8" i="14" s="1"/>
  <c r="B51" i="13"/>
  <c r="B50" i="13"/>
  <c r="I37" i="13"/>
  <c r="J37" i="13" s="1"/>
  <c r="K37" i="13" s="1"/>
  <c r="L37" i="13" s="1"/>
  <c r="M37" i="13" s="1"/>
  <c r="L36" i="13"/>
  <c r="K36" i="13"/>
  <c r="J36" i="13"/>
  <c r="J4" i="14"/>
  <c r="K4" i="14" s="1"/>
  <c r="L4" i="14" s="1"/>
  <c r="M4" i="14" s="1"/>
  <c r="N4" i="14" s="1"/>
  <c r="O4" i="14" s="1"/>
  <c r="D58" i="11"/>
  <c r="C58" i="11"/>
  <c r="H46" i="11"/>
  <c r="M33" i="13" s="1"/>
  <c r="G46" i="11"/>
  <c r="L33" i="13" s="1"/>
  <c r="F46" i="11"/>
  <c r="K33" i="13" s="1"/>
  <c r="E46" i="11"/>
  <c r="J33" i="13" s="1"/>
  <c r="D46" i="11"/>
  <c r="I33" i="13" s="1"/>
  <c r="C46" i="11"/>
  <c r="H33" i="13" s="1"/>
  <c r="H40" i="13" s="1"/>
  <c r="D30" i="11"/>
  <c r="D33" i="11" s="1"/>
  <c r="D39" i="11" s="1"/>
  <c r="C30" i="11"/>
  <c r="C33" i="11" s="1"/>
  <c r="C39" i="11" s="1"/>
  <c r="E5" i="11"/>
  <c r="F5" i="11" s="1"/>
  <c r="G5" i="11" s="1"/>
  <c r="H5" i="11" s="1"/>
  <c r="D5" i="11"/>
  <c r="I31" i="13"/>
  <c r="I48" i="13" s="1"/>
  <c r="G69" i="8"/>
  <c r="H69" i="8" s="1"/>
  <c r="D69" i="8"/>
  <c r="G68" i="8"/>
  <c r="D68" i="8"/>
  <c r="G67" i="8"/>
  <c r="H67" i="8" s="1"/>
  <c r="D67" i="8"/>
  <c r="G66" i="8"/>
  <c r="D66" i="8"/>
  <c r="G65" i="8"/>
  <c r="H65" i="8" s="1"/>
  <c r="D65" i="8"/>
  <c r="G64" i="8"/>
  <c r="D64" i="8"/>
  <c r="B64" i="8"/>
  <c r="B65" i="8" s="1"/>
  <c r="B66" i="8" s="1"/>
  <c r="B67" i="8" s="1"/>
  <c r="B68" i="8" s="1"/>
  <c r="B69" i="8" s="1"/>
  <c r="G63" i="8"/>
  <c r="H63" i="8" s="1"/>
  <c r="D63" i="8"/>
  <c r="B63" i="8"/>
  <c r="H62" i="8"/>
  <c r="G62" i="8"/>
  <c r="D62" i="8"/>
  <c r="H61" i="8"/>
  <c r="G61" i="8"/>
  <c r="D61" i="8"/>
  <c r="H60" i="8"/>
  <c r="G60" i="8"/>
  <c r="D60" i="8"/>
  <c r="G59" i="8"/>
  <c r="H59" i="8" s="1"/>
  <c r="D59" i="8"/>
  <c r="G58" i="8"/>
  <c r="H58" i="8" s="1"/>
  <c r="D58" i="8"/>
  <c r="G57" i="8"/>
  <c r="H57" i="8" s="1"/>
  <c r="D57" i="8"/>
  <c r="G56" i="8"/>
  <c r="H56" i="8" s="1"/>
  <c r="D56" i="8"/>
  <c r="G55" i="8"/>
  <c r="H55" i="8" s="1"/>
  <c r="D55" i="8"/>
  <c r="H54" i="8"/>
  <c r="G54" i="8"/>
  <c r="D54" i="8"/>
  <c r="H53" i="8"/>
  <c r="G53" i="8"/>
  <c r="D53" i="8"/>
  <c r="H52" i="8"/>
  <c r="G52" i="8"/>
  <c r="D52" i="8"/>
  <c r="G51" i="8"/>
  <c r="H51" i="8" s="1"/>
  <c r="D51" i="8"/>
  <c r="G50" i="8"/>
  <c r="H50" i="8" s="1"/>
  <c r="D50" i="8"/>
  <c r="G49" i="8"/>
  <c r="H49" i="8" s="1"/>
  <c r="D49" i="8"/>
  <c r="G48" i="8"/>
  <c r="H48" i="8" s="1"/>
  <c r="D48" i="8"/>
  <c r="G47" i="8"/>
  <c r="H47" i="8" s="1"/>
  <c r="D47" i="8"/>
  <c r="H46" i="8"/>
  <c r="G46" i="8"/>
  <c r="D46" i="8"/>
  <c r="H45" i="8"/>
  <c r="G45" i="8"/>
  <c r="D45" i="8"/>
  <c r="H44" i="8"/>
  <c r="G44" i="8"/>
  <c r="D44" i="8"/>
  <c r="G43" i="8"/>
  <c r="H43" i="8" s="1"/>
  <c r="D43" i="8"/>
  <c r="G42" i="8"/>
  <c r="H42" i="8" s="1"/>
  <c r="D42" i="8"/>
  <c r="G41" i="8"/>
  <c r="H41" i="8" s="1"/>
  <c r="D41" i="8"/>
  <c r="G40" i="8"/>
  <c r="H40" i="8" s="1"/>
  <c r="D40" i="8"/>
  <c r="G39" i="8"/>
  <c r="H39" i="8" s="1"/>
  <c r="D39" i="8"/>
  <c r="H38" i="8"/>
  <c r="G38" i="8"/>
  <c r="D38" i="8"/>
  <c r="H37" i="8"/>
  <c r="G37" i="8"/>
  <c r="D37" i="8"/>
  <c r="H36" i="8"/>
  <c r="G36" i="8"/>
  <c r="D36" i="8"/>
  <c r="G35" i="8"/>
  <c r="H35" i="8" s="1"/>
  <c r="D35" i="8"/>
  <c r="G34" i="8"/>
  <c r="H34" i="8" s="1"/>
  <c r="D34" i="8"/>
  <c r="B34" i="8"/>
  <c r="H33" i="8"/>
  <c r="G33" i="8"/>
  <c r="D33" i="8"/>
  <c r="H32" i="8"/>
  <c r="G32" i="8"/>
  <c r="D32" i="8"/>
  <c r="H31" i="8"/>
  <c r="G31" i="8"/>
  <c r="D31" i="8"/>
  <c r="G30" i="8"/>
  <c r="H30" i="8" s="1"/>
  <c r="D30" i="8"/>
  <c r="G29" i="8"/>
  <c r="H29" i="8" s="1"/>
  <c r="D29" i="8"/>
  <c r="G28" i="8"/>
  <c r="H28" i="8" s="1"/>
  <c r="D28" i="8"/>
  <c r="G27" i="8"/>
  <c r="H27" i="8" s="1"/>
  <c r="D27" i="8"/>
  <c r="G26" i="8"/>
  <c r="H26" i="8" s="1"/>
  <c r="D26" i="8"/>
  <c r="H25" i="8"/>
  <c r="G25" i="8"/>
  <c r="D25" i="8"/>
  <c r="H24" i="8"/>
  <c r="G24" i="8"/>
  <c r="D24" i="8"/>
  <c r="H23" i="8"/>
  <c r="G23" i="8"/>
  <c r="D23" i="8"/>
  <c r="G22" i="8"/>
  <c r="H22" i="8" s="1"/>
  <c r="D22" i="8"/>
  <c r="G21" i="8"/>
  <c r="H21" i="8" s="1"/>
  <c r="D21" i="8"/>
  <c r="G20" i="8"/>
  <c r="H20" i="8" s="1"/>
  <c r="D20" i="8"/>
  <c r="G19" i="8"/>
  <c r="H19" i="8" s="1"/>
  <c r="D19" i="8"/>
  <c r="G18" i="8"/>
  <c r="H18" i="8" s="1"/>
  <c r="D18" i="8"/>
  <c r="H17" i="8"/>
  <c r="G17" i="8"/>
  <c r="D17" i="8"/>
  <c r="H16" i="8"/>
  <c r="G16" i="8"/>
  <c r="D16" i="8"/>
  <c r="H15" i="8"/>
  <c r="G15" i="8"/>
  <c r="D15" i="8"/>
  <c r="G14" i="8"/>
  <c r="H14" i="8" s="1"/>
  <c r="D14" i="8"/>
  <c r="G13" i="8"/>
  <c r="H13" i="8" s="1"/>
  <c r="D13" i="8"/>
  <c r="H12" i="8"/>
  <c r="G12" i="8"/>
  <c r="D12" i="8"/>
  <c r="H11" i="8"/>
  <c r="G11" i="8"/>
  <c r="D11" i="8"/>
  <c r="B11" i="8"/>
  <c r="P10" i="8"/>
  <c r="K10" i="8"/>
  <c r="G10" i="8"/>
  <c r="H10" i="8" s="1"/>
  <c r="D10" i="8"/>
  <c r="G9" i="8"/>
  <c r="H9" i="8" s="1"/>
  <c r="D9" i="8"/>
  <c r="G8" i="8"/>
  <c r="D8" i="8"/>
  <c r="G7" i="8"/>
  <c r="H8" i="8" s="1"/>
  <c r="K6" i="8"/>
  <c r="K12" i="8" s="1"/>
  <c r="K15" i="1" s="1"/>
  <c r="G69" i="7"/>
  <c r="H69" i="7" s="1"/>
  <c r="D69" i="7"/>
  <c r="G68" i="7"/>
  <c r="H68" i="7" s="1"/>
  <c r="D68" i="7"/>
  <c r="H67" i="7"/>
  <c r="G67" i="7"/>
  <c r="D67" i="7"/>
  <c r="G66" i="7"/>
  <c r="D66" i="7"/>
  <c r="G65" i="7"/>
  <c r="H66" i="7" s="1"/>
  <c r="D65" i="7"/>
  <c r="G64" i="7"/>
  <c r="H64" i="7" s="1"/>
  <c r="D64" i="7"/>
  <c r="G63" i="7"/>
  <c r="D63" i="7"/>
  <c r="H62" i="7"/>
  <c r="G62" i="7"/>
  <c r="H63" i="7" s="1"/>
  <c r="D62" i="7"/>
  <c r="G61" i="7"/>
  <c r="H61" i="7" s="1"/>
  <c r="D61" i="7"/>
  <c r="G60" i="7"/>
  <c r="H60" i="7" s="1"/>
  <c r="D60" i="7"/>
  <c r="H59" i="7"/>
  <c r="G59" i="7"/>
  <c r="D59" i="7"/>
  <c r="G58" i="7"/>
  <c r="D58" i="7"/>
  <c r="G57" i="7"/>
  <c r="H58" i="7" s="1"/>
  <c r="D57" i="7"/>
  <c r="G56" i="7"/>
  <c r="H56" i="7" s="1"/>
  <c r="D56" i="7"/>
  <c r="G55" i="7"/>
  <c r="D55" i="7"/>
  <c r="H54" i="7"/>
  <c r="G54" i="7"/>
  <c r="H55" i="7" s="1"/>
  <c r="D54" i="7"/>
  <c r="G53" i="7"/>
  <c r="H53" i="7" s="1"/>
  <c r="D53" i="7"/>
  <c r="G52" i="7"/>
  <c r="H52" i="7" s="1"/>
  <c r="D52" i="7"/>
  <c r="H51" i="7"/>
  <c r="G51" i="7"/>
  <c r="D51" i="7"/>
  <c r="G50" i="7"/>
  <c r="D50" i="7"/>
  <c r="G49" i="7"/>
  <c r="H50" i="7" s="1"/>
  <c r="D49" i="7"/>
  <c r="G48" i="7"/>
  <c r="H48" i="7" s="1"/>
  <c r="D48" i="7"/>
  <c r="G47" i="7"/>
  <c r="D47" i="7"/>
  <c r="H46" i="7"/>
  <c r="G46" i="7"/>
  <c r="H47" i="7" s="1"/>
  <c r="D46" i="7"/>
  <c r="G45" i="7"/>
  <c r="H45" i="7" s="1"/>
  <c r="D45" i="7"/>
  <c r="G44" i="7"/>
  <c r="H44" i="7" s="1"/>
  <c r="D44" i="7"/>
  <c r="H43" i="7"/>
  <c r="G43" i="7"/>
  <c r="D43" i="7"/>
  <c r="G42" i="7"/>
  <c r="D42" i="7"/>
  <c r="G41" i="7"/>
  <c r="H42" i="7" s="1"/>
  <c r="D41" i="7"/>
  <c r="G40" i="7"/>
  <c r="H40" i="7" s="1"/>
  <c r="D40" i="7"/>
  <c r="G39" i="7"/>
  <c r="D39" i="7"/>
  <c r="H38" i="7"/>
  <c r="G38" i="7"/>
  <c r="H39" i="7" s="1"/>
  <c r="D38" i="7"/>
  <c r="G37" i="7"/>
  <c r="H37" i="7" s="1"/>
  <c r="D37" i="7"/>
  <c r="G36" i="7"/>
  <c r="H36" i="7" s="1"/>
  <c r="D36" i="7"/>
  <c r="H35" i="7"/>
  <c r="G35" i="7"/>
  <c r="D35" i="7"/>
  <c r="G34" i="7"/>
  <c r="D34" i="7"/>
  <c r="B34" i="7"/>
  <c r="H33" i="7"/>
  <c r="G33" i="7"/>
  <c r="H34" i="7" s="1"/>
  <c r="D33" i="7"/>
  <c r="G32" i="7"/>
  <c r="H32" i="7" s="1"/>
  <c r="D32" i="7"/>
  <c r="G31" i="7"/>
  <c r="D31" i="7"/>
  <c r="H30" i="7"/>
  <c r="G30" i="7"/>
  <c r="H31" i="7" s="1"/>
  <c r="D30" i="7"/>
  <c r="G29" i="7"/>
  <c r="D29" i="7"/>
  <c r="G28" i="7"/>
  <c r="H29" i="7" s="1"/>
  <c r="D28" i="7"/>
  <c r="G27" i="7"/>
  <c r="H27" i="7" s="1"/>
  <c r="D27" i="7"/>
  <c r="G26" i="7"/>
  <c r="D26" i="7"/>
  <c r="H25" i="7"/>
  <c r="G25" i="7"/>
  <c r="H26" i="7" s="1"/>
  <c r="D25" i="7"/>
  <c r="G24" i="7"/>
  <c r="H24" i="7" s="1"/>
  <c r="D24" i="7"/>
  <c r="G23" i="7"/>
  <c r="H23" i="7" s="1"/>
  <c r="D23" i="7"/>
  <c r="H22" i="7"/>
  <c r="G22" i="7"/>
  <c r="D22" i="7"/>
  <c r="G21" i="7"/>
  <c r="D21" i="7"/>
  <c r="G20" i="7"/>
  <c r="H21" i="7" s="1"/>
  <c r="D20" i="7"/>
  <c r="G19" i="7"/>
  <c r="H19" i="7" s="1"/>
  <c r="D19" i="7"/>
  <c r="G18" i="7"/>
  <c r="D18" i="7"/>
  <c r="H17" i="7"/>
  <c r="G17" i="7"/>
  <c r="H18" i="7" s="1"/>
  <c r="D17" i="7"/>
  <c r="G16" i="7"/>
  <c r="H16" i="7" s="1"/>
  <c r="D16" i="7"/>
  <c r="G15" i="7"/>
  <c r="D15" i="7"/>
  <c r="H14" i="7"/>
  <c r="G14" i="7"/>
  <c r="H15" i="7" s="1"/>
  <c r="D14" i="7"/>
  <c r="G13" i="7"/>
  <c r="D13" i="7"/>
  <c r="H12" i="7"/>
  <c r="G12" i="7"/>
  <c r="H13" i="7" s="1"/>
  <c r="D12" i="7"/>
  <c r="G11" i="7"/>
  <c r="H11" i="7" s="1"/>
  <c r="D11" i="7"/>
  <c r="B11" i="7"/>
  <c r="P10" i="7"/>
  <c r="K10" i="7"/>
  <c r="H10" i="7"/>
  <c r="G10" i="7"/>
  <c r="D10" i="7"/>
  <c r="G9" i="7"/>
  <c r="D9" i="7"/>
  <c r="H8" i="7"/>
  <c r="G8" i="7"/>
  <c r="H9" i="7" s="1"/>
  <c r="D8" i="7"/>
  <c r="G7" i="7"/>
  <c r="K6" i="7"/>
  <c r="K12" i="7" s="1"/>
  <c r="K12" i="1" s="1"/>
  <c r="H69" i="6"/>
  <c r="D69" i="6"/>
  <c r="H68" i="6"/>
  <c r="D68" i="6"/>
  <c r="H67" i="6"/>
  <c r="D67" i="6"/>
  <c r="H66" i="6"/>
  <c r="D66" i="6"/>
  <c r="H65" i="6"/>
  <c r="D65" i="6"/>
  <c r="H64" i="6"/>
  <c r="D64" i="6"/>
  <c r="H63" i="6"/>
  <c r="D63" i="6"/>
  <c r="H62" i="6"/>
  <c r="D62" i="6"/>
  <c r="H61" i="6"/>
  <c r="D61" i="6"/>
  <c r="H60" i="6"/>
  <c r="D60" i="6"/>
  <c r="H59" i="6"/>
  <c r="D59" i="6"/>
  <c r="H58" i="6"/>
  <c r="D58" i="6"/>
  <c r="H57" i="6"/>
  <c r="D57" i="6"/>
  <c r="H56" i="6"/>
  <c r="D56" i="6"/>
  <c r="H55" i="6"/>
  <c r="D55" i="6"/>
  <c r="H54" i="6"/>
  <c r="D54" i="6"/>
  <c r="H53" i="6"/>
  <c r="D53" i="6"/>
  <c r="H52" i="6"/>
  <c r="D52" i="6"/>
  <c r="H51" i="6"/>
  <c r="D51" i="6"/>
  <c r="H50" i="6"/>
  <c r="D50" i="6"/>
  <c r="H49" i="6"/>
  <c r="D49" i="6"/>
  <c r="H48" i="6"/>
  <c r="D48" i="6"/>
  <c r="H47" i="6"/>
  <c r="D47" i="6"/>
  <c r="H46" i="6"/>
  <c r="D46" i="6"/>
  <c r="H45" i="6"/>
  <c r="D45" i="6"/>
  <c r="H44" i="6"/>
  <c r="D44" i="6"/>
  <c r="H43" i="6"/>
  <c r="D43" i="6"/>
  <c r="H42" i="6"/>
  <c r="D42" i="6"/>
  <c r="H41" i="6"/>
  <c r="D41" i="6"/>
  <c r="H40" i="6"/>
  <c r="D40" i="6"/>
  <c r="H39" i="6"/>
  <c r="D39" i="6"/>
  <c r="H38" i="6"/>
  <c r="D38" i="6"/>
  <c r="H37" i="6"/>
  <c r="D37" i="6"/>
  <c r="H36" i="6"/>
  <c r="D36" i="6"/>
  <c r="H35" i="6"/>
  <c r="D35" i="6"/>
  <c r="H34" i="6"/>
  <c r="D34" i="6"/>
  <c r="B34" i="6"/>
  <c r="H33" i="6"/>
  <c r="D33" i="6"/>
  <c r="H32" i="6"/>
  <c r="D32" i="6"/>
  <c r="H31" i="6"/>
  <c r="D31" i="6"/>
  <c r="H30" i="6"/>
  <c r="D30" i="6"/>
  <c r="H29" i="6"/>
  <c r="D29" i="6"/>
  <c r="H28" i="6"/>
  <c r="D28" i="6"/>
  <c r="H27" i="6"/>
  <c r="D27" i="6"/>
  <c r="H26" i="6"/>
  <c r="D26" i="6"/>
  <c r="H25" i="6"/>
  <c r="D25" i="6"/>
  <c r="H24" i="6"/>
  <c r="D24" i="6"/>
  <c r="H23" i="6"/>
  <c r="D23" i="6"/>
  <c r="H22" i="6"/>
  <c r="D22" i="6"/>
  <c r="H21" i="6"/>
  <c r="D21" i="6"/>
  <c r="H20" i="6"/>
  <c r="D20" i="6"/>
  <c r="H19" i="6"/>
  <c r="D19" i="6"/>
  <c r="H18" i="6"/>
  <c r="D18" i="6"/>
  <c r="H17" i="6"/>
  <c r="D17" i="6"/>
  <c r="H16" i="6"/>
  <c r="D16" i="6"/>
  <c r="H15" i="6"/>
  <c r="D15" i="6"/>
  <c r="H14" i="6"/>
  <c r="D14" i="6"/>
  <c r="H13" i="6"/>
  <c r="D13" i="6"/>
  <c r="H12" i="6"/>
  <c r="D12" i="6"/>
  <c r="H11" i="6"/>
  <c r="D11" i="6"/>
  <c r="B11" i="6"/>
  <c r="P10" i="6"/>
  <c r="K10" i="6"/>
  <c r="H10" i="6"/>
  <c r="D10" i="6"/>
  <c r="H9" i="6"/>
  <c r="D9" i="6"/>
  <c r="H8" i="6"/>
  <c r="D8" i="6"/>
  <c r="P8" i="6" s="1"/>
  <c r="K6" i="6"/>
  <c r="K12" i="6" s="1"/>
  <c r="K13" i="1" s="1"/>
  <c r="G69" i="5"/>
  <c r="H69" i="5" s="1"/>
  <c r="D69" i="5"/>
  <c r="G68" i="5"/>
  <c r="H68" i="5" s="1"/>
  <c r="D68" i="5"/>
  <c r="G67" i="5"/>
  <c r="H67" i="5" s="1"/>
  <c r="D67" i="5"/>
  <c r="G66" i="5"/>
  <c r="H66" i="5" s="1"/>
  <c r="D66" i="5"/>
  <c r="G65" i="5"/>
  <c r="H65" i="5" s="1"/>
  <c r="D65" i="5"/>
  <c r="G64" i="5"/>
  <c r="H64" i="5" s="1"/>
  <c r="D64" i="5"/>
  <c r="B64" i="5"/>
  <c r="B65" i="5" s="1"/>
  <c r="B66" i="5" s="1"/>
  <c r="B67" i="5" s="1"/>
  <c r="B68" i="5" s="1"/>
  <c r="B69" i="5" s="1"/>
  <c r="G63" i="5"/>
  <c r="H63" i="5" s="1"/>
  <c r="D63" i="5"/>
  <c r="B63" i="5"/>
  <c r="G62" i="5"/>
  <c r="H62" i="5" s="1"/>
  <c r="D62" i="5"/>
  <c r="H61" i="5"/>
  <c r="G61" i="5"/>
  <c r="D61" i="5"/>
  <c r="G60" i="5"/>
  <c r="D60" i="5"/>
  <c r="G59" i="5"/>
  <c r="H60" i="5" s="1"/>
  <c r="D59" i="5"/>
  <c r="G58" i="5"/>
  <c r="H58" i="5" s="1"/>
  <c r="D58" i="5"/>
  <c r="G57" i="5"/>
  <c r="D57" i="5"/>
  <c r="H56" i="5"/>
  <c r="G56" i="5"/>
  <c r="H57" i="5" s="1"/>
  <c r="D56" i="5"/>
  <c r="G55" i="5"/>
  <c r="H55" i="5" s="1"/>
  <c r="D55" i="5"/>
  <c r="G54" i="5"/>
  <c r="H54" i="5" s="1"/>
  <c r="D54" i="5"/>
  <c r="H53" i="5"/>
  <c r="G53" i="5"/>
  <c r="D53" i="5"/>
  <c r="G52" i="5"/>
  <c r="D52" i="5"/>
  <c r="G51" i="5"/>
  <c r="H52" i="5" s="1"/>
  <c r="D51" i="5"/>
  <c r="G50" i="5"/>
  <c r="H50" i="5" s="1"/>
  <c r="D50" i="5"/>
  <c r="G49" i="5"/>
  <c r="D49" i="5"/>
  <c r="H48" i="5"/>
  <c r="G48" i="5"/>
  <c r="H49" i="5" s="1"/>
  <c r="D48" i="5"/>
  <c r="G47" i="5"/>
  <c r="H47" i="5" s="1"/>
  <c r="D47" i="5"/>
  <c r="G46" i="5"/>
  <c r="H46" i="5" s="1"/>
  <c r="D46" i="5"/>
  <c r="H45" i="5"/>
  <c r="G45" i="5"/>
  <c r="D45" i="5"/>
  <c r="G44" i="5"/>
  <c r="D44" i="5"/>
  <c r="G43" i="5"/>
  <c r="H44" i="5" s="1"/>
  <c r="D43" i="5"/>
  <c r="G42" i="5"/>
  <c r="H42" i="5" s="1"/>
  <c r="D42" i="5"/>
  <c r="G41" i="5"/>
  <c r="D41" i="5"/>
  <c r="H40" i="5"/>
  <c r="G40" i="5"/>
  <c r="H41" i="5" s="1"/>
  <c r="D40" i="5"/>
  <c r="G39" i="5"/>
  <c r="H39" i="5" s="1"/>
  <c r="D39" i="5"/>
  <c r="G38" i="5"/>
  <c r="H38" i="5" s="1"/>
  <c r="D38" i="5"/>
  <c r="H37" i="5"/>
  <c r="G37" i="5"/>
  <c r="D37" i="5"/>
  <c r="G36" i="5"/>
  <c r="D36" i="5"/>
  <c r="G35" i="5"/>
  <c r="H36" i="5" s="1"/>
  <c r="D35" i="5"/>
  <c r="G34" i="5"/>
  <c r="H34" i="5" s="1"/>
  <c r="D34" i="5"/>
  <c r="B34" i="5"/>
  <c r="G33" i="5"/>
  <c r="H33" i="5" s="1"/>
  <c r="D33" i="5"/>
  <c r="H32" i="5"/>
  <c r="G32" i="5"/>
  <c r="D32" i="5"/>
  <c r="G31" i="5"/>
  <c r="D31" i="5"/>
  <c r="G30" i="5"/>
  <c r="H31" i="5" s="1"/>
  <c r="D30" i="5"/>
  <c r="G29" i="5"/>
  <c r="H29" i="5" s="1"/>
  <c r="D29" i="5"/>
  <c r="G28" i="5"/>
  <c r="D28" i="5"/>
  <c r="H27" i="5"/>
  <c r="G27" i="5"/>
  <c r="H28" i="5" s="1"/>
  <c r="D27" i="5"/>
  <c r="G26" i="5"/>
  <c r="H26" i="5" s="1"/>
  <c r="D26" i="5"/>
  <c r="G25" i="5"/>
  <c r="H25" i="5" s="1"/>
  <c r="D25" i="5"/>
  <c r="H24" i="5"/>
  <c r="G24" i="5"/>
  <c r="D24" i="5"/>
  <c r="G23" i="5"/>
  <c r="D23" i="5"/>
  <c r="G22" i="5"/>
  <c r="H23" i="5" s="1"/>
  <c r="D22" i="5"/>
  <c r="G21" i="5"/>
  <c r="H21" i="5" s="1"/>
  <c r="D21" i="5"/>
  <c r="G20" i="5"/>
  <c r="D20" i="5"/>
  <c r="H19" i="5"/>
  <c r="G19" i="5"/>
  <c r="H20" i="5" s="1"/>
  <c r="D19" i="5"/>
  <c r="G18" i="5"/>
  <c r="H18" i="5" s="1"/>
  <c r="D18" i="5"/>
  <c r="G17" i="5"/>
  <c r="H17" i="5" s="1"/>
  <c r="D17" i="5"/>
  <c r="H16" i="5"/>
  <c r="G16" i="5"/>
  <c r="D16" i="5"/>
  <c r="G15" i="5"/>
  <c r="D15" i="5"/>
  <c r="G14" i="5"/>
  <c r="H15" i="5" s="1"/>
  <c r="D14" i="5"/>
  <c r="G13" i="5"/>
  <c r="H13" i="5" s="1"/>
  <c r="D13" i="5"/>
  <c r="G12" i="5"/>
  <c r="H12" i="5" s="1"/>
  <c r="D12" i="5"/>
  <c r="G11" i="5"/>
  <c r="D11" i="5"/>
  <c r="B11" i="5"/>
  <c r="P10" i="5"/>
  <c r="K10" i="5"/>
  <c r="G10" i="5"/>
  <c r="H11" i="5" s="1"/>
  <c r="D10" i="5"/>
  <c r="G9" i="5"/>
  <c r="H9" i="5" s="1"/>
  <c r="D9" i="5"/>
  <c r="G8" i="5"/>
  <c r="H8" i="5" s="1"/>
  <c r="D8" i="5"/>
  <c r="G7" i="5"/>
  <c r="K6" i="5"/>
  <c r="K12" i="5" s="1"/>
  <c r="K16" i="1" s="1"/>
  <c r="H69" i="4"/>
  <c r="D69" i="4"/>
  <c r="H68" i="4"/>
  <c r="D68" i="4"/>
  <c r="H67" i="4"/>
  <c r="D67" i="4"/>
  <c r="H66" i="4"/>
  <c r="D66" i="4"/>
  <c r="H65" i="4"/>
  <c r="D65" i="4"/>
  <c r="H64" i="4"/>
  <c r="D64" i="4"/>
  <c r="H63" i="4"/>
  <c r="D63" i="4"/>
  <c r="H62" i="4"/>
  <c r="D62" i="4"/>
  <c r="H61" i="4"/>
  <c r="D61" i="4"/>
  <c r="H60" i="4"/>
  <c r="D60" i="4"/>
  <c r="H59" i="4"/>
  <c r="D59" i="4"/>
  <c r="H58" i="4"/>
  <c r="D58" i="4"/>
  <c r="H57" i="4"/>
  <c r="D57" i="4"/>
  <c r="H56" i="4"/>
  <c r="D56" i="4"/>
  <c r="H55" i="4"/>
  <c r="D55" i="4"/>
  <c r="H54" i="4"/>
  <c r="D54" i="4"/>
  <c r="H53" i="4"/>
  <c r="D53" i="4"/>
  <c r="H52" i="4"/>
  <c r="D52" i="4"/>
  <c r="H51" i="4"/>
  <c r="D51" i="4"/>
  <c r="H50" i="4"/>
  <c r="D50" i="4"/>
  <c r="H49" i="4"/>
  <c r="D49" i="4"/>
  <c r="H48" i="4"/>
  <c r="D48" i="4"/>
  <c r="H47" i="4"/>
  <c r="D47" i="4"/>
  <c r="H46" i="4"/>
  <c r="D46" i="4"/>
  <c r="H45" i="4"/>
  <c r="D45" i="4"/>
  <c r="H44" i="4"/>
  <c r="D44" i="4"/>
  <c r="H43" i="4"/>
  <c r="D43" i="4"/>
  <c r="H42" i="4"/>
  <c r="D42" i="4"/>
  <c r="H41" i="4"/>
  <c r="D41" i="4"/>
  <c r="H40" i="4"/>
  <c r="D40" i="4"/>
  <c r="H39" i="4"/>
  <c r="D39" i="4"/>
  <c r="H38" i="4"/>
  <c r="D38" i="4"/>
  <c r="H37" i="4"/>
  <c r="D37" i="4"/>
  <c r="H36" i="4"/>
  <c r="D36" i="4"/>
  <c r="H35" i="4"/>
  <c r="D35" i="4"/>
  <c r="H34" i="4"/>
  <c r="D34" i="4"/>
  <c r="B34" i="4"/>
  <c r="H33" i="4"/>
  <c r="D33" i="4"/>
  <c r="H32" i="4"/>
  <c r="D32" i="4"/>
  <c r="H31" i="4"/>
  <c r="D31" i="4"/>
  <c r="H30" i="4"/>
  <c r="D30" i="4"/>
  <c r="H29" i="4"/>
  <c r="D29" i="4"/>
  <c r="H28" i="4"/>
  <c r="D28" i="4"/>
  <c r="H27" i="4"/>
  <c r="D27" i="4"/>
  <c r="H26" i="4"/>
  <c r="D26" i="4"/>
  <c r="H25" i="4"/>
  <c r="D25" i="4"/>
  <c r="H24" i="4"/>
  <c r="D24" i="4"/>
  <c r="H23" i="4"/>
  <c r="D23" i="4"/>
  <c r="H22" i="4"/>
  <c r="D22" i="4"/>
  <c r="H21" i="4"/>
  <c r="D21" i="4"/>
  <c r="H20" i="4"/>
  <c r="D20" i="4"/>
  <c r="H19" i="4"/>
  <c r="D19" i="4"/>
  <c r="H18" i="4"/>
  <c r="D18" i="4"/>
  <c r="H17" i="4"/>
  <c r="D17" i="4"/>
  <c r="H16" i="4"/>
  <c r="D16" i="4"/>
  <c r="H15" i="4"/>
  <c r="D15" i="4"/>
  <c r="H14" i="4"/>
  <c r="D14" i="4"/>
  <c r="H13" i="4"/>
  <c r="D13" i="4"/>
  <c r="H12" i="4"/>
  <c r="D12" i="4"/>
  <c r="H11" i="4"/>
  <c r="D11" i="4"/>
  <c r="B11" i="4"/>
  <c r="Q10" i="4"/>
  <c r="K6" i="4" s="1"/>
  <c r="K12" i="4" s="1"/>
  <c r="K14" i="1" s="1"/>
  <c r="K10" i="4"/>
  <c r="H10" i="4"/>
  <c r="D10" i="4"/>
  <c r="H9" i="4"/>
  <c r="D9" i="4"/>
  <c r="H8" i="4"/>
  <c r="D8" i="4"/>
  <c r="Q8" i="4" s="1"/>
  <c r="J3" i="4"/>
  <c r="C18" i="3"/>
  <c r="C17" i="3"/>
  <c r="L26" i="1" s="1"/>
  <c r="L27" i="1" s="1"/>
  <c r="B10" i="3"/>
  <c r="B9" i="3"/>
  <c r="B8" i="3" s="1"/>
  <c r="B7" i="3" s="1"/>
  <c r="I10" i="2"/>
  <c r="J10" i="2" s="1"/>
  <c r="E10" i="2" s="1"/>
  <c r="H9" i="2"/>
  <c r="J9" i="2" s="1"/>
  <c r="F9" i="2"/>
  <c r="E9" i="2"/>
  <c r="J8" i="2"/>
  <c r="E8" i="2" s="1"/>
  <c r="I7" i="2"/>
  <c r="J7" i="2" s="1"/>
  <c r="E7" i="2" s="1"/>
  <c r="D7" i="2"/>
  <c r="J6" i="2"/>
  <c r="E6" i="2" s="1"/>
  <c r="G13" i="1" s="1"/>
  <c r="C37" i="1" s="1"/>
  <c r="I6" i="2"/>
  <c r="D6" i="2"/>
  <c r="F6" i="2" s="1"/>
  <c r="H20" i="1"/>
  <c r="E26" i="1" s="1"/>
  <c r="L37" i="1" s="1"/>
  <c r="H19" i="1"/>
  <c r="F16" i="1"/>
  <c r="G15" i="1"/>
  <c r="F15" i="1"/>
  <c r="I15" i="1" s="1"/>
  <c r="F12" i="1"/>
  <c r="F14" i="1"/>
  <c r="F13" i="1"/>
  <c r="F38" i="21" l="1"/>
  <c r="F40" i="21" s="1"/>
  <c r="F22" i="21"/>
  <c r="E22" i="21"/>
  <c r="J10" i="16"/>
  <c r="J8" i="16"/>
  <c r="N9" i="16"/>
  <c r="K13" i="17"/>
  <c r="J5" i="16"/>
  <c r="J9" i="16"/>
  <c r="F13" i="17"/>
  <c r="F12" i="17"/>
  <c r="N29" i="17"/>
  <c r="P29" i="17"/>
  <c r="O29" i="17"/>
  <c r="F10" i="17"/>
  <c r="G10" i="17" s="1"/>
  <c r="F11" i="17"/>
  <c r="F8" i="17"/>
  <c r="J4" i="15"/>
  <c r="K4" i="15" s="1"/>
  <c r="L4" i="15" s="1"/>
  <c r="M4" i="15" s="1"/>
  <c r="N4" i="15" s="1"/>
  <c r="O4" i="15" s="1"/>
  <c r="J15" i="1"/>
  <c r="L15" i="1"/>
  <c r="G14" i="1"/>
  <c r="I14" i="1" s="1"/>
  <c r="L14" i="1" s="1"/>
  <c r="F7" i="2"/>
  <c r="F8" i="2"/>
  <c r="G12" i="1"/>
  <c r="J12" i="1" s="1"/>
  <c r="J13" i="1"/>
  <c r="K20" i="1"/>
  <c r="K19" i="1"/>
  <c r="F10" i="2"/>
  <c r="G16" i="1"/>
  <c r="J16" i="1" s="1"/>
  <c r="J6" i="15"/>
  <c r="H38" i="13"/>
  <c r="H42" i="13" s="1"/>
  <c r="H50" i="13" s="1"/>
  <c r="M6" i="16"/>
  <c r="K6" i="16"/>
  <c r="H10" i="5"/>
  <c r="H14" i="5"/>
  <c r="H22" i="5"/>
  <c r="P8" i="5" s="1"/>
  <c r="H30" i="5"/>
  <c r="H35" i="5"/>
  <c r="H43" i="5"/>
  <c r="H51" i="5"/>
  <c r="H59" i="5"/>
  <c r="H20" i="7"/>
  <c r="P8" i="7" s="1"/>
  <c r="H28" i="7"/>
  <c r="H41" i="7"/>
  <c r="H49" i="7"/>
  <c r="H57" i="7"/>
  <c r="H65" i="7"/>
  <c r="I36" i="13"/>
  <c r="I38" i="13" s="1"/>
  <c r="H11" i="17"/>
  <c r="N8" i="16"/>
  <c r="M8" i="16"/>
  <c r="L8" i="16"/>
  <c r="P19" i="17"/>
  <c r="P28" i="17" s="1"/>
  <c r="I13" i="1"/>
  <c r="L13" i="1" s="1"/>
  <c r="I16" i="1"/>
  <c r="L16" i="1" s="1"/>
  <c r="Q6" i="4"/>
  <c r="J10" i="17"/>
  <c r="N10" i="17" s="1"/>
  <c r="H64" i="8"/>
  <c r="P8" i="8" s="1"/>
  <c r="H66" i="8"/>
  <c r="P6" i="8" s="1"/>
  <c r="H68" i="8"/>
  <c r="J38" i="13"/>
  <c r="N5" i="16"/>
  <c r="M5" i="16"/>
  <c r="L5" i="16"/>
  <c r="H9" i="17"/>
  <c r="N10" i="16"/>
  <c r="H13" i="17"/>
  <c r="M10" i="16"/>
  <c r="L10" i="16"/>
  <c r="L38" i="13"/>
  <c r="K38" i="13"/>
  <c r="H8" i="17"/>
  <c r="P17" i="17"/>
  <c r="M9" i="16"/>
  <c r="J6" i="14"/>
  <c r="M36" i="13"/>
  <c r="M38" i="13" s="1"/>
  <c r="F9" i="17"/>
  <c r="H12" i="17"/>
  <c r="P20" i="17"/>
  <c r="H31" i="13"/>
  <c r="H48" i="13" s="1"/>
  <c r="L9" i="16"/>
  <c r="K12" i="17"/>
  <c r="P18" i="17"/>
  <c r="P21" i="17"/>
  <c r="P16" i="17"/>
  <c r="M34" i="13" l="1"/>
  <c r="M40" i="13" s="1"/>
  <c r="M42" i="13" s="1"/>
  <c r="M50" i="13" s="1"/>
  <c r="J14" i="1"/>
  <c r="J20" i="1" s="1"/>
  <c r="L20" i="1"/>
  <c r="L19" i="1"/>
  <c r="P6" i="5"/>
  <c r="G11" i="17"/>
  <c r="O11" i="17"/>
  <c r="N11" i="17"/>
  <c r="G9" i="17"/>
  <c r="O9" i="17"/>
  <c r="N9" i="17"/>
  <c r="P31" i="17"/>
  <c r="P35" i="17" s="1"/>
  <c r="J10" i="15"/>
  <c r="G12" i="17"/>
  <c r="N12" i="17"/>
  <c r="O12" i="17"/>
  <c r="J10" i="14"/>
  <c r="G8" i="17"/>
  <c r="N8" i="17"/>
  <c r="O8" i="17"/>
  <c r="K28" i="13"/>
  <c r="K51" i="13" s="1"/>
  <c r="K34" i="13"/>
  <c r="K40" i="13" s="1"/>
  <c r="K42" i="13" s="1"/>
  <c r="K50" i="13" s="1"/>
  <c r="I28" i="13"/>
  <c r="I51" i="13" s="1"/>
  <c r="I34" i="13"/>
  <c r="I40" i="13" s="1"/>
  <c r="I42" i="13" s="1"/>
  <c r="I50" i="13" s="1"/>
  <c r="J31" i="13"/>
  <c r="J48" i="13" s="1"/>
  <c r="I12" i="1"/>
  <c r="L12" i="1" s="1"/>
  <c r="N13" i="17"/>
  <c r="G13" i="17"/>
  <c r="O13" i="17"/>
  <c r="L28" i="13"/>
  <c r="L51" i="13" s="1"/>
  <c r="K10" i="17"/>
  <c r="O10" i="17" s="1"/>
  <c r="N6" i="16"/>
  <c r="J34" i="13"/>
  <c r="J40" i="13" s="1"/>
  <c r="J42" i="13" s="1"/>
  <c r="J50" i="13" s="1"/>
  <c r="J28" i="13"/>
  <c r="J51" i="13" s="1"/>
  <c r="I19" i="1"/>
  <c r="I20" i="1"/>
  <c r="E27" i="1"/>
  <c r="L45" i="1" s="1"/>
  <c r="C38" i="1"/>
  <c r="D36" i="1" s="1"/>
  <c r="O27" i="17" l="1"/>
  <c r="N27" i="17"/>
  <c r="P27" i="17"/>
  <c r="K53" i="13"/>
  <c r="M28" i="13"/>
  <c r="M51" i="13" s="1"/>
  <c r="M53" i="13" s="1"/>
  <c r="L34" i="13"/>
  <c r="L40" i="13" s="1"/>
  <c r="L42" i="13" s="1"/>
  <c r="L50" i="13" s="1"/>
  <c r="L53" i="13" s="1"/>
  <c r="I53" i="13"/>
  <c r="J12" i="14"/>
  <c r="K12" i="14" s="1"/>
  <c r="L12" i="14" s="1"/>
  <c r="M12" i="14" s="1"/>
  <c r="N12" i="14" s="1"/>
  <c r="O12" i="14" s="1"/>
  <c r="J19" i="1"/>
  <c r="L46" i="1" s="1"/>
  <c r="Q4" i="18"/>
  <c r="P4" i="18" s="1"/>
  <c r="N20" i="17"/>
  <c r="N19" i="17"/>
  <c r="N16" i="17"/>
  <c r="N21" i="17"/>
  <c r="N18" i="17"/>
  <c r="N17" i="17"/>
  <c r="O20" i="17"/>
  <c r="O19" i="17"/>
  <c r="O26" i="17" s="1"/>
  <c r="O16" i="17"/>
  <c r="O21" i="17"/>
  <c r="O18" i="17"/>
  <c r="O17" i="17"/>
  <c r="J53" i="13"/>
  <c r="P26" i="17"/>
  <c r="D38" i="1"/>
  <c r="E38" i="1" s="1"/>
  <c r="D37" i="1"/>
  <c r="D40" i="1" s="1"/>
  <c r="K31" i="13"/>
  <c r="K48" i="13" s="1"/>
  <c r="N31" i="17" l="1"/>
  <c r="N35" i="17" s="1"/>
  <c r="O44" i="13"/>
  <c r="J12" i="15"/>
  <c r="K12" i="15" s="1"/>
  <c r="L12" i="15" s="1"/>
  <c r="M12" i="15" s="1"/>
  <c r="N12" i="15" s="1"/>
  <c r="O12" i="15" s="1"/>
  <c r="H53" i="13"/>
  <c r="O55" i="13" s="1"/>
  <c r="O45" i="13"/>
  <c r="E37" i="1"/>
  <c r="L31" i="13"/>
  <c r="L48" i="13" s="1"/>
  <c r="M31" i="13"/>
  <c r="M48" i="13" s="1"/>
  <c r="J14" i="14"/>
  <c r="O28" i="17"/>
  <c r="O31" i="17" s="1"/>
  <c r="O35" i="17" s="1"/>
  <c r="S4" i="18" l="1"/>
  <c r="R4" i="18" s="1"/>
  <c r="O56" i="13"/>
  <c r="E21" i="14" s="1"/>
  <c r="K6" i="14" s="1"/>
  <c r="J14" i="15"/>
  <c r="E40" i="1"/>
  <c r="L36" i="1" s="1"/>
  <c r="L38" i="1" s="1"/>
  <c r="L28" i="1" s="1"/>
  <c r="L29" i="1" s="1"/>
  <c r="L48" i="1" s="1"/>
  <c r="E23" i="14" s="1"/>
  <c r="E21" i="15" l="1"/>
  <c r="K6" i="15" s="1"/>
  <c r="K10" i="15" s="1"/>
  <c r="K14" i="15" s="1"/>
  <c r="E23" i="15"/>
  <c r="O17" i="15" s="1"/>
  <c r="K17" i="14"/>
  <c r="O17" i="14"/>
  <c r="N17" i="14"/>
  <c r="M17" i="14"/>
  <c r="L17" i="14"/>
  <c r="E32" i="14"/>
  <c r="L6" i="14"/>
  <c r="K10" i="14"/>
  <c r="K14" i="14" s="1"/>
  <c r="L6" i="15" l="1"/>
  <c r="L10" i="15" s="1"/>
  <c r="L14" i="15" s="1"/>
  <c r="L17" i="15"/>
  <c r="K17" i="15"/>
  <c r="K19" i="15" s="1"/>
  <c r="E32" i="15"/>
  <c r="M17" i="15"/>
  <c r="N17" i="15"/>
  <c r="K19" i="14"/>
  <c r="L10" i="14"/>
  <c r="L14" i="14" s="1"/>
  <c r="L19" i="14" s="1"/>
  <c r="M6" i="14"/>
  <c r="M6" i="15" l="1"/>
  <c r="M10" i="15" s="1"/>
  <c r="M14" i="15" s="1"/>
  <c r="M19" i="15" s="1"/>
  <c r="L19" i="15"/>
  <c r="M10" i="14"/>
  <c r="M14" i="14" s="1"/>
  <c r="M19" i="14" s="1"/>
  <c r="N6" i="14"/>
  <c r="N6" i="15" l="1"/>
  <c r="N10" i="15" s="1"/>
  <c r="N14" i="15" s="1"/>
  <c r="N19" i="15" s="1"/>
  <c r="O6" i="14"/>
  <c r="O10" i="14" s="1"/>
  <c r="O14" i="14" s="1"/>
  <c r="E31" i="14" s="1"/>
  <c r="E35" i="14" s="1"/>
  <c r="E47" i="14" s="1"/>
  <c r="N10" i="14"/>
  <c r="N14" i="14" s="1"/>
  <c r="N19" i="14" s="1"/>
  <c r="O6" i="15" l="1"/>
  <c r="O10" i="15" s="1"/>
  <c r="O14" i="15" s="1"/>
  <c r="O19" i="14"/>
  <c r="E46" i="14" s="1"/>
  <c r="O19" i="15" l="1"/>
  <c r="E46" i="15" s="1"/>
  <c r="E31" i="15"/>
  <c r="E35" i="15" s="1"/>
  <c r="E47" i="15" s="1"/>
  <c r="E48" i="14"/>
  <c r="E48" i="15" l="1"/>
  <c r="E52" i="14"/>
  <c r="E54" i="14" s="1"/>
  <c r="K30" i="14" l="1"/>
  <c r="E52" i="15"/>
  <c r="K30" i="15" s="1"/>
  <c r="K45" i="15" l="1"/>
  <c r="K59" i="15"/>
  <c r="E54" i="15"/>
  <c r="E58" i="14"/>
  <c r="E60" i="14"/>
  <c r="K4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L9" authorId="0" shapeId="0" xr:uid="{6CE5D1BA-4FD1-44C7-AE60-4F9E6836FA7D}">
      <text>
        <r>
          <rPr>
            <b/>
            <sz val="9"/>
            <color indexed="81"/>
            <rFont val="Tahoma"/>
            <family val="2"/>
          </rPr>
          <t>Hussain Muhammad:</t>
        </r>
        <r>
          <rPr>
            <sz val="9"/>
            <color indexed="81"/>
            <rFont val="Tahoma"/>
            <family val="2"/>
          </rPr>
          <t xml:space="preserve">
This is also known as Ba or Beta Asset. It is calculated as Be*/(1+(1-tax rate)*debt/equity 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21FC1452-7C02-44F3-ABD5-67D4278EA952}">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EFB47D34-F19B-4998-B2DC-8C3A8C395894}">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52D2229A-E12D-4CE2-A8A4-69F2317918EC}">
      <text>
        <r>
          <rPr>
            <b/>
            <sz val="9"/>
            <color indexed="81"/>
            <rFont val="Tahoma"/>
            <family val="2"/>
          </rPr>
          <t>Hussain Muhammad:</t>
        </r>
        <r>
          <rPr>
            <sz val="9"/>
            <color indexed="81"/>
            <rFont val="Tahoma"/>
            <family val="2"/>
          </rPr>
          <t xml:space="preserve">
</t>
        </r>
        <r>
          <rPr>
            <b/>
            <i/>
            <sz val="9"/>
            <color indexed="81"/>
            <rFont val="Tahoma"/>
            <family val="2"/>
          </rPr>
          <t>This is the X in our formula for calculating the Beta because this is the independent variable.
Whereas, the Returns of FCEPL are dependent, so they are 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CAB4E4EE-D202-44F2-BD64-A1BE8B01B5F7}">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G4" authorId="0" shapeId="0" xr:uid="{F3463A33-6FEB-4F39-8E78-14C9C5B9ADF3}">
      <text>
        <r>
          <rPr>
            <b/>
            <sz val="9"/>
            <color indexed="81"/>
            <rFont val="Tahoma"/>
            <family val="2"/>
          </rPr>
          <t>Hussain Muhammad:</t>
        </r>
        <r>
          <rPr>
            <sz val="9"/>
            <color indexed="81"/>
            <rFont val="Tahoma"/>
            <family val="2"/>
          </rPr>
          <t xml:space="preserve">
This is the X in our formula for calculating the Beta because this is the independent variable.
Whereas, the Returns of UFPL are dependent, so they are 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B32CB184-FD5B-4895-9EE5-610F7CAEA36C}">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16" authorId="0" shapeId="0" xr:uid="{5FE7C7ED-A237-42EB-A7CF-9E471C43CA4B}">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sharedStrings.xml><?xml version="1.0" encoding="utf-8"?>
<sst xmlns="http://schemas.openxmlformats.org/spreadsheetml/2006/main" count="783" uniqueCount="432">
  <si>
    <t xml:space="preserve">Weighted Average cost of Capital </t>
  </si>
  <si>
    <t>All figures are in Rs unless stated otherwise</t>
  </si>
  <si>
    <t>Peer/Comparable companies</t>
  </si>
  <si>
    <t>Rs B</t>
  </si>
  <si>
    <t>Debt/</t>
  </si>
  <si>
    <t>Levered</t>
  </si>
  <si>
    <t xml:space="preserve">Unlevered </t>
  </si>
  <si>
    <t>Name of the companies</t>
  </si>
  <si>
    <t>Country</t>
  </si>
  <si>
    <t>Total Debt</t>
  </si>
  <si>
    <t>Total Equity</t>
  </si>
  <si>
    <r>
      <t xml:space="preserve">Tax rate </t>
    </r>
    <r>
      <rPr>
        <vertAlign val="superscript"/>
        <sz val="11"/>
        <color theme="1"/>
        <rFont val="Calibri"/>
        <family val="2"/>
        <scheme val="minor"/>
      </rPr>
      <t>1</t>
    </r>
  </si>
  <si>
    <t>Equity</t>
  </si>
  <si>
    <t>Capital</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</si>
  <si>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</si>
  <si>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</si>
  <si>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FrieslandCampina Engro Pakistan Ltd</t>
  </si>
  <si>
    <t>Pakistan</t>
  </si>
  <si>
    <t>Unilever Pakistan Foods Limited</t>
  </si>
  <si>
    <t>Ismail Industries Ltd</t>
  </si>
  <si>
    <t>National Foods Limited</t>
  </si>
  <si>
    <t>Nestle Pakistan Limited</t>
  </si>
  <si>
    <t xml:space="preserve">Average </t>
  </si>
  <si>
    <t xml:space="preserve"> </t>
  </si>
  <si>
    <t>Median</t>
  </si>
  <si>
    <t>Cost of Debt</t>
  </si>
  <si>
    <t>Cost of Equity</t>
  </si>
  <si>
    <r>
      <t>Pre-tax Cost of debt</t>
    </r>
    <r>
      <rPr>
        <vertAlign val="superscript"/>
        <sz val="11"/>
        <color theme="1"/>
        <rFont val="Calibri"/>
        <family val="2"/>
        <scheme val="minor"/>
      </rPr>
      <t>N1</t>
    </r>
  </si>
  <si>
    <t>Risk-free rate</t>
  </si>
  <si>
    <t>Taken as the 10 Year Pak Govt Bonds Yield Rate</t>
  </si>
  <si>
    <t>Tax rate</t>
  </si>
  <si>
    <t>Return from market</t>
  </si>
  <si>
    <t>Taken as the Average Return on the KSE-100 Index for the last 10 years</t>
  </si>
  <si>
    <t>Post-tax Cost of debt</t>
  </si>
  <si>
    <t>Equity Risk Premium (Rm-Rf)</t>
  </si>
  <si>
    <r>
      <t xml:space="preserve">Levered Beta </t>
    </r>
    <r>
      <rPr>
        <vertAlign val="superscript"/>
        <sz val="11"/>
        <color theme="1"/>
        <rFont val="Calibri"/>
        <family val="2"/>
        <scheme val="minor"/>
      </rPr>
      <t>4</t>
    </r>
  </si>
  <si>
    <t>Levered Beta (Be)</t>
  </si>
  <si>
    <t xml:space="preserve">Current </t>
  </si>
  <si>
    <t>Target</t>
  </si>
  <si>
    <t>Competitor Companies Median Unlevered Beta (Ba)</t>
  </si>
  <si>
    <t>Target Debt/Equity</t>
  </si>
  <si>
    <t>Total Capital</t>
  </si>
  <si>
    <t>Debt/Equity</t>
  </si>
  <si>
    <t>Weighted Average Cost of Capital</t>
  </si>
  <si>
    <t>N1</t>
  </si>
  <si>
    <t>Finance costs-2023</t>
  </si>
  <si>
    <t>Equity Weight</t>
  </si>
  <si>
    <t>Debt Weight</t>
  </si>
  <si>
    <t>WACC</t>
  </si>
  <si>
    <t>Companies</t>
  </si>
  <si>
    <t>Market Capitalization</t>
  </si>
  <si>
    <t>Debt</t>
  </si>
  <si>
    <t>Equity (Book value) on the FS</t>
  </si>
  <si>
    <t>Book value/share</t>
  </si>
  <si>
    <t>No. of shares</t>
  </si>
  <si>
    <t>Book value of equity</t>
  </si>
  <si>
    <t>Note</t>
  </si>
  <si>
    <t>All figures taken from the Consolidated Financial Statements provided in the Annual Report and the numbers mentioned in the wesbsite "Investing.com" and "StockAnalysis.com"</t>
  </si>
  <si>
    <t>KSE-100 Annual Returns</t>
  </si>
  <si>
    <t>Years</t>
  </si>
  <si>
    <t>Returns</t>
  </si>
  <si>
    <t>Average</t>
  </si>
  <si>
    <t>All figures taken from the PSX Website and the numbers for KSE-100 Returns mentioned in the wesbsite "Investing.com"</t>
  </si>
  <si>
    <t>Regression Beta-2 years weekly</t>
  </si>
  <si>
    <t>Unilever Foods Pakistan Limited Returns</t>
  </si>
  <si>
    <t>PSX Returns</t>
  </si>
  <si>
    <t>Beta Drifting</t>
  </si>
  <si>
    <t>Date</t>
  </si>
  <si>
    <t>Closing Price</t>
  </si>
  <si>
    <t>Return</t>
  </si>
  <si>
    <t>Levered Raw Beta</t>
  </si>
  <si>
    <t xml:space="preserve">Beta 1 </t>
  </si>
  <si>
    <t>Using the slope formula</t>
  </si>
  <si>
    <t>Beta Weight</t>
  </si>
  <si>
    <t>Beta 2</t>
  </si>
  <si>
    <t>using the covariance/variance formula</t>
  </si>
  <si>
    <t>Market Beta</t>
  </si>
  <si>
    <t>Market Beta Weight</t>
  </si>
  <si>
    <t>Beta 3</t>
  </si>
  <si>
    <t>using the data analysis tool</t>
  </si>
  <si>
    <t>Adjusted Beta</t>
  </si>
  <si>
    <t>Note 1</t>
  </si>
  <si>
    <t>Beta drifting refers to the tendency of a stock's beta (a measure of its volatility relative to the market) to change over time. Beta is not static, and as a company’s risk profile evolves due to factors like changing business conditions, leverage, or market sentiment, its beta can "drift" from its original value.
Beta drifting is done to adjust a stock’s beta toward 1 (the market beta) because over time, individual stock betas tend to revert to the market average due to several factors. This process, also called adjusted beta calculation, is commonly used to make predictions more realistic for future returns.
This is done by all Major Investment banks like JP Morgan, Morgan Stanley, CitiBank etc. with different weights being attached to the market beta of 1 as per their standard practice.</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</si>
  <si>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</si>
  <si>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</si>
  <si>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</si>
  <si>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</si>
  <si>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</si>
  <si>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</si>
  <si>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</si>
  <si>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</si>
  <si>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</si>
  <si>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</si>
  <si>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</si>
  <si>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</si>
  <si>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</si>
  <si>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</si>
  <si>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</si>
  <si>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</si>
  <si>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</si>
  <si>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</si>
  <si>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</si>
  <si>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</si>
  <si>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</si>
  <si>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</si>
  <si>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</si>
  <si>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</si>
  <si>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Friesland Campina Engro Pakistan Limited</t>
  </si>
  <si>
    <t>Ismail Industries Limited</t>
  </si>
  <si>
    <t>Trade debts</t>
  </si>
  <si>
    <t>Other receivables</t>
  </si>
  <si>
    <t>Trade and other payables</t>
  </si>
  <si>
    <t>Total Liabilities</t>
  </si>
  <si>
    <t>Profit before taxation</t>
  </si>
  <si>
    <t>Taxation</t>
  </si>
  <si>
    <t>EPS Growth rate</t>
  </si>
  <si>
    <r>
      <rPr>
        <b/>
        <sz val="11"/>
        <color theme="0"/>
        <rFont val="Calibri"/>
        <family val="2"/>
        <scheme val="minor"/>
      </rPr>
      <t>STATEMENT OF COMPREHENSIVE INCOME
FOR THE YEAR ENDED DECEMBER 31, 2023
(Amounts in thousand)</t>
    </r>
  </si>
  <si>
    <t xml:space="preserve">Profit for the year
</t>
  </si>
  <si>
    <t>Other comprehensive loss:</t>
  </si>
  <si>
    <t>Items that will not be reclassified to profit or loss</t>
  </si>
  <si>
    <t>Remeasurement loss on post employment benefits obligation</t>
  </si>
  <si>
    <t>Less: Income tax relating to remeasurement loss</t>
  </si>
  <si>
    <t>Other comprehensive loss for the year, net of tax</t>
  </si>
  <si>
    <t>Total comprehensive income for the year</t>
  </si>
  <si>
    <t>Dividend per share</t>
  </si>
  <si>
    <t>Dividend Payout ratio</t>
  </si>
  <si>
    <t>Retention Ratio</t>
  </si>
  <si>
    <t>Average Market Price per share</t>
  </si>
  <si>
    <t>N/A</t>
  </si>
  <si>
    <t>CASH FLOWS FROM OPERATING ACTIVITIES</t>
  </si>
  <si>
    <t>Adjustments for:</t>
  </si>
  <si>
    <t>Depreciation on property, plant and equipment</t>
  </si>
  <si>
    <t>Depreciation on right-of-use asset</t>
  </si>
  <si>
    <t>Loss on disposal of property, plant and equipment</t>
  </si>
  <si>
    <t>Provision for staff retirement benefits</t>
  </si>
  <si>
    <t>Provision for impairment of property, plant and equipment - net</t>
  </si>
  <si>
    <t>Mark-up on long term borrowings and leases</t>
  </si>
  <si>
    <t>Return on short term investments held at fair value through profit or loss</t>
  </si>
  <si>
    <t>Return on savings accounts</t>
  </si>
  <si>
    <t>Changes in working capital:</t>
  </si>
  <si>
    <t>Stores and spares</t>
  </si>
  <si>
    <t>Stock in trade - net</t>
  </si>
  <si>
    <t>Loans and advances</t>
  </si>
  <si>
    <t>Trade deposits and short term prepayments</t>
  </si>
  <si>
    <t>Sales tax refundable</t>
  </si>
  <si>
    <t>Provisions</t>
  </si>
  <si>
    <t>Cash generated from operations (carried forward)</t>
  </si>
  <si>
    <t>Cash generated from operations (brought forward)</t>
  </si>
  <si>
    <t>Mark up paid</t>
  </si>
  <si>
    <t>Income tax paid</t>
  </si>
  <si>
    <t>Decrease in long term loans</t>
  </si>
  <si>
    <t>Net cash generated from operating activities</t>
  </si>
  <si>
    <t>CASH FLOWS FROM INVESTING ACTIVITIES</t>
  </si>
  <si>
    <t>Purchase of property, plant and equipment</t>
  </si>
  <si>
    <t>Proceeds from disposal of property, plant and equipment</t>
  </si>
  <si>
    <t>We only extracted these figures from the Cash Flow Statement because we needed only the amounts invested in Acquisition and sale of PPE for the Capital Expenditure Amount.</t>
  </si>
  <si>
    <t>Net cash used in Investing activities</t>
  </si>
  <si>
    <t>CASH FLOWS FROM FINANCING ACTIVITIES</t>
  </si>
  <si>
    <t>Lease liability payments</t>
  </si>
  <si>
    <t>Proceeds from long term financing</t>
  </si>
  <si>
    <t>Repayment of long term loan</t>
  </si>
  <si>
    <t>Dividends paid</t>
  </si>
  <si>
    <t>Net cash used in financing activities</t>
  </si>
  <si>
    <t>Net increase in cash and cash equivalents</t>
  </si>
  <si>
    <t>Cash and cash equivalents at beginning of the year</t>
  </si>
  <si>
    <t>Cash and cash equivalents at end of the year</t>
  </si>
  <si>
    <t>Trend</t>
  </si>
  <si>
    <t>Mean</t>
  </si>
  <si>
    <t>Profitability Ratios</t>
  </si>
  <si>
    <t xml:space="preserve">Gross Profit Margin  </t>
  </si>
  <si>
    <t>Operating Margin</t>
  </si>
  <si>
    <t>Net Profit Margin</t>
  </si>
  <si>
    <t>Operating/leverage ratio (Times)</t>
  </si>
  <si>
    <t xml:space="preserve">Pre Tax return on equity                            </t>
  </si>
  <si>
    <t xml:space="preserve">Post tax return on equity                            </t>
  </si>
  <si>
    <r>
      <t>Return on Capital Employed-</t>
    </r>
    <r>
      <rPr>
        <vertAlign val="superscript"/>
        <sz val="11"/>
        <color rgb="FF002060"/>
        <rFont val="Calibri"/>
        <family val="2"/>
        <scheme val="minor"/>
      </rPr>
      <t>Note 1</t>
    </r>
  </si>
  <si>
    <t>Note 2</t>
  </si>
  <si>
    <t>#</t>
  </si>
  <si>
    <t xml:space="preserve">Calculation of Return on Invested Capital </t>
  </si>
  <si>
    <t>Explanation of the ROIC and Reinvestment Rate for Growth Rate</t>
  </si>
  <si>
    <t>Usually as per Gordon's growth Model</t>
  </si>
  <si>
    <t>Current assets</t>
  </si>
  <si>
    <t>G=b*r</t>
  </si>
  <si>
    <t>where g is growth rate in dividends</t>
  </si>
  <si>
    <t>b=retention ratio</t>
  </si>
  <si>
    <t>r=ROE</t>
  </si>
  <si>
    <t>Now for growth rate for business</t>
  </si>
  <si>
    <t>b=reinvestment ratio</t>
  </si>
  <si>
    <t>Total Current Assets (excluding cash and cash equivalents)</t>
  </si>
  <si>
    <t>Current liabilities</t>
  </si>
  <si>
    <t>Total Current Liabilities</t>
  </si>
  <si>
    <t>Net Working Capital (excluding cash and cash equivalents)</t>
  </si>
  <si>
    <t>Non-current assets</t>
  </si>
  <si>
    <t>Total Non-Current Assets</t>
  </si>
  <si>
    <t>Invested Capital</t>
  </si>
  <si>
    <t>EBIT</t>
  </si>
  <si>
    <t>Return on Invested Capital (ROIC)</t>
  </si>
  <si>
    <t>Calculation of Reinvestment rate</t>
  </si>
  <si>
    <t>Net Capital Expenditure (Capex)</t>
  </si>
  <si>
    <t>Change in Working Capital</t>
  </si>
  <si>
    <t xml:space="preserve">EBIT </t>
  </si>
  <si>
    <t>Margnial Tax Rate</t>
  </si>
  <si>
    <t>EBIT (1-Tax Rate)</t>
  </si>
  <si>
    <t>Reinvestment Amount</t>
  </si>
  <si>
    <t>Reinvestment Rate</t>
  </si>
  <si>
    <t>6-Year Average</t>
  </si>
  <si>
    <t>6-Year Median</t>
  </si>
  <si>
    <t>Intrinsic Growth Rate</t>
  </si>
  <si>
    <t>Actual</t>
  </si>
  <si>
    <t>Calculation of Present Value of Free Cashflows to Firm (PV of FCFF)</t>
  </si>
  <si>
    <t>Tax Rate</t>
  </si>
  <si>
    <t>Less: Reinvestment Rate</t>
  </si>
  <si>
    <t>Free Cashflows to Firm</t>
  </si>
  <si>
    <t>Mid Year Convention</t>
  </si>
  <si>
    <t>Discounting factor</t>
  </si>
  <si>
    <t>PV of FCFF</t>
  </si>
  <si>
    <t>Expected Growth</t>
  </si>
  <si>
    <r>
      <t xml:space="preserve">Terminal Growth </t>
    </r>
    <r>
      <rPr>
        <vertAlign val="superscript"/>
        <sz val="11"/>
        <color theme="1"/>
        <rFont val="Calibri"/>
        <family val="2"/>
        <scheme val="minor"/>
      </rPr>
      <t>N1</t>
    </r>
  </si>
  <si>
    <r>
      <t xml:space="preserve">Terminal Growth </t>
    </r>
    <r>
      <rPr>
        <b/>
        <vertAlign val="superscript"/>
        <sz val="11"/>
        <color rgb="FF002060"/>
        <rFont val="Calibri"/>
        <family val="2"/>
        <scheme val="minor"/>
      </rPr>
      <t>N1</t>
    </r>
  </si>
  <si>
    <t>We have taken the long-term growth rate of Pakistan's GDP as forecasted by the State Bank of Pakistan</t>
  </si>
  <si>
    <t>Calculation of Terminal Value</t>
  </si>
  <si>
    <t>FCFF (N+1)</t>
  </si>
  <si>
    <t>Terminal Growth Rate</t>
  </si>
  <si>
    <r>
      <t>Terminal Value-</t>
    </r>
    <r>
      <rPr>
        <vertAlign val="superscript"/>
        <sz val="11"/>
        <color theme="1"/>
        <rFont val="Calibri"/>
        <family val="2"/>
        <scheme val="minor"/>
      </rPr>
      <t>N2</t>
    </r>
  </si>
  <si>
    <t>The Terminal Value is calculated using the Gordon's Growth Model. The Gordon Growth Model calculates terminal value by assuming perpetual growth of free cash flows beyond a forecast period. 
The formula is:
Terminal Value={ Final Year Free Cash Flow × (1+ Expected Growth Rate)}/(Discount Rate-Terminal Growth Rate)</t>
  </si>
  <si>
    <t>These Values represent the different Values of Enterprise Value that will occur in case of different WACC and Terminal Growth Rate</t>
  </si>
  <si>
    <t>Calculation of Equity Value</t>
  </si>
  <si>
    <t>Sensitivity Analysis-Equity Value</t>
  </si>
  <si>
    <t>PV of Terminal Value</t>
  </si>
  <si>
    <t>Enterprise Value</t>
  </si>
  <si>
    <t>Add: Cash</t>
  </si>
  <si>
    <t>Less: Debt</t>
  </si>
  <si>
    <t>Equity Value</t>
  </si>
  <si>
    <t>No. of Shares</t>
  </si>
  <si>
    <t>Value Per Share</t>
  </si>
  <si>
    <t>Sensitivity Analysis-Value Per Share</t>
  </si>
  <si>
    <t>These Values represent the different Values of "Value Per Share" that will occur in case of different WACC and Terminal Growth Rate</t>
  </si>
  <si>
    <t>Explanation</t>
  </si>
  <si>
    <t>Changing Expected Growth Rate of FCFF</t>
  </si>
  <si>
    <t>These Values represent the different Values of Enterprise Value that will occur in case of different WACC and Expected Growth Rate</t>
  </si>
  <si>
    <t>Changing Tax rate</t>
  </si>
  <si>
    <t>These Values represent the different Values of Enterprise Value that will occur in case of different WACC and Marginal Tax Rate</t>
  </si>
  <si>
    <t>Changing Reinvestment Rate</t>
  </si>
  <si>
    <t>Mkt Cap</t>
  </si>
  <si>
    <t>Latest Share Price</t>
  </si>
  <si>
    <t>Shares outsdanding</t>
  </si>
  <si>
    <t>Revenue from the Latest Annual Report</t>
  </si>
  <si>
    <t>PAT (Net Profit)</t>
  </si>
  <si>
    <t>EBITDA %</t>
  </si>
  <si>
    <t>EBITDA</t>
  </si>
  <si>
    <t>Enterprise value/Share</t>
  </si>
  <si>
    <t>EV/Sales</t>
  </si>
  <si>
    <t>EV/EBITDA</t>
  </si>
  <si>
    <t>PE Ratio</t>
  </si>
  <si>
    <t>Colgate-Palmolive Pakistan Ltd</t>
  </si>
  <si>
    <t>All of the data for the aforementioned companies was taken from the website "scstrade.com" and "Investing.com", and also cross-checked from the Annual Reports of the respective companies</t>
  </si>
  <si>
    <t>EBIT Margin</t>
  </si>
  <si>
    <t>Market Data</t>
  </si>
  <si>
    <t>Financials</t>
  </si>
  <si>
    <t>Valuation</t>
  </si>
  <si>
    <t>Company</t>
  </si>
  <si>
    <t>Ticker</t>
  </si>
  <si>
    <t>Share
Price</t>
  </si>
  <si>
    <t>Shares 
Outsdanding</t>
  </si>
  <si>
    <t>Equity 
Value</t>
  </si>
  <si>
    <t>Net Debt
 (Add Cash and Less Debt)</t>
  </si>
  <si>
    <t>Enterprise
 Value</t>
  </si>
  <si>
    <t>Revenue</t>
  </si>
  <si>
    <t>Net Income 
(PAT)</t>
  </si>
  <si>
    <t>FCEPL</t>
  </si>
  <si>
    <t>UPFL</t>
  </si>
  <si>
    <t>NATF</t>
  </si>
  <si>
    <t>COLG</t>
  </si>
  <si>
    <t>MLKP</t>
  </si>
  <si>
    <t>High</t>
  </si>
  <si>
    <t>75th Percentile</t>
  </si>
  <si>
    <t>25th Percentile</t>
  </si>
  <si>
    <t>Low</t>
  </si>
  <si>
    <t>Implied Enterprise Value</t>
  </si>
  <si>
    <t>Net Debt</t>
  </si>
  <si>
    <t>Implied Market Value (Equity Value)</t>
  </si>
  <si>
    <t>Shares Outsdanding</t>
  </si>
  <si>
    <t>Implied Value per share</t>
  </si>
  <si>
    <t>How Is the Stock Valued</t>
  </si>
  <si>
    <t>Summary</t>
  </si>
  <si>
    <t>Football Field Analysis-Data</t>
  </si>
  <si>
    <t>OpenLow</t>
  </si>
  <si>
    <t>OpenHigh</t>
  </si>
  <si>
    <t>N4</t>
  </si>
  <si>
    <t>Comps (Relative Valuation)</t>
  </si>
  <si>
    <t>N2</t>
  </si>
  <si>
    <t>DCF Bear</t>
  </si>
  <si>
    <t>N5</t>
  </si>
  <si>
    <t>DCF Base</t>
  </si>
  <si>
    <t>DCF Bull</t>
  </si>
  <si>
    <t>N3</t>
  </si>
  <si>
    <t>52W H/L</t>
  </si>
  <si>
    <t xml:space="preserve">DCF Bull Case is the case where WACC is the Lowest </t>
  </si>
  <si>
    <t>DCF Bear Case is the case where WACC is the Highest.</t>
  </si>
  <si>
    <t>52 Week High and Low Taken from "scstrade.com"</t>
  </si>
  <si>
    <t>The Implied Share Value calculated using the Comparable Company Valuation Method is used in this case. The highest Value per Share is taken as "High" and vice versa.</t>
  </si>
  <si>
    <t>DCF Base case is the current scenario with the current WACC calculated</t>
  </si>
  <si>
    <t>WACC Modelling-Ismail Industries Limited</t>
  </si>
  <si>
    <r>
      <t>Market Capitalization-</t>
    </r>
    <r>
      <rPr>
        <b/>
        <u/>
        <vertAlign val="superscript"/>
        <sz val="11"/>
        <color theme="0"/>
        <rFont val="Calibri"/>
        <family val="2"/>
        <scheme val="minor"/>
      </rPr>
      <t>Note 2</t>
    </r>
  </si>
  <si>
    <t>The Reason why the Value of Debt and Equity are not equal to the Market Capitalization is that we have taken the book values of both the Debt and Equity. The Market value for Equity is simple and can be calculated by multiplying the Share Price with the Number of Shares Outsdanding. However, the Market Value of Debt is complicated and can not be calculated easily. Therefore we used Book Values for both Debt and Equity.
If we just use the Market Value of Equity and use the Book Value of Debt, it will lead to distorted figure of Debt/Equity Ratio which will further distort the WACC Calculation.</t>
  </si>
  <si>
    <t>Capital Structure-Ismail Industries Limited</t>
  </si>
  <si>
    <t>Figure Taken from the Audited Financial Statements of 2024 from the Annual Report of Ismail Industries Limited and the website "StockAnalysis.com"</t>
  </si>
  <si>
    <r>
      <t>Unconsolidated Statement of Financial Position  (Amounts in thousands)-</t>
    </r>
    <r>
      <rPr>
        <b/>
        <vertAlign val="superscript"/>
        <sz val="14"/>
        <color theme="0"/>
        <rFont val="Calibri"/>
        <family val="2"/>
        <scheme val="minor"/>
      </rPr>
      <t>Note 1</t>
    </r>
  </si>
  <si>
    <t>Vertical  Analysis for 6 years</t>
  </si>
  <si>
    <t>Cash</t>
  </si>
  <si>
    <t>Inventory</t>
  </si>
  <si>
    <t>Current Asset</t>
  </si>
  <si>
    <t>Investments</t>
  </si>
  <si>
    <t>Fixed Asset</t>
  </si>
  <si>
    <t>Total Assets</t>
  </si>
  <si>
    <t>Current Liability</t>
  </si>
  <si>
    <t>Fixed Liability</t>
  </si>
  <si>
    <t>Paid Up Capital</t>
  </si>
  <si>
    <t>Total Equity and Liabilities</t>
  </si>
  <si>
    <t>Further Calculations</t>
  </si>
  <si>
    <t>Retained Earnings (Unappropriated Profit)</t>
  </si>
  <si>
    <t>Capital Employed</t>
  </si>
  <si>
    <r>
      <t>Total Debt-</t>
    </r>
    <r>
      <rPr>
        <b/>
        <i/>
        <vertAlign val="superscript"/>
        <sz val="11"/>
        <color rgb="FF002060"/>
        <rFont val="Calibri"/>
        <family val="2"/>
        <scheme val="minor"/>
      </rPr>
      <t>Note 2</t>
    </r>
  </si>
  <si>
    <t>Average Inventory</t>
  </si>
  <si>
    <t>Average Accounts Receivables</t>
  </si>
  <si>
    <t>Average Accounts Payables</t>
  </si>
  <si>
    <t>Average Total Assets</t>
  </si>
  <si>
    <t>Average Fixed Assets</t>
  </si>
  <si>
    <t>Average Shareholder's Equity</t>
  </si>
  <si>
    <t>Ismail Industries Ltd. operates through several subsidiaries, including Candyland Confectionery (Pvt) Ltd, Bisconni (Pvt) Ltd, Astro Films (Pvt) Ltd, SnackCity (Pvt) Ltd, and Ismail Global Trading (Pvt) Ltd. To streamline the financial modeling process, I’ve opted to use the unconsolidated financial statements of Ismail Industries. This approach simplifies the model by focusing solely on the parent company’s operations, making it easier to analyze key financial metrics without the complexities of subsidiary-level transactions and eliminations. This ensures a clearer and more efficient financial analysis while still capturing the performance of the core business.</t>
  </si>
  <si>
    <t>Accounts Receivables</t>
  </si>
  <si>
    <t>Accounts Payables</t>
  </si>
  <si>
    <r>
      <t xml:space="preserve">In my financial model, I couldn’t simply add up </t>
    </r>
    <r>
      <rPr>
        <b/>
        <i/>
        <sz val="11"/>
        <color rgb="FF002060"/>
        <rFont val="Calibri"/>
        <family val="2"/>
        <scheme val="minor"/>
      </rPr>
      <t>Non-current</t>
    </r>
    <r>
      <rPr>
        <i/>
        <sz val="11"/>
        <color rgb="FF002060"/>
        <rFont val="Calibri"/>
        <family val="2"/>
        <scheme val="minor"/>
      </rPr>
      <t xml:space="preserve"> and </t>
    </r>
    <r>
      <rPr>
        <b/>
        <i/>
        <sz val="11"/>
        <color rgb="FF002060"/>
        <rFont val="Calibri"/>
        <family val="2"/>
        <scheme val="minor"/>
      </rPr>
      <t>current liabilities</t>
    </r>
    <r>
      <rPr>
        <i/>
        <sz val="11"/>
        <color rgb="FF002060"/>
        <rFont val="Calibri"/>
        <family val="2"/>
        <scheme val="minor"/>
      </rPr>
      <t xml:space="preserve"> from the annual report to calculate </t>
    </r>
    <r>
      <rPr>
        <b/>
        <i/>
        <sz val="11"/>
        <color rgb="FF002060"/>
        <rFont val="Calibri"/>
        <family val="2"/>
        <scheme val="minor"/>
      </rPr>
      <t>Total Debt</t>
    </r>
    <r>
      <rPr>
        <i/>
        <sz val="11"/>
        <color rgb="FF002060"/>
        <rFont val="Calibri"/>
        <family val="2"/>
        <scheme val="minor"/>
      </rPr>
      <t xml:space="preserve"> for the </t>
    </r>
    <r>
      <rPr>
        <b/>
        <i/>
        <sz val="11"/>
        <color rgb="FF002060"/>
        <rFont val="Calibri"/>
        <family val="2"/>
        <scheme val="minor"/>
      </rPr>
      <t>"Debt/Equity"</t>
    </r>
    <r>
      <rPr>
        <i/>
        <sz val="11"/>
        <color rgb="FF002060"/>
        <rFont val="Calibri"/>
        <family val="2"/>
        <scheme val="minor"/>
      </rPr>
      <t xml:space="preserve"> and </t>
    </r>
    <r>
      <rPr>
        <b/>
        <i/>
        <sz val="11"/>
        <color rgb="FF002060"/>
        <rFont val="Calibri"/>
        <family val="2"/>
        <scheme val="minor"/>
      </rPr>
      <t>"Debt/Assets"</t>
    </r>
    <r>
      <rPr>
        <i/>
        <sz val="11"/>
        <color rgb="FF002060"/>
        <rFont val="Calibri"/>
        <family val="2"/>
        <scheme val="minor"/>
      </rPr>
      <t xml:space="preserve"> ratios because these figures include items like trade payables, accrued expenses, and other operational liabilities that are not considered as debt. These non-debt items would inflate the total, leading to inaccurate debt ratios. To ensure accuracy, I used the total debt figure from stockanalysis.com, which focuses specifically on financial liabilities, excluding irrelevant operational items. This can also be done manually by substracting the Trade Payables and Contract Liability (Advance from Customers) from the Total Liabilities from the AnnuaL Report.
Addtionally, the Opinion on what should be included under the term "Debt" is also different among various Investment Analysts. Therefore, we used the reputed site of "StockAnlaysis.com" for our "Total Debt" Figure</t>
    </r>
  </si>
  <si>
    <t>Unconsolidated Statement Of Profit Or Loss  (Amounts In Thousands)</t>
  </si>
  <si>
    <t>Sales</t>
  </si>
  <si>
    <t>Cost Of Sales</t>
  </si>
  <si>
    <t>Gross Profit</t>
  </si>
  <si>
    <t>Operating Profit</t>
  </si>
  <si>
    <t>Other Income</t>
  </si>
  <si>
    <t>Finance Cost</t>
  </si>
  <si>
    <t>Profit Before Tax</t>
  </si>
  <si>
    <t>Profit After Tax</t>
  </si>
  <si>
    <t xml:space="preserve">Weighted Average Number of Shares outsdanding </t>
  </si>
  <si>
    <t xml:space="preserve">Earnings per share - basic </t>
  </si>
  <si>
    <t>Market Price as at year end-30th June each year</t>
  </si>
  <si>
    <t>Book value of Equity</t>
  </si>
  <si>
    <t>Book value per share</t>
  </si>
  <si>
    <t>Ismail Industries Limited-Statement of Cash Flows
For the year ended June 30, 2024</t>
  </si>
  <si>
    <t>Data-competitors-Ismail Industries Limited</t>
  </si>
  <si>
    <r>
      <t>EBITDA Margin-</t>
    </r>
    <r>
      <rPr>
        <vertAlign val="superscript"/>
        <sz val="11"/>
        <color rgb="FF002060"/>
        <rFont val="Calibri"/>
        <family val="2"/>
        <scheme val="minor"/>
      </rPr>
      <t>Note 2</t>
    </r>
  </si>
  <si>
    <t>We did not have the data in the Annual Report to calculate the EBITDA. Therefore, the Ratios were taken from the Website "Scstrade.com", and the Annual Report Ratio Analysis Section</t>
  </si>
  <si>
    <t>Ratio Analysis Summary</t>
  </si>
  <si>
    <r>
      <t xml:space="preserve">From 2019 to 2024, Ismail Industries Ltd. (IIL) has shown an overall positive profitability trend, reflecting improving operational efficiency and capital utilization. The Gross Profit Margin steadily increased from </t>
    </r>
    <r>
      <rPr>
        <b/>
        <i/>
        <sz val="11"/>
        <color rgb="FF002060"/>
        <rFont val="Calibri"/>
        <family val="2"/>
        <scheme val="minor"/>
      </rPr>
      <t>17.8%</t>
    </r>
    <r>
      <rPr>
        <i/>
        <sz val="11"/>
        <color rgb="FF002060"/>
        <rFont val="Calibri"/>
        <family val="2"/>
        <scheme val="minor"/>
      </rPr>
      <t xml:space="preserve"> in 2022 to </t>
    </r>
    <r>
      <rPr>
        <b/>
        <i/>
        <sz val="11"/>
        <color rgb="FF002060"/>
        <rFont val="Calibri"/>
        <family val="2"/>
        <scheme val="minor"/>
      </rPr>
      <t>22.06%</t>
    </r>
    <r>
      <rPr>
        <i/>
        <sz val="11"/>
        <color rgb="FF002060"/>
        <rFont val="Calibri"/>
        <family val="2"/>
        <scheme val="minor"/>
      </rPr>
      <t xml:space="preserve"> in 2024, indicating better cost control and pricing strategies.
However, the Net Profit Margin experienced some volatility, peaking at </t>
    </r>
    <r>
      <rPr>
        <b/>
        <i/>
        <sz val="11"/>
        <color rgb="FF002060"/>
        <rFont val="Calibri"/>
        <family val="2"/>
        <scheme val="minor"/>
      </rPr>
      <t>7.18%</t>
    </r>
    <r>
      <rPr>
        <i/>
        <sz val="11"/>
        <color rgb="FF002060"/>
        <rFont val="Calibri"/>
        <family val="2"/>
        <scheme val="minor"/>
      </rPr>
      <t xml:space="preserve"> in 2023 before slightly declining to </t>
    </r>
    <r>
      <rPr>
        <b/>
        <i/>
        <sz val="11"/>
        <color rgb="FF002060"/>
        <rFont val="Calibri"/>
        <family val="2"/>
        <scheme val="minor"/>
      </rPr>
      <t>5.63%</t>
    </r>
    <r>
      <rPr>
        <i/>
        <sz val="11"/>
        <color rgb="FF002060"/>
        <rFont val="Calibri"/>
        <family val="2"/>
        <scheme val="minor"/>
      </rPr>
      <t xml:space="preserve"> in 2024, suggesting potential pressures on bottom-line profitability, possibly from increased financing or non-operational costs. 
The consistent rise in the EBITDA Margin, from </t>
    </r>
    <r>
      <rPr>
        <b/>
        <i/>
        <sz val="11"/>
        <color rgb="FF002060"/>
        <rFont val="Calibri"/>
        <family val="2"/>
        <scheme val="minor"/>
      </rPr>
      <t>11.39%</t>
    </r>
    <r>
      <rPr>
        <i/>
        <sz val="11"/>
        <color rgb="FF002060"/>
        <rFont val="Calibri"/>
        <family val="2"/>
        <scheme val="minor"/>
      </rPr>
      <t xml:space="preserve"> in 2020 to </t>
    </r>
    <r>
      <rPr>
        <b/>
        <i/>
        <sz val="11"/>
        <color rgb="FF002060"/>
        <rFont val="Calibri"/>
        <family val="2"/>
        <scheme val="minor"/>
      </rPr>
      <t>16.59%</t>
    </r>
    <r>
      <rPr>
        <i/>
        <sz val="11"/>
        <color rgb="FF002060"/>
        <rFont val="Calibri"/>
        <family val="2"/>
        <scheme val="minor"/>
      </rPr>
      <t xml:space="preserve"> in 2024, points to strong operational performance and better cash generation. Most notably, the </t>
    </r>
    <r>
      <rPr>
        <b/>
        <i/>
        <sz val="11"/>
        <color rgb="FF002060"/>
        <rFont val="Calibri"/>
        <family val="2"/>
        <scheme val="minor"/>
      </rPr>
      <t>ROCE</t>
    </r>
    <r>
      <rPr>
        <i/>
        <sz val="11"/>
        <color rgb="FF002060"/>
        <rFont val="Calibri"/>
        <family val="2"/>
        <scheme val="minor"/>
      </rPr>
      <t xml:space="preserve"> has more than "Quadrupled, jumping from </t>
    </r>
    <r>
      <rPr>
        <b/>
        <i/>
        <sz val="11"/>
        <color rgb="FF002060"/>
        <rFont val="Calibri"/>
        <family val="2"/>
        <scheme val="minor"/>
      </rPr>
      <t>7.1%</t>
    </r>
    <r>
      <rPr>
        <i/>
        <sz val="11"/>
        <color rgb="FF002060"/>
        <rFont val="Calibri"/>
        <family val="2"/>
        <scheme val="minor"/>
      </rPr>
      <t xml:space="preserve"> in 2020 to </t>
    </r>
    <r>
      <rPr>
        <b/>
        <i/>
        <sz val="11"/>
        <color rgb="FF002060"/>
        <rFont val="Calibri"/>
        <family val="2"/>
        <scheme val="minor"/>
      </rPr>
      <t>29.49%</t>
    </r>
    <r>
      <rPr>
        <i/>
        <sz val="11"/>
        <color rgb="FF002060"/>
        <rFont val="Calibri"/>
        <family val="2"/>
        <scheme val="minor"/>
      </rPr>
      <t xml:space="preserve"> in 2024, showcasing significantly improved returns on capital employed, likely driven by higher profits and efficient asset utilization.
Looking ahead, the company's increasing margins and ROCE suggest strong future prospects with continued profitability growth, though maintaining cost discipline will be crucial to sustain net margins.</t>
    </r>
  </si>
  <si>
    <t>Current Share Price (as at 21st October 2024)</t>
  </si>
  <si>
    <t>Premium (%)</t>
  </si>
  <si>
    <t>Premium (Times)</t>
  </si>
  <si>
    <r>
      <t xml:space="preserve">The DCF (Discounted Cash Flow) calculation shows that the Current Market Price is </t>
    </r>
    <r>
      <rPr>
        <b/>
        <i/>
        <sz val="11"/>
        <color rgb="FF002060"/>
        <rFont val="Calibri"/>
        <family val="2"/>
        <scheme val="minor"/>
      </rPr>
      <t>27%</t>
    </r>
    <r>
      <rPr>
        <i/>
        <sz val="11"/>
        <color rgb="FF002060"/>
        <rFont val="Calibri"/>
        <family val="2"/>
        <scheme val="minor"/>
      </rPr>
      <t xml:space="preserve"> </t>
    </r>
    <r>
      <rPr>
        <b/>
        <i/>
        <sz val="11"/>
        <color rgb="FF002060"/>
        <rFont val="Calibri"/>
        <family val="2"/>
        <scheme val="minor"/>
      </rPr>
      <t>Higher</t>
    </r>
    <r>
      <rPr>
        <i/>
        <sz val="11"/>
        <color rgb="FF002060"/>
        <rFont val="Calibri"/>
        <family val="2"/>
        <scheme val="minor"/>
      </rPr>
      <t xml:space="preserve"> than the Intrinsic value per share of Ismail Industries Ltd (IIL). It suggests that the stock might be overvalued based on your fundamental analysis. This implies that the market price is higher than what the company’s future cash flows justify.
</t>
    </r>
    <r>
      <rPr>
        <b/>
        <i/>
        <sz val="11"/>
        <color rgb="FF002060"/>
        <rFont val="Calibri"/>
        <family val="2"/>
        <scheme val="minor"/>
      </rPr>
      <t>Implications:</t>
    </r>
    <r>
      <rPr>
        <i/>
        <sz val="11"/>
        <color rgb="FF002060"/>
        <rFont val="Calibri"/>
        <family val="2"/>
        <scheme val="minor"/>
      </rPr>
      <t xml:space="preserve">
</t>
    </r>
    <r>
      <rPr>
        <b/>
        <i/>
        <sz val="11"/>
        <color rgb="FF002060"/>
        <rFont val="Calibri"/>
        <family val="2"/>
        <scheme val="minor"/>
      </rPr>
      <t>1) Overvaluation:</t>
    </r>
    <r>
      <rPr>
        <i/>
        <sz val="11"/>
        <color rgb="FF002060"/>
        <rFont val="Calibri"/>
        <family val="2"/>
        <scheme val="minor"/>
      </rPr>
      <t xml:space="preserve"> Investors in the market may be overly optimistic about the company’s future growth or financial performance, driving the price higher than its intrinsic value.
</t>
    </r>
    <r>
      <rPr>
        <b/>
        <i/>
        <sz val="11"/>
        <color rgb="FF002060"/>
        <rFont val="Calibri"/>
        <family val="2"/>
        <scheme val="minor"/>
      </rPr>
      <t>2) Correction Potential:</t>
    </r>
    <r>
      <rPr>
        <i/>
        <sz val="11"/>
        <color rgb="FF002060"/>
        <rFont val="Calibri"/>
        <family val="2"/>
        <scheme val="minor"/>
      </rPr>
      <t xml:space="preserve"> If the broader market recognizes the overvaluation, the stock price may decrease over time, aligning more closely with the intrinsic value.
</t>
    </r>
    <r>
      <rPr>
        <b/>
        <i/>
        <sz val="11"/>
        <color rgb="FF002060"/>
        <rFont val="Calibri"/>
        <family val="2"/>
        <scheme val="minor"/>
      </rPr>
      <t>3) Caution for Investors:</t>
    </r>
    <r>
      <rPr>
        <i/>
        <sz val="11"/>
        <color rgb="FF002060"/>
        <rFont val="Calibri"/>
        <family val="2"/>
        <scheme val="minor"/>
      </rPr>
      <t xml:space="preserve"> This could be a signal for investors to be cautious about buying the stock at its current price, as there may be limited upside and higher risk of price corrections.
</t>
    </r>
    <r>
      <rPr>
        <b/>
        <i/>
        <sz val="11"/>
        <color rgb="FF002060"/>
        <rFont val="Calibri"/>
        <family val="2"/>
        <scheme val="minor"/>
      </rPr>
      <t>4) Market Sentiment:</t>
    </r>
    <r>
      <rPr>
        <i/>
        <sz val="11"/>
        <color rgb="FF002060"/>
        <rFont val="Calibri"/>
        <family val="2"/>
        <scheme val="minor"/>
      </rPr>
      <t xml:space="preserve"> The stock price could be inflated due to positive market sentiment, speculative activity, or external factors that aren't reflected in the company’s core financials.
</t>
    </r>
    <r>
      <rPr>
        <b/>
        <i/>
        <sz val="11"/>
        <color rgb="FF002060"/>
        <rFont val="Calibri"/>
        <family val="2"/>
        <scheme val="minor"/>
      </rPr>
      <t>What Could Happen:</t>
    </r>
    <r>
      <rPr>
        <i/>
        <sz val="11"/>
        <color rgb="FF002060"/>
        <rFont val="Calibri"/>
        <family val="2"/>
        <scheme val="minor"/>
      </rPr>
      <t xml:space="preserve">
If the market reassesses the company's prospects, the stock price could fall closer to the intrinsic value.
Alternatively, if the company outperforms expectations, its intrinsic value could increase over time, justifying the higher market price.
It’s essential to monitor both the company's performance and market conditions to see whether the current price remains justified.</t>
    </r>
  </si>
  <si>
    <t>Terminal Growth Rates</t>
  </si>
  <si>
    <t>Ismail Industries Ltd (used data from Unconsolidated FS from Annual Report of 2024)</t>
  </si>
  <si>
    <t>ISIL</t>
  </si>
  <si>
    <t>All ratios Taken as Average for the Latest Year ended June 30 2024</t>
  </si>
  <si>
    <t>Share Price Taken as Average for the Latest Year ended June 30 2024</t>
  </si>
  <si>
    <t>Share Price</t>
  </si>
  <si>
    <r>
      <t xml:space="preserve">Comparable Company Analysis (Comp Analysis) is a valuation method that involves comparing the financial metrics (like EV/EBITDA, EV/Sales, and P/E ratio) of a target company with similar publicly traded companies. In the company valuation analysis, I applied comparable company valuation (comp analysis), where I compared the target company </t>
    </r>
    <r>
      <rPr>
        <b/>
        <i/>
        <sz val="11"/>
        <color rgb="FF002060"/>
        <rFont val="Calibri"/>
        <family val="2"/>
        <scheme val="minor"/>
      </rPr>
      <t>(Ismail Industries Limited)</t>
    </r>
    <r>
      <rPr>
        <i/>
        <sz val="11"/>
        <color rgb="FF002060"/>
        <rFont val="Calibri"/>
        <family val="2"/>
        <scheme val="minor"/>
      </rPr>
      <t>’s financial multiples—EV/EBITDA, EV/Sales, and P/E ratio—to similar companies in the same industry (FMCG and related industries). These multiples help estimate the company’s value based on how similar firms are valued by the market. I then calculated the implied share value from these metrics to determine if the stock is undervalued or overvalued in relation to its peers.
As per our calculation, the Stock of Ismail Industries Ltd is UnderValued as per the metrics of EV/Sales and EV/EBITDA and OverValued as per the PE Ratio Method.</t>
    </r>
  </si>
  <si>
    <t>EV/Share</t>
  </si>
  <si>
    <t>EBIT Margin (Taken from Ratio-Analysis Sheet of our Model)</t>
  </si>
  <si>
    <t>Dividend Per Share (Taken from our financial Model)</t>
  </si>
  <si>
    <t>Step 1-Forecasting Dividend Per Share</t>
  </si>
  <si>
    <t>Year Weight</t>
  </si>
  <si>
    <t>Year</t>
  </si>
  <si>
    <t>2025-E</t>
  </si>
  <si>
    <t>We used the Forecast Excel Formula which forecasts the figures based on Linear Regression analysis.</t>
  </si>
  <si>
    <t>Dividend Per Share Forecasting</t>
  </si>
  <si>
    <t>Dividend Per Share</t>
  </si>
  <si>
    <t>Growth</t>
  </si>
  <si>
    <t>a (alpha)</t>
  </si>
  <si>
    <t>Holt’s Linear Trend Model</t>
  </si>
  <si>
    <t>Level (L)</t>
  </si>
  <si>
    <t>beta (b)</t>
  </si>
  <si>
    <t>We Forecasted the Dividend Per share as per the "Holt's Linear Trend Formula"</t>
  </si>
  <si>
    <t>Growth Rate</t>
  </si>
  <si>
    <t>Historical Growth Rate Method</t>
  </si>
  <si>
    <t>Time Period</t>
  </si>
  <si>
    <t>Step 2-Calculating the Dividend Growth Rate</t>
  </si>
  <si>
    <t>Method 1</t>
  </si>
  <si>
    <t>Method 2</t>
  </si>
  <si>
    <t>Forecasting using Payout Ratio and EPS</t>
  </si>
  <si>
    <t>Forecast EPS for 2025</t>
  </si>
  <si>
    <t>taken from our financial model</t>
  </si>
  <si>
    <t>Method 3</t>
  </si>
  <si>
    <t>Dividend Payout Ratio</t>
  </si>
  <si>
    <t>Payout Ratio</t>
  </si>
  <si>
    <t>Forecast Payout Ratio for 2025</t>
  </si>
  <si>
    <t>Forecast Dividend Per Share</t>
  </si>
  <si>
    <t>Step 3-Calculating the Equity Value and Enterprise Value</t>
  </si>
  <si>
    <t>Implied Value Per Share</t>
  </si>
  <si>
    <t>Cost of Equity (Ke)</t>
  </si>
  <si>
    <t>Forecast dividend per share</t>
  </si>
  <si>
    <t>Simple Exponential Smoothing</t>
  </si>
  <si>
    <t>The Simple Exponential Smoothing Method ensures that the volatility in the dividends is diminished via smoothing out the trend whereas forecasting using Linear Regression would be highly biased due to unusually high growth rates in 2021 and 2023.</t>
  </si>
  <si>
    <t>Implied Equity Value (Rs B)</t>
  </si>
  <si>
    <t>Add Net Debt</t>
  </si>
  <si>
    <t xml:space="preserve">This Method is also not highly reliable since the dividend payout policy % can not be forecasted accurately using Linear Regression or other methods since the payout policy might change due to sudden BOD Decisions, Reinvesting Strategies, or other reasons. Also, the EPS Forecated using the Regression Analysis is not reliable making this method highly unreliable. </t>
  </si>
  <si>
    <t>Scenario Analysis</t>
  </si>
  <si>
    <t>What will be the Value Per Share at different levels of Cost of Equity (Ke) and Dividend Growth Rates</t>
  </si>
  <si>
    <t>Current Dividend</t>
  </si>
  <si>
    <t>Dividend Growth Rate</t>
  </si>
  <si>
    <t>N6</t>
  </si>
  <si>
    <t>aka Gordon's Growth Model</t>
  </si>
  <si>
    <t>Dividend Discounting Model Bear</t>
  </si>
  <si>
    <t>Dividend Discounting Model Bull</t>
  </si>
  <si>
    <t>N7</t>
  </si>
  <si>
    <t>Dividend Dicounting Model Bear Case is where Ke is the Highest</t>
  </si>
  <si>
    <t>Dividend Dicounting Model Bear Case is where Ke is the Lowest</t>
  </si>
  <si>
    <r>
      <t xml:space="preserve">A football field analysis is a visual representation used in investment banking to compare a range of valuation methods and show potential </t>
    </r>
    <r>
      <rPr>
        <b/>
        <i/>
        <sz val="11"/>
        <color rgb="FF002060"/>
        <rFont val="Calibri"/>
        <family val="2"/>
        <scheme val="minor"/>
      </rPr>
      <t>Equity Values</t>
    </r>
    <r>
      <rPr>
        <i/>
        <sz val="11"/>
        <color rgb="FF002060"/>
        <rFont val="Calibri"/>
        <family val="2"/>
        <scheme val="minor"/>
      </rPr>
      <t xml:space="preserve"> or </t>
    </r>
    <r>
      <rPr>
        <b/>
        <i/>
        <sz val="11"/>
        <color rgb="FF002060"/>
        <rFont val="Calibri"/>
        <family val="2"/>
        <scheme val="minor"/>
      </rPr>
      <t>the Value Per Share</t>
    </r>
    <r>
      <rPr>
        <i/>
        <sz val="11"/>
        <color rgb="FF002060"/>
        <rFont val="Calibri"/>
        <family val="2"/>
        <scheme val="minor"/>
      </rPr>
      <t xml:space="preserve">. It typically displays different valuation approaches, such as Discounted Cash Flow (DCF), Comparable Company Analysis, Precedent Transactions, and more, all on a single chart. 
The range of valuations from each method is plotted as a horizontal bar, similar to a football field's layout, helping to compare and assess different valuations at a glance. This analysis is often used in M&amp;A, IPOs, and investment presentations to summarize valuation outcomes for easier decision-making.
We used 3 methods for calculating the Equity Value and the Value per Share, namely </t>
    </r>
    <r>
      <rPr>
        <b/>
        <i/>
        <sz val="11"/>
        <color rgb="FF002060"/>
        <rFont val="Calibri"/>
        <family val="2"/>
        <scheme val="minor"/>
      </rPr>
      <t>"Comparable Company Valuation", "Dividend Discounting",</t>
    </r>
    <r>
      <rPr>
        <i/>
        <sz val="11"/>
        <color rgb="FF002060"/>
        <rFont val="Calibri"/>
        <family val="2"/>
        <scheme val="minor"/>
      </rPr>
      <t xml:space="preserve"> and the </t>
    </r>
    <r>
      <rPr>
        <b/>
        <i/>
        <sz val="11"/>
        <color rgb="FF002060"/>
        <rFont val="Calibri"/>
        <family val="2"/>
        <scheme val="minor"/>
      </rPr>
      <t>"DCF Method"</t>
    </r>
    <r>
      <rPr>
        <i/>
        <sz val="11"/>
        <color rgb="FF002060"/>
        <rFont val="Calibri"/>
        <family val="2"/>
        <scheme val="minor"/>
      </rPr>
      <t>. The calculations from both methods is done in the previous sheets. The Highest and Lowest Value per Share from each method is displayed in the Chart above.</t>
    </r>
  </si>
  <si>
    <t>These Values represent the different Values of Enterprise Value that will occur in case of different WACC and Reinvestment Rate</t>
  </si>
  <si>
    <t>Base Case</t>
  </si>
  <si>
    <t>Best Case</t>
  </si>
  <si>
    <t>Worst Case</t>
  </si>
  <si>
    <t>Calculation of Enterprise Value</t>
  </si>
  <si>
    <t>Changing Factor</t>
  </si>
  <si>
    <t>Expected Growth Rate of FCFF</t>
  </si>
  <si>
    <t>Value per share</t>
  </si>
  <si>
    <r>
      <t xml:space="preserve">These are the values of </t>
    </r>
    <r>
      <rPr>
        <b/>
        <i/>
        <sz val="11"/>
        <color rgb="FF002060"/>
        <rFont val="Calibri"/>
        <family val="2"/>
        <scheme val="minor"/>
      </rPr>
      <t>"Equity Value"</t>
    </r>
    <r>
      <rPr>
        <i/>
        <sz val="11"/>
        <color rgb="FF002060"/>
        <rFont val="Calibri"/>
        <family val="2"/>
        <scheme val="minor"/>
      </rPr>
      <t xml:space="preserve"> under the </t>
    </r>
    <r>
      <rPr>
        <b/>
        <i/>
        <sz val="11"/>
        <color rgb="FF002060"/>
        <rFont val="Calibri"/>
        <family val="2"/>
        <scheme val="minor"/>
      </rPr>
      <t>DCF Method</t>
    </r>
    <r>
      <rPr>
        <i/>
        <sz val="11"/>
        <color rgb="FF002060"/>
        <rFont val="Calibri"/>
        <family val="2"/>
        <scheme val="minor"/>
      </rPr>
      <t xml:space="preserve"> at the Base Case, Best Case, and the Worst Case by changing the multiple elements involved in the DCF Equation, one at a time while keeping all the other factors the same. All the values are calculated from the various sensitivity analysis performed. </t>
    </r>
  </si>
  <si>
    <t>use this for further calculation</t>
  </si>
  <si>
    <t>Method 4</t>
  </si>
  <si>
    <t>b (Return on Equity)</t>
  </si>
  <si>
    <t>r (Retention Ratio)</t>
  </si>
  <si>
    <t>Note 3</t>
  </si>
  <si>
    <t>This Method is also not highly reliable since the dividend payout policy % and Retention Ratio % can not be forecasted accurately using Linear Regression or other methods since the payout policy might change due to sudden BOD Decisions, Reinvesting Strategies, or other reasons.Also, the ROE might be fluctuating and not stable enough to calculate the growth rate</t>
  </si>
  <si>
    <t>Forecasting using Simple exponential smoothing</t>
  </si>
  <si>
    <t>Calculation of Intrinsic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</si>
</sst>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000_);_(* \(#,##0.000\);_(* &quot;-&quot;??_);_(@_)"/>
    <numFmt numFmtId="165" formatCode="_(* #,##0_);_(* \(#,##0\);_(* &quot;-&quot;??_);_(@_)"/>
    <numFmt numFmtId="166" formatCode="0.000%"/>
    <numFmt numFmtId="167" formatCode="0.00000%"/>
    <numFmt numFmtId="168" formatCode="[$-409]d\-mmm\-yy;@"/>
    <numFmt numFmtId="169" formatCode="0.0000%"/>
    <numFmt numFmtId="170" formatCode="0.00\x"/>
    <numFmt numFmtId="171" formatCode="0.0%"/>
    <numFmt numFmtId="172" formatCode="0.000000000000000%"/>
  </numFmts>
  <fonts count="4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i/>
      <sz val="10"/>
      <color theme="1"/>
      <name val="Calibri"/>
      <family val="2"/>
      <scheme val="minor"/>
    </font>
    <font>
      <vertAlign val="superscript"/>
      <sz val="11"/>
      <color theme="1"/>
      <name val="Calibri"/>
      <family val="2"/>
      <scheme val="minor"/>
    </font>
    <font>
      <sz val="11"/>
      <color rgb="FF002060"/>
      <name val="Calibri"/>
      <family val="2"/>
      <scheme val="minor"/>
    </font>
    <font>
      <b/>
      <i/>
      <sz val="11"/>
      <color theme="0"/>
      <name val="Calibri"/>
      <family val="2"/>
      <scheme val="minor"/>
    </font>
    <font>
      <sz val="11"/>
      <name val="Calibri"/>
      <family val="2"/>
      <scheme val="minor"/>
    </font>
    <font>
      <b/>
      <vertAlign val="superscript"/>
      <sz val="11"/>
      <color theme="1"/>
      <name val="Calibri"/>
      <family val="2"/>
      <scheme val="minor"/>
    </font>
    <font>
      <b/>
      <sz val="9"/>
      <color indexed="81"/>
      <name val="Tahoma"/>
      <family val="2"/>
    </font>
    <font>
      <sz val="9"/>
      <color indexed="81"/>
      <name val="Tahoma"/>
      <family val="2"/>
    </font>
    <font>
      <b/>
      <u/>
      <sz val="11"/>
      <color theme="0"/>
      <name val="Calibri"/>
      <family val="2"/>
      <scheme val="minor"/>
    </font>
    <font>
      <b/>
      <i/>
      <sz val="11"/>
      <color rgb="FF002060"/>
      <name val="Calibri"/>
      <family val="2"/>
      <scheme val="minor"/>
    </font>
    <font>
      <b/>
      <u/>
      <sz val="11"/>
      <color rgb="FF002060"/>
      <name val="Calibri"/>
      <family val="2"/>
      <scheme val="minor"/>
    </font>
    <font>
      <i/>
      <sz val="11"/>
      <color theme="0"/>
      <name val="Calibri"/>
      <family val="2"/>
      <scheme val="minor"/>
    </font>
    <font>
      <i/>
      <sz val="11"/>
      <color rgb="FF002060"/>
      <name val="Calibri"/>
      <family val="2"/>
      <scheme val="minor"/>
    </font>
    <font>
      <i/>
      <sz val="11"/>
      <color theme="1"/>
      <name val="Calibri"/>
      <family val="2"/>
      <scheme val="minor"/>
    </font>
    <font>
      <sz val="10"/>
      <color rgb="FF000000"/>
      <name val="Arial"/>
      <family val="2"/>
    </font>
    <font>
      <b/>
      <i/>
      <sz val="9"/>
      <color indexed="81"/>
      <name val="Tahoma"/>
      <family val="2"/>
    </font>
    <font>
      <sz val="11"/>
      <color rgb="FF000000"/>
      <name val="Calibri"/>
      <family val="2"/>
    </font>
    <font>
      <sz val="10"/>
      <color rgb="FF000000"/>
      <name val="Times New Roman"/>
      <family val="1"/>
    </font>
    <font>
      <sz val="11"/>
      <color rgb="FF000000"/>
      <name val="Calibri"/>
      <family val="2"/>
      <scheme val="minor"/>
    </font>
    <font>
      <b/>
      <sz val="11"/>
      <color rgb="FF575756"/>
      <name val="Calibri"/>
      <family val="2"/>
      <scheme val="minor"/>
    </font>
    <font>
      <b/>
      <sz val="14"/>
      <color rgb="FF002060"/>
      <name val="Calibri"/>
      <family val="2"/>
      <scheme val="minor"/>
    </font>
    <font>
      <b/>
      <sz val="11"/>
      <name val="Calibri"/>
      <family val="2"/>
      <scheme val="minor"/>
    </font>
    <font>
      <b/>
      <sz val="11"/>
      <color rgb="FF000000"/>
      <name val="Calibri"/>
      <family val="2"/>
      <scheme val="minor"/>
    </font>
    <font>
      <b/>
      <sz val="11"/>
      <color rgb="FF002060"/>
      <name val="Calibri"/>
      <family val="2"/>
      <scheme val="minor"/>
    </font>
    <font>
      <vertAlign val="superscript"/>
      <sz val="11"/>
      <color rgb="FF002060"/>
      <name val="Calibri"/>
      <family val="2"/>
      <scheme val="minor"/>
    </font>
    <font>
      <sz val="8"/>
      <color theme="1"/>
      <name val="Arial"/>
      <family val="2"/>
    </font>
    <font>
      <b/>
      <i/>
      <sz val="11"/>
      <color theme="0" tint="-0.34998626667073579"/>
      <name val="Calibri"/>
      <family val="2"/>
      <scheme val="minor"/>
    </font>
    <font>
      <b/>
      <sz val="11"/>
      <color theme="0"/>
      <name val="Calibri"/>
      <family val="2"/>
    </font>
    <font>
      <i/>
      <sz val="11"/>
      <color rgb="FF000000"/>
      <name val="Calibri"/>
      <family val="2"/>
      <scheme val="minor"/>
    </font>
    <font>
      <b/>
      <vertAlign val="superscript"/>
      <sz val="11"/>
      <color rgb="FF002060"/>
      <name val="Calibri"/>
      <family val="2"/>
      <scheme val="minor"/>
    </font>
    <font>
      <b/>
      <i/>
      <sz val="11"/>
      <color rgb="FF00B0F0"/>
      <name val="Calibri"/>
      <family val="2"/>
      <scheme val="minor"/>
    </font>
    <font>
      <b/>
      <i/>
      <sz val="11"/>
      <color theme="1"/>
      <name val="Calibri"/>
      <family val="2"/>
      <scheme val="minor"/>
    </font>
    <font>
      <b/>
      <u/>
      <vertAlign val="superscript"/>
      <sz val="11"/>
      <color theme="0"/>
      <name val="Calibri"/>
      <family val="2"/>
      <scheme val="minor"/>
    </font>
    <font>
      <b/>
      <vertAlign val="superscript"/>
      <sz val="14"/>
      <color theme="0"/>
      <name val="Calibri"/>
      <family val="2"/>
      <scheme val="minor"/>
    </font>
    <font>
      <i/>
      <sz val="11"/>
      <name val="Calibri"/>
      <family val="2"/>
      <scheme val="minor"/>
    </font>
    <font>
      <b/>
      <i/>
      <vertAlign val="superscript"/>
      <sz val="11"/>
      <color rgb="FF002060"/>
      <name val="Calibri"/>
      <family val="2"/>
      <scheme val="minor"/>
    </font>
    <font>
      <b/>
      <u val="singleAccounting"/>
      <sz val="11"/>
      <color rgb="FF002060"/>
      <name val="Calibri"/>
      <family val="2"/>
      <scheme val="minor"/>
    </font>
    <font>
      <b/>
      <u/>
      <sz val="11"/>
      <color rgb="FF000000"/>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2"/>
        <bgColor indexed="64"/>
      </patternFill>
    </fill>
  </fills>
  <borders count="64">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hair">
        <color auto="1"/>
      </bottom>
      <diagonal/>
    </border>
    <border>
      <left/>
      <right/>
      <top style="hair">
        <color auto="1"/>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medium">
        <color rgb="FF002060"/>
      </top>
      <bottom style="thick">
        <color rgb="FF002060"/>
      </bottom>
      <diagonal/>
    </border>
    <border>
      <left/>
      <right/>
      <top style="medium">
        <color rgb="FF002060"/>
      </top>
      <bottom/>
      <diagonal/>
    </border>
    <border>
      <left/>
      <right/>
      <top/>
      <bottom style="thin">
        <color rgb="FF383B8C"/>
      </bottom>
      <diagonal/>
    </border>
    <border>
      <left/>
      <right/>
      <top/>
      <bottom style="thin">
        <color rgb="FF343880"/>
      </bottom>
      <diagonal/>
    </border>
    <border>
      <left style="thin">
        <color rgb="FF383B8C"/>
      </left>
      <right style="thin">
        <color rgb="FF383B8C"/>
      </right>
      <top style="thin">
        <color rgb="FF383B8C"/>
      </top>
      <bottom/>
      <diagonal/>
    </border>
    <border>
      <left style="thin">
        <color rgb="FF343880"/>
      </left>
      <right style="thin">
        <color rgb="FF343880"/>
      </right>
      <top style="thin">
        <color rgb="FF343880"/>
      </top>
      <bottom/>
      <diagonal/>
    </border>
    <border>
      <left style="thin">
        <color rgb="FF383B8C"/>
      </left>
      <right style="thin">
        <color rgb="FF383B8C"/>
      </right>
      <top/>
      <bottom/>
      <diagonal/>
    </border>
    <border>
      <left style="thin">
        <color rgb="FF343880"/>
      </left>
      <right style="thin">
        <color rgb="FF343880"/>
      </right>
      <top/>
      <bottom/>
      <diagonal/>
    </border>
    <border>
      <left style="thin">
        <color rgb="FF383B8C"/>
      </left>
      <right style="thin">
        <color rgb="FF383B8C"/>
      </right>
      <top/>
      <bottom style="thin">
        <color rgb="FF383B8C"/>
      </bottom>
      <diagonal/>
    </border>
    <border>
      <left style="thin">
        <color rgb="FF343880"/>
      </left>
      <right style="thin">
        <color rgb="FF343880"/>
      </right>
      <top/>
      <bottom style="thin">
        <color rgb="FF343880"/>
      </bottom>
      <diagonal/>
    </border>
    <border>
      <left/>
      <right/>
      <top style="thin">
        <color rgb="FF383B8C"/>
      </top>
      <bottom style="thin">
        <color rgb="FF343883"/>
      </bottom>
      <diagonal/>
    </border>
    <border>
      <left/>
      <right/>
      <top style="thin">
        <color rgb="FF343883"/>
      </top>
      <bottom/>
      <diagonal/>
    </border>
    <border>
      <left/>
      <right/>
      <top/>
      <bottom style="thin">
        <color rgb="FF2F3487"/>
      </bottom>
      <diagonal/>
    </border>
    <border>
      <left/>
      <right/>
      <top/>
      <bottom style="thin">
        <color rgb="FF2B2B7C"/>
      </bottom>
      <diagonal/>
    </border>
    <border>
      <left style="thin">
        <color rgb="FF2F3487"/>
      </left>
      <right style="thin">
        <color rgb="FF2F3487"/>
      </right>
      <top style="thin">
        <color rgb="FF2F3487"/>
      </top>
      <bottom/>
      <diagonal/>
    </border>
    <border>
      <left style="thin">
        <color rgb="FF2B2B7C"/>
      </left>
      <right style="thin">
        <color rgb="FF2B2B7C"/>
      </right>
      <top style="thin">
        <color rgb="FF2B2B7C"/>
      </top>
      <bottom/>
      <diagonal/>
    </border>
    <border>
      <left style="thin">
        <color rgb="FF2F3487"/>
      </left>
      <right style="thin">
        <color rgb="FF2F3487"/>
      </right>
      <top/>
      <bottom/>
      <diagonal/>
    </border>
    <border>
      <left style="thin">
        <color rgb="FF2B2B7C"/>
      </left>
      <right style="thin">
        <color rgb="FF2B2B7C"/>
      </right>
      <top/>
      <bottom/>
      <diagonal/>
    </border>
    <border>
      <left style="thin">
        <color rgb="FF2F3487"/>
      </left>
      <right style="thin">
        <color rgb="FF2F3487"/>
      </right>
      <top/>
      <bottom style="thin">
        <color rgb="FF2F3487"/>
      </bottom>
      <diagonal/>
    </border>
    <border>
      <left style="thin">
        <color rgb="FF2B2B7C"/>
      </left>
      <right style="thin">
        <color rgb="FF2B2B7C"/>
      </right>
      <top/>
      <bottom style="thin">
        <color rgb="FF2B2B7C"/>
      </bottom>
      <diagonal/>
    </border>
    <border>
      <left/>
      <right/>
      <top style="thin">
        <color rgb="FF2F3487"/>
      </top>
      <bottom style="thin">
        <color rgb="FF3F3F90"/>
      </bottom>
      <diagonal/>
    </border>
    <border>
      <left/>
      <right/>
      <top style="thin">
        <color rgb="FF3F3F90"/>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double">
        <color indexed="64"/>
      </bottom>
      <diagonal/>
    </border>
    <border>
      <left/>
      <right/>
      <top/>
      <bottom style="double">
        <color indexed="64"/>
      </bottom>
      <diagonal/>
    </border>
    <border>
      <left/>
      <right style="thin">
        <color indexed="64"/>
      </right>
      <top/>
      <bottom style="thin">
        <color indexed="64"/>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rgb="FF002060"/>
      </top>
      <bottom/>
      <diagonal/>
    </border>
    <border>
      <left/>
      <right/>
      <top style="thick">
        <color rgb="FF002060"/>
      </top>
      <bottom style="medium">
        <color rgb="FF002060"/>
      </bottom>
      <diagonal/>
    </border>
    <border>
      <left style="thin">
        <color indexed="64"/>
      </left>
      <right style="thin">
        <color indexed="64"/>
      </right>
      <top style="thin">
        <color indexed="64"/>
      </top>
      <bottom style="thin">
        <color indexed="64"/>
      </bottom>
      <diagonal/>
    </border>
    <border>
      <left/>
      <right/>
      <top/>
      <bottom style="medium">
        <color theme="0"/>
      </bottom>
      <diagonal/>
    </border>
    <border>
      <left/>
      <right/>
      <top style="medium">
        <color rgb="FF002060"/>
      </top>
      <bottom style="medium">
        <color rgb="FF00206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22" fillId="0" borderId="0"/>
    <xf numFmtId="0" fontId="23" fillId="0" borderId="0"/>
    <xf numFmtId="43" fontId="23" fillId="0" borderId="0" applyFont="0" applyFill="0" applyBorder="0" applyAlignment="0" applyProtection="0"/>
    <xf numFmtId="9" fontId="23" fillId="0" borderId="0" applyFont="0" applyFill="0" applyBorder="0" applyAlignment="0" applyProtection="0"/>
    <xf numFmtId="43" fontId="22" fillId="0" borderId="0" applyFont="0" applyFill="0" applyBorder="0" applyAlignment="0" applyProtection="0"/>
    <xf numFmtId="0" fontId="31" fillId="0" borderId="0"/>
    <xf numFmtId="9" fontId="22" fillId="0" borderId="0" applyFont="0" applyFill="0" applyBorder="0" applyAlignment="0" applyProtection="0"/>
    <xf numFmtId="9" fontId="1" fillId="0" borderId="0" applyFont="0" applyFill="0" applyBorder="0" applyAlignment="0" applyProtection="0"/>
    <xf numFmtId="0" fontId="22" fillId="0" borderId="0"/>
    <xf numFmtId="9" fontId="1" fillId="0" borderId="0" applyFont="0" applyFill="0" applyBorder="0" applyAlignment="0" applyProtection="0"/>
    <xf numFmtId="43" fontId="1" fillId="0" borderId="0" applyFont="0" applyFill="0" applyBorder="0" applyAlignment="0" applyProtection="0"/>
  </cellStyleXfs>
  <cellXfs count="464">
    <xf numFmtId="0" fontId="0" fillId="0" borderId="0" xfId="0"/>
    <xf numFmtId="0" fontId="6" fillId="0" borderId="0" xfId="0" applyFont="1"/>
    <xf numFmtId="43" fontId="0" fillId="0" borderId="0" xfId="1" applyFont="1"/>
    <xf numFmtId="0" fontId="0" fillId="0" borderId="1" xfId="0" applyBorder="1"/>
    <xf numFmtId="0" fontId="0" fillId="0" borderId="1" xfId="0" applyBorder="1" applyAlignment="1">
      <alignment horizontal="center"/>
    </xf>
    <xf numFmtId="0" fontId="0" fillId="0" borderId="4" xfId="0" applyBorder="1"/>
    <xf numFmtId="0" fontId="0" fillId="0" borderId="4" xfId="0" applyBorder="1" applyAlignment="1">
      <alignment horizontal="center"/>
    </xf>
    <xf numFmtId="0" fontId="0" fillId="0" borderId="0" xfId="0" applyAlignment="1">
      <alignment horizontal="center"/>
    </xf>
    <xf numFmtId="0" fontId="8" fillId="0" borderId="0" xfId="0" applyFont="1" applyAlignment="1">
      <alignment horizontal="center"/>
    </xf>
    <xf numFmtId="164" fontId="8" fillId="0" borderId="0" xfId="1" applyNumberFormat="1" applyFont="1" applyAlignment="1">
      <alignment horizontal="center"/>
    </xf>
    <xf numFmtId="43" fontId="8" fillId="0" borderId="0" xfId="1" applyFont="1" applyAlignment="1">
      <alignment horizontal="center"/>
    </xf>
    <xf numFmtId="10" fontId="8" fillId="0" borderId="0" xfId="0" applyNumberFormat="1" applyFont="1" applyAlignment="1">
      <alignment horizontal="center"/>
    </xf>
    <xf numFmtId="10" fontId="0" fillId="3" borderId="0" xfId="2" applyNumberFormat="1" applyFont="1" applyFill="1" applyAlignment="1">
      <alignment horizontal="center"/>
    </xf>
    <xf numFmtId="2" fontId="0" fillId="3" borderId="0" xfId="0" applyNumberFormat="1" applyFill="1" applyAlignment="1">
      <alignment horizontal="center"/>
    </xf>
    <xf numFmtId="2" fontId="0" fillId="0" borderId="0" xfId="0" applyNumberFormat="1"/>
    <xf numFmtId="0" fontId="3" fillId="0" borderId="1" xfId="0" applyFont="1" applyBorder="1"/>
    <xf numFmtId="10" fontId="0" fillId="0" borderId="1" xfId="0" applyNumberFormat="1" applyBorder="1"/>
    <xf numFmtId="10" fontId="0" fillId="0" borderId="1" xfId="2" applyNumberFormat="1" applyFont="1" applyBorder="1"/>
    <xf numFmtId="43" fontId="0" fillId="0" borderId="1" xfId="0" applyNumberFormat="1" applyBorder="1"/>
    <xf numFmtId="43" fontId="0" fillId="0" borderId="1" xfId="1" applyFont="1" applyBorder="1" applyAlignment="1">
      <alignment horizontal="center"/>
    </xf>
    <xf numFmtId="0" fontId="3" fillId="0" borderId="4" xfId="0" applyFont="1" applyBorder="1"/>
    <xf numFmtId="10" fontId="0" fillId="0" borderId="4" xfId="0" applyNumberFormat="1" applyBorder="1"/>
    <xf numFmtId="10" fontId="0" fillId="0" borderId="4" xfId="2" applyNumberFormat="1" applyFont="1" applyBorder="1"/>
    <xf numFmtId="43" fontId="0" fillId="0" borderId="4" xfId="0" applyNumberFormat="1" applyBorder="1"/>
    <xf numFmtId="43" fontId="0" fillId="0" borderId="4" xfId="1" applyFont="1" applyBorder="1" applyAlignment="1">
      <alignment horizontal="center"/>
    </xf>
    <xf numFmtId="10" fontId="8" fillId="0" borderId="0" xfId="0" applyNumberFormat="1" applyFont="1"/>
    <xf numFmtId="0" fontId="9" fillId="4" borderId="0" xfId="0" applyFont="1" applyFill="1"/>
    <xf numFmtId="0" fontId="3" fillId="4" borderId="0" xfId="0" applyFont="1" applyFill="1"/>
    <xf numFmtId="0" fontId="0" fillId="0" borderId="5" xfId="0" applyBorder="1"/>
    <xf numFmtId="9" fontId="10" fillId="0" borderId="5" xfId="0" applyNumberFormat="1" applyFont="1" applyBorder="1"/>
    <xf numFmtId="10" fontId="0" fillId="3" borderId="0" xfId="0" applyNumberFormat="1" applyFill="1"/>
    <xf numFmtId="43" fontId="0" fillId="0" borderId="5" xfId="0" applyNumberFormat="1" applyBorder="1"/>
    <xf numFmtId="10" fontId="0" fillId="3" borderId="0" xfId="2" applyNumberFormat="1" applyFont="1" applyFill="1"/>
    <xf numFmtId="0" fontId="3" fillId="0" borderId="4" xfId="0" applyFont="1" applyBorder="1" applyAlignment="1">
      <alignment horizontal="right"/>
    </xf>
    <xf numFmtId="165" fontId="8" fillId="0" borderId="0" xfId="1" applyNumberFormat="1" applyFont="1"/>
    <xf numFmtId="10" fontId="0" fillId="0" borderId="0" xfId="2" applyNumberFormat="1" applyFont="1"/>
    <xf numFmtId="10" fontId="0" fillId="0" borderId="0" xfId="0" applyNumberFormat="1"/>
    <xf numFmtId="165" fontId="8" fillId="0" borderId="5" xfId="1" applyNumberFormat="1" applyFont="1" applyBorder="1"/>
    <xf numFmtId="10" fontId="0" fillId="0" borderId="5" xfId="2" applyNumberFormat="1" applyFont="1" applyBorder="1"/>
    <xf numFmtId="166" fontId="0" fillId="0" borderId="5" xfId="0" applyNumberFormat="1" applyBorder="1"/>
    <xf numFmtId="9" fontId="0" fillId="0" borderId="0" xfId="0" applyNumberFormat="1"/>
    <xf numFmtId="165" fontId="0" fillId="0" borderId="0" xfId="1" applyNumberFormat="1" applyFont="1"/>
    <xf numFmtId="9" fontId="0" fillId="0" borderId="0" xfId="2" applyFont="1"/>
    <xf numFmtId="0" fontId="0" fillId="0" borderId="6" xfId="0" applyBorder="1"/>
    <xf numFmtId="43" fontId="0" fillId="3" borderId="6" xfId="1" applyFont="1" applyFill="1" applyBorder="1"/>
    <xf numFmtId="0" fontId="11" fillId="0" borderId="7" xfId="0" applyFont="1" applyBorder="1"/>
    <xf numFmtId="0" fontId="3" fillId="0" borderId="0" xfId="0" applyFont="1" applyAlignment="1">
      <alignment horizontal="right"/>
    </xf>
    <xf numFmtId="10" fontId="3" fillId="0" borderId="0" xfId="0" applyNumberFormat="1" applyFont="1" applyAlignment="1">
      <alignment horizontal="right"/>
    </xf>
    <xf numFmtId="10" fontId="0" fillId="0" borderId="0" xfId="2" applyNumberFormat="1" applyFont="1" applyFill="1" applyBorder="1"/>
    <xf numFmtId="0" fontId="3" fillId="5" borderId="0" xfId="0" applyFont="1" applyFill="1"/>
    <xf numFmtId="167" fontId="3" fillId="5" borderId="0" xfId="2" applyNumberFormat="1" applyFont="1" applyFill="1"/>
    <xf numFmtId="0" fontId="2" fillId="2" borderId="0" xfId="0" applyFont="1" applyFill="1"/>
    <xf numFmtId="0" fontId="4" fillId="0" borderId="0" xfId="0" applyFont="1"/>
    <xf numFmtId="0" fontId="2" fillId="2" borderId="0" xfId="0" applyFont="1" applyFill="1" applyAlignment="1">
      <alignment horizontal="center"/>
    </xf>
    <xf numFmtId="0" fontId="14" fillId="2" borderId="0" xfId="0" applyFont="1" applyFill="1"/>
    <xf numFmtId="0" fontId="14" fillId="2" borderId="0" xfId="0" applyFont="1" applyFill="1" applyAlignment="1">
      <alignment horizontal="center"/>
    </xf>
    <xf numFmtId="43" fontId="0" fillId="0" borderId="0" xfId="0" applyNumberFormat="1"/>
    <xf numFmtId="3" fontId="0" fillId="0" borderId="0" xfId="0" applyNumberFormat="1"/>
    <xf numFmtId="0" fontId="0" fillId="0" borderId="0" xfId="0" applyAlignment="1">
      <alignment wrapText="1"/>
    </xf>
    <xf numFmtId="0" fontId="10" fillId="0" borderId="0" xfId="0" applyFont="1"/>
    <xf numFmtId="10" fontId="10" fillId="0" borderId="0" xfId="0" applyNumberFormat="1" applyFont="1"/>
    <xf numFmtId="0" fontId="2" fillId="0" borderId="0" xfId="0" applyFont="1"/>
    <xf numFmtId="0" fontId="15" fillId="0" borderId="0" xfId="0" applyFont="1"/>
    <xf numFmtId="0" fontId="2" fillId="0" borderId="0" xfId="0" applyFont="1" applyAlignment="1">
      <alignment horizontal="center"/>
    </xf>
    <xf numFmtId="0" fontId="16" fillId="0" borderId="0" xfId="0" applyFont="1" applyAlignment="1">
      <alignment horizontal="center"/>
    </xf>
    <xf numFmtId="164" fontId="0" fillId="0" borderId="0" xfId="1" applyNumberFormat="1" applyFont="1"/>
    <xf numFmtId="0" fontId="2" fillId="4" borderId="0" xfId="0" applyFont="1" applyFill="1"/>
    <xf numFmtId="168" fontId="0" fillId="0" borderId="0" xfId="0" applyNumberFormat="1" applyAlignment="1">
      <alignment horizontal="center"/>
    </xf>
    <xf numFmtId="43" fontId="0" fillId="0" borderId="0" xfId="1" applyFont="1" applyAlignment="1">
      <alignment horizontal="center"/>
    </xf>
    <xf numFmtId="0" fontId="17" fillId="0" borderId="0" xfId="0" applyFont="1"/>
    <xf numFmtId="0" fontId="3" fillId="0" borderId="0" xfId="0" applyFont="1"/>
    <xf numFmtId="10" fontId="0" fillId="0" borderId="0" xfId="2" applyNumberFormat="1" applyFont="1" applyAlignment="1">
      <alignment horizontal="center"/>
    </xf>
    <xf numFmtId="43" fontId="2" fillId="4" borderId="0" xfId="0" applyNumberFormat="1" applyFont="1" applyFill="1"/>
    <xf numFmtId="0" fontId="18" fillId="0" borderId="0" xfId="0" applyFont="1" applyAlignment="1">
      <alignment wrapText="1"/>
    </xf>
    <xf numFmtId="0" fontId="19" fillId="0" borderId="0" xfId="0" applyFont="1" applyAlignment="1">
      <alignment horizontal="centerContinuous"/>
    </xf>
    <xf numFmtId="0" fontId="19" fillId="0" borderId="8" xfId="0" applyFont="1" applyBorder="1" applyAlignment="1">
      <alignment horizontal="centerContinuous"/>
    </xf>
    <xf numFmtId="0" fontId="0" fillId="0" borderId="9" xfId="0" applyBorder="1"/>
    <xf numFmtId="0" fontId="19" fillId="0" borderId="8" xfId="0" applyFont="1" applyBorder="1" applyAlignment="1">
      <alignment horizontal="center"/>
    </xf>
    <xf numFmtId="4" fontId="0" fillId="0" borderId="0" xfId="0" applyNumberFormat="1" applyAlignment="1">
      <alignment horizontal="center"/>
    </xf>
    <xf numFmtId="0" fontId="19" fillId="0" borderId="0" xfId="0" applyFont="1" applyAlignment="1">
      <alignment horizontal="center"/>
    </xf>
    <xf numFmtId="0" fontId="20" fillId="0" borderId="0" xfId="0" applyFont="1" applyAlignment="1">
      <alignment horizontal="right" vertical="top" wrapText="1"/>
    </xf>
    <xf numFmtId="15" fontId="20" fillId="0" borderId="0" xfId="0" applyNumberFormat="1" applyFont="1" applyAlignment="1">
      <alignment horizontal="right" vertical="top" wrapText="1"/>
    </xf>
    <xf numFmtId="168" fontId="0" fillId="0" borderId="0" xfId="0" applyNumberFormat="1"/>
    <xf numFmtId="43" fontId="0" fillId="0" borderId="0" xfId="1" applyFont="1" applyFill="1" applyBorder="1"/>
    <xf numFmtId="2" fontId="0" fillId="0" borderId="0" xfId="1" applyNumberFormat="1" applyFont="1" applyAlignment="1">
      <alignment horizontal="center"/>
    </xf>
    <xf numFmtId="0" fontId="5" fillId="2" borderId="0" xfId="3" applyFont="1" applyFill="1" applyAlignment="1">
      <alignment horizontal="left" vertical="center" wrapText="1"/>
    </xf>
    <xf numFmtId="0" fontId="24" fillId="0" borderId="0" xfId="4" applyFont="1" applyAlignment="1">
      <alignment horizontal="left" vertical="top"/>
    </xf>
    <xf numFmtId="1" fontId="25" fillId="0" borderId="0" xfId="4" applyNumberFormat="1" applyFont="1" applyAlignment="1">
      <alignment horizontal="left" vertical="top" indent="4" shrinkToFit="1"/>
    </xf>
    <xf numFmtId="0" fontId="26" fillId="0" borderId="0" xfId="3" applyFont="1" applyAlignment="1">
      <alignment horizontal="left" vertical="center" wrapText="1"/>
    </xf>
    <xf numFmtId="0" fontId="27" fillId="0" borderId="0" xfId="4" applyFont="1" applyAlignment="1">
      <alignment vertical="top" wrapText="1"/>
    </xf>
    <xf numFmtId="0" fontId="24" fillId="0" borderId="0" xfId="4" applyFont="1" applyAlignment="1">
      <alignment horizontal="left" vertical="center" wrapText="1"/>
    </xf>
    <xf numFmtId="0" fontId="28" fillId="0" borderId="0" xfId="4" applyFont="1" applyAlignment="1">
      <alignment horizontal="center" vertical="center" wrapText="1"/>
    </xf>
    <xf numFmtId="0" fontId="10" fillId="0" borderId="0" xfId="4" applyFont="1" applyAlignment="1">
      <alignment vertical="top" wrapText="1"/>
    </xf>
    <xf numFmtId="165" fontId="10" fillId="0" borderId="0" xfId="5" applyNumberFormat="1" applyFont="1" applyFill="1" applyBorder="1" applyAlignment="1">
      <alignment horizontal="left" vertical="top" indent="1" shrinkToFit="1"/>
    </xf>
    <xf numFmtId="0" fontId="24" fillId="0" borderId="0" xfId="4" applyFont="1" applyAlignment="1">
      <alignment horizontal="left" wrapText="1"/>
    </xf>
    <xf numFmtId="165" fontId="10" fillId="0" borderId="0" xfId="5" applyNumberFormat="1" applyFont="1" applyFill="1" applyBorder="1" applyAlignment="1">
      <alignment horizontal="left" vertical="top" shrinkToFit="1"/>
    </xf>
    <xf numFmtId="165" fontId="24" fillId="0" borderId="15" xfId="3" applyNumberFormat="1" applyFont="1" applyBorder="1" applyAlignment="1">
      <alignment horizontal="left" vertical="center" wrapText="1"/>
    </xf>
    <xf numFmtId="0" fontId="10" fillId="0" borderId="0" xfId="4" applyFont="1" applyAlignment="1">
      <alignment horizontal="left" vertical="top"/>
    </xf>
    <xf numFmtId="0" fontId="29" fillId="0" borderId="0" xfId="4" applyFont="1" applyAlignment="1">
      <alignment vertical="top" wrapText="1"/>
    </xf>
    <xf numFmtId="0" fontId="29" fillId="0" borderId="0" xfId="4" applyFont="1" applyAlignment="1">
      <alignment vertical="center" wrapText="1"/>
    </xf>
    <xf numFmtId="0" fontId="10" fillId="0" borderId="0" xfId="4" applyFont="1" applyAlignment="1">
      <alignment horizontal="left" wrapText="1"/>
    </xf>
    <xf numFmtId="165" fontId="10" fillId="0" borderId="0" xfId="5" applyNumberFormat="1" applyFont="1" applyFill="1" applyBorder="1" applyAlignment="1">
      <alignment horizontal="left" vertical="top" indent="3" shrinkToFit="1"/>
    </xf>
    <xf numFmtId="0" fontId="24" fillId="0" borderId="0" xfId="3" applyFont="1" applyAlignment="1">
      <alignment horizontal="left"/>
    </xf>
    <xf numFmtId="0" fontId="8" fillId="0" borderId="0" xfId="3" applyFont="1" applyAlignment="1">
      <alignment horizontal="left"/>
    </xf>
    <xf numFmtId="0" fontId="15" fillId="0" borderId="0" xfId="3" applyFont="1" applyAlignment="1">
      <alignment horizontal="left"/>
    </xf>
    <xf numFmtId="0" fontId="18" fillId="0" borderId="0" xfId="4" applyFont="1" applyAlignment="1">
      <alignment horizontal="left" vertical="top"/>
    </xf>
    <xf numFmtId="0" fontId="5" fillId="0" borderId="0" xfId="3" applyFont="1" applyAlignment="1">
      <alignment horizontal="left" vertical="center" wrapText="1"/>
    </xf>
    <xf numFmtId="0" fontId="28" fillId="0" borderId="0" xfId="4" applyFont="1" applyAlignment="1">
      <alignment horizontal="center" vertical="top"/>
    </xf>
    <xf numFmtId="165" fontId="28" fillId="0" borderId="0" xfId="5" applyNumberFormat="1" applyFont="1" applyAlignment="1">
      <alignment horizontal="center" vertical="top"/>
    </xf>
    <xf numFmtId="165" fontId="24" fillId="0" borderId="0" xfId="5" applyNumberFormat="1" applyFont="1" applyAlignment="1">
      <alignment horizontal="left" vertical="top"/>
    </xf>
    <xf numFmtId="165" fontId="10" fillId="0" borderId="16" xfId="5" applyNumberFormat="1" applyFont="1" applyFill="1" applyBorder="1" applyAlignment="1">
      <alignment horizontal="left" vertical="top" indent="2" shrinkToFit="1"/>
    </xf>
    <xf numFmtId="165" fontId="10" fillId="0" borderId="0" xfId="5" applyNumberFormat="1" applyFont="1" applyFill="1" applyBorder="1" applyAlignment="1">
      <alignment horizontal="left" vertical="top" indent="2" shrinkToFit="1"/>
    </xf>
    <xf numFmtId="165" fontId="10" fillId="0" borderId="0" xfId="5" applyNumberFormat="1" applyFont="1" applyFill="1" applyBorder="1" applyAlignment="1">
      <alignment horizontal="right" vertical="top" indent="1" shrinkToFit="1"/>
    </xf>
    <xf numFmtId="165" fontId="10" fillId="0" borderId="0" xfId="5" applyNumberFormat="1" applyFont="1" applyFill="1" applyBorder="1" applyAlignment="1">
      <alignment horizontal="right" vertical="top" shrinkToFit="1"/>
    </xf>
    <xf numFmtId="43" fontId="10" fillId="0" borderId="0" xfId="5" applyFont="1" applyFill="1" applyBorder="1" applyAlignment="1">
      <alignment horizontal="left" vertical="top" indent="2" shrinkToFit="1"/>
    </xf>
    <xf numFmtId="43" fontId="24" fillId="0" borderId="0" xfId="4" applyNumberFormat="1" applyFont="1" applyAlignment="1">
      <alignment horizontal="left" vertical="top"/>
    </xf>
    <xf numFmtId="43" fontId="29" fillId="0" borderId="0" xfId="5" applyFont="1" applyFill="1" applyBorder="1" applyAlignment="1">
      <alignment horizontal="center" vertical="top" shrinkToFit="1"/>
    </xf>
    <xf numFmtId="0" fontId="15" fillId="0" borderId="0" xfId="8" applyFont="1"/>
    <xf numFmtId="10" fontId="29" fillId="0" borderId="0" xfId="6" applyNumberFormat="1" applyFont="1" applyAlignment="1">
      <alignment horizontal="right" vertical="top"/>
    </xf>
    <xf numFmtId="165" fontId="29" fillId="0" borderId="0" xfId="5" applyNumberFormat="1" applyFont="1" applyAlignment="1">
      <alignment horizontal="center" vertical="top"/>
    </xf>
    <xf numFmtId="0" fontId="29" fillId="0" borderId="0" xfId="4" applyFont="1" applyAlignment="1">
      <alignment horizontal="center" vertical="top"/>
    </xf>
    <xf numFmtId="0" fontId="28" fillId="0" borderId="0" xfId="4" applyFont="1" applyAlignment="1">
      <alignment horizontal="left" vertical="top"/>
    </xf>
    <xf numFmtId="43" fontId="29" fillId="0" borderId="0" xfId="5" applyFont="1" applyAlignment="1">
      <alignment horizontal="center" vertical="top"/>
    </xf>
    <xf numFmtId="43" fontId="10" fillId="0" borderId="0" xfId="5" applyFont="1" applyFill="1" applyBorder="1" applyAlignment="1">
      <alignment horizontal="left" vertical="top" indent="1" shrinkToFit="1"/>
    </xf>
    <xf numFmtId="0" fontId="1" fillId="0" borderId="0" xfId="4" applyFont="1" applyAlignment="1">
      <alignment vertical="top" wrapText="1"/>
    </xf>
    <xf numFmtId="43" fontId="10" fillId="0" borderId="10" xfId="5" applyFont="1" applyFill="1" applyBorder="1" applyAlignment="1">
      <alignment horizontal="right" vertical="center" shrinkToFit="1"/>
    </xf>
    <xf numFmtId="43" fontId="10" fillId="0" borderId="10" xfId="5" applyFont="1" applyFill="1" applyBorder="1" applyAlignment="1">
      <alignment horizontal="left" vertical="center" indent="2" shrinkToFit="1"/>
    </xf>
    <xf numFmtId="43" fontId="10" fillId="0" borderId="12" xfId="5" applyFont="1" applyFill="1" applyBorder="1" applyAlignment="1">
      <alignment horizontal="right" vertical="top" shrinkToFit="1"/>
    </xf>
    <xf numFmtId="0" fontId="1" fillId="0" borderId="0" xfId="4" applyFont="1" applyAlignment="1">
      <alignment vertical="center" wrapText="1"/>
    </xf>
    <xf numFmtId="43" fontId="10" fillId="0" borderId="0" xfId="5" applyFont="1" applyFill="1" applyBorder="1" applyAlignment="1">
      <alignment horizontal="right" vertical="center" shrinkToFit="1"/>
    </xf>
    <xf numFmtId="43" fontId="10" fillId="0" borderId="0" xfId="5" applyFont="1" applyFill="1" applyBorder="1" applyAlignment="1">
      <alignment horizontal="left" vertical="center" indent="2" shrinkToFit="1"/>
    </xf>
    <xf numFmtId="0" fontId="10" fillId="0" borderId="0" xfId="4" applyFont="1" applyAlignment="1">
      <alignment vertical="center" wrapText="1"/>
    </xf>
    <xf numFmtId="43" fontId="27" fillId="0" borderId="1" xfId="5" applyFont="1" applyFill="1" applyBorder="1" applyAlignment="1">
      <alignment horizontal="right" vertical="top" shrinkToFit="1"/>
    </xf>
    <xf numFmtId="43" fontId="8" fillId="0" borderId="0" xfId="5" applyFont="1" applyFill="1" applyBorder="1" applyAlignment="1">
      <alignment horizontal="left" vertical="top"/>
    </xf>
    <xf numFmtId="0" fontId="29" fillId="0" borderId="0" xfId="8" applyFont="1"/>
    <xf numFmtId="0" fontId="32" fillId="0" borderId="0" xfId="8" applyFont="1"/>
    <xf numFmtId="9" fontId="8" fillId="0" borderId="0" xfId="6" applyFont="1" applyFill="1" applyBorder="1" applyAlignment="1">
      <alignment vertical="top"/>
    </xf>
    <xf numFmtId="9" fontId="8" fillId="0" borderId="0" xfId="6" applyFont="1" applyFill="1" applyBorder="1" applyAlignment="1">
      <alignment horizontal="right" vertical="top"/>
    </xf>
    <xf numFmtId="43" fontId="8" fillId="0" borderId="0" xfId="5" applyFont="1" applyFill="1" applyBorder="1" applyAlignment="1">
      <alignment vertical="top"/>
    </xf>
    <xf numFmtId="0" fontId="8" fillId="0" borderId="0" xfId="4" applyFont="1" applyAlignment="1">
      <alignment horizontal="right" vertical="top"/>
    </xf>
    <xf numFmtId="0" fontId="8" fillId="0" borderId="0" xfId="4" applyFont="1" applyAlignment="1">
      <alignment vertical="top"/>
    </xf>
    <xf numFmtId="43" fontId="8" fillId="0" borderId="0" xfId="5" applyFont="1" applyFill="1" applyBorder="1" applyAlignment="1">
      <alignment horizontal="center" vertical="top"/>
    </xf>
    <xf numFmtId="0" fontId="8" fillId="0" borderId="0" xfId="4" applyFont="1" applyAlignment="1">
      <alignment horizontal="center" vertical="top"/>
    </xf>
    <xf numFmtId="0" fontId="29" fillId="0" borderId="0" xfId="4" applyFont="1" applyAlignment="1">
      <alignment horizontal="left" vertical="top"/>
    </xf>
    <xf numFmtId="0" fontId="2" fillId="2" borderId="0" xfId="4" applyFont="1" applyFill="1" applyAlignment="1">
      <alignment horizontal="left" vertical="top" wrapText="1"/>
    </xf>
    <xf numFmtId="0" fontId="29" fillId="0" borderId="0" xfId="4" applyFont="1" applyAlignment="1">
      <alignment horizontal="left" vertical="top" wrapText="1"/>
    </xf>
    <xf numFmtId="0" fontId="29" fillId="0" borderId="0" xfId="1" applyNumberFormat="1" applyFont="1" applyAlignment="1">
      <alignment horizontal="center" wrapText="1"/>
    </xf>
    <xf numFmtId="0" fontId="10" fillId="0" borderId="0" xfId="4" applyFont="1" applyAlignment="1">
      <alignment horizontal="left" vertical="top" wrapText="1"/>
    </xf>
    <xf numFmtId="165" fontId="10" fillId="0" borderId="0" xfId="1" applyNumberFormat="1" applyFont="1" applyAlignment="1">
      <alignment horizontal="center" vertical="top" shrinkToFit="1"/>
    </xf>
    <xf numFmtId="0" fontId="27" fillId="0" borderId="0" xfId="4" applyFont="1" applyAlignment="1">
      <alignment horizontal="left" vertical="top" wrapText="1"/>
    </xf>
    <xf numFmtId="165" fontId="10" fillId="0" borderId="17" xfId="1" applyNumberFormat="1" applyFont="1" applyBorder="1" applyAlignment="1">
      <alignment horizontal="center" vertical="center" wrapText="1"/>
    </xf>
    <xf numFmtId="165" fontId="10" fillId="0" borderId="18" xfId="1" applyNumberFormat="1" applyFont="1" applyBorder="1" applyAlignment="1">
      <alignment horizontal="center" vertical="center" wrapText="1"/>
    </xf>
    <xf numFmtId="165" fontId="10" fillId="0" borderId="19" xfId="1" applyNumberFormat="1" applyFont="1" applyFill="1" applyBorder="1" applyAlignment="1">
      <alignment horizontal="center" vertical="top" shrinkToFit="1"/>
    </xf>
    <xf numFmtId="165" fontId="10" fillId="0" borderId="20" xfId="1" applyNumberFormat="1" applyFont="1" applyFill="1" applyBorder="1" applyAlignment="1">
      <alignment horizontal="center" vertical="top" shrinkToFit="1"/>
    </xf>
    <xf numFmtId="165" fontId="10" fillId="0" borderId="21" xfId="1" applyNumberFormat="1" applyFont="1" applyFill="1" applyBorder="1" applyAlignment="1">
      <alignment horizontal="center" vertical="top" shrinkToFit="1"/>
    </xf>
    <xf numFmtId="165" fontId="10" fillId="0" borderId="22" xfId="1" applyNumberFormat="1" applyFont="1" applyFill="1" applyBorder="1" applyAlignment="1">
      <alignment horizontal="center" vertical="top" shrinkToFit="1"/>
    </xf>
    <xf numFmtId="165" fontId="10" fillId="0" borderId="21" xfId="1" applyNumberFormat="1" applyFont="1" applyFill="1" applyBorder="1" applyAlignment="1">
      <alignment horizontal="center" wrapText="1"/>
    </xf>
    <xf numFmtId="165" fontId="10" fillId="0" borderId="21" xfId="1" applyNumberFormat="1" applyFont="1" applyFill="1" applyBorder="1" applyAlignment="1">
      <alignment horizontal="center" vertical="top" wrapText="1"/>
    </xf>
    <xf numFmtId="165" fontId="10" fillId="0" borderId="23" xfId="1" applyNumberFormat="1" applyFont="1" applyFill="1" applyBorder="1" applyAlignment="1">
      <alignment horizontal="center" wrapText="1"/>
    </xf>
    <xf numFmtId="165" fontId="10" fillId="0" borderId="24" xfId="1" applyNumberFormat="1" applyFont="1" applyFill="1" applyBorder="1" applyAlignment="1">
      <alignment horizontal="center" vertical="top" shrinkToFit="1"/>
    </xf>
    <xf numFmtId="165" fontId="10" fillId="0" borderId="25" xfId="1" applyNumberFormat="1" applyFont="1" applyBorder="1" applyAlignment="1">
      <alignment horizontal="center" vertical="top" wrapText="1"/>
    </xf>
    <xf numFmtId="165" fontId="10" fillId="0" borderId="26" xfId="1" applyNumberFormat="1" applyFont="1" applyBorder="1" applyAlignment="1">
      <alignment horizontal="center" wrapText="1"/>
    </xf>
    <xf numFmtId="165" fontId="10" fillId="0" borderId="27" xfId="1" applyNumberFormat="1" applyFont="1" applyBorder="1" applyAlignment="1">
      <alignment horizontal="center" wrapText="1"/>
    </xf>
    <xf numFmtId="165" fontId="10" fillId="0" borderId="28" xfId="1" applyNumberFormat="1" applyFont="1" applyBorder="1" applyAlignment="1">
      <alignment horizontal="center" wrapText="1"/>
    </xf>
    <xf numFmtId="165" fontId="10" fillId="0" borderId="29" xfId="1" applyNumberFormat="1" applyFont="1" applyFill="1" applyBorder="1" applyAlignment="1">
      <alignment horizontal="center" vertical="top" shrinkToFit="1"/>
    </xf>
    <xf numFmtId="165" fontId="10" fillId="0" borderId="30" xfId="1" applyNumberFormat="1" applyFont="1" applyFill="1" applyBorder="1" applyAlignment="1">
      <alignment horizontal="center" vertical="top" shrinkToFit="1"/>
    </xf>
    <xf numFmtId="165" fontId="10" fillId="0" borderId="31" xfId="1" applyNumberFormat="1" applyFont="1" applyFill="1" applyBorder="1" applyAlignment="1">
      <alignment horizontal="center" vertical="top" wrapText="1"/>
    </xf>
    <xf numFmtId="165" fontId="10" fillId="0" borderId="32" xfId="1" applyNumberFormat="1" applyFont="1" applyFill="1" applyBorder="1" applyAlignment="1">
      <alignment horizontal="center" vertical="top" shrinkToFit="1"/>
    </xf>
    <xf numFmtId="165" fontId="10" fillId="0" borderId="31" xfId="1" applyNumberFormat="1" applyFont="1" applyFill="1" applyBorder="1" applyAlignment="1">
      <alignment horizontal="center" vertical="top" shrinkToFit="1"/>
    </xf>
    <xf numFmtId="165" fontId="10" fillId="0" borderId="33" xfId="1" applyNumberFormat="1" applyFont="1" applyFill="1" applyBorder="1" applyAlignment="1">
      <alignment horizontal="center" wrapText="1"/>
    </xf>
    <xf numFmtId="165" fontId="10" fillId="0" borderId="34" xfId="1" applyNumberFormat="1" applyFont="1" applyFill="1" applyBorder="1" applyAlignment="1">
      <alignment horizontal="center" vertical="top" shrinkToFit="1"/>
    </xf>
    <xf numFmtId="165" fontId="10" fillId="0" borderId="35" xfId="1" applyNumberFormat="1" applyFont="1" applyBorder="1" applyAlignment="1">
      <alignment horizontal="center" vertical="top" shrinkToFit="1"/>
    </xf>
    <xf numFmtId="165" fontId="29" fillId="0" borderId="36" xfId="1" applyNumberFormat="1" applyFont="1" applyBorder="1" applyAlignment="1">
      <alignment horizontal="center" vertical="top" wrapText="1"/>
    </xf>
    <xf numFmtId="165" fontId="10" fillId="0" borderId="0" xfId="1" applyNumberFormat="1" applyFont="1" applyAlignment="1">
      <alignment horizontal="center" vertical="top"/>
    </xf>
    <xf numFmtId="165" fontId="29" fillId="0" borderId="0" xfId="5" applyNumberFormat="1" applyFont="1" applyFill="1" applyBorder="1" applyAlignment="1">
      <alignment horizontal="left" vertical="top" wrapText="1"/>
    </xf>
    <xf numFmtId="165" fontId="29" fillId="0" borderId="0" xfId="1" applyNumberFormat="1" applyFont="1" applyFill="1" applyBorder="1" applyAlignment="1">
      <alignment horizontal="center" vertical="center" wrapText="1"/>
    </xf>
    <xf numFmtId="165" fontId="10" fillId="0" borderId="0" xfId="5" applyNumberFormat="1" applyFont="1" applyFill="1" applyBorder="1" applyAlignment="1">
      <alignment horizontal="left" vertical="top" wrapText="1"/>
    </xf>
    <xf numFmtId="165" fontId="10" fillId="0" borderId="0" xfId="1" applyNumberFormat="1" applyFont="1" applyFill="1" applyBorder="1" applyAlignment="1">
      <alignment horizontal="center" vertical="center" wrapText="1"/>
    </xf>
    <xf numFmtId="165" fontId="10" fillId="0" borderId="10" xfId="1" applyNumberFormat="1" applyFont="1" applyFill="1" applyBorder="1" applyAlignment="1">
      <alignment horizontal="center" vertical="top" wrapText="1"/>
    </xf>
    <xf numFmtId="165" fontId="10" fillId="0" borderId="37" xfId="1" applyNumberFormat="1" applyFont="1" applyFill="1" applyBorder="1" applyAlignment="1">
      <alignment horizontal="center" vertical="top" shrinkToFit="1"/>
    </xf>
    <xf numFmtId="165" fontId="10" fillId="0" borderId="11" xfId="1" applyNumberFormat="1" applyFont="1" applyFill="1" applyBorder="1" applyAlignment="1">
      <alignment horizontal="center" wrapText="1"/>
    </xf>
    <xf numFmtId="165" fontId="10" fillId="0" borderId="38" xfId="1" applyNumberFormat="1" applyFont="1" applyFill="1" applyBorder="1" applyAlignment="1">
      <alignment horizontal="center" vertical="top" shrinkToFit="1"/>
    </xf>
    <xf numFmtId="165" fontId="10" fillId="0" borderId="11" xfId="1" applyNumberFormat="1" applyFont="1" applyFill="1" applyBorder="1" applyAlignment="1">
      <alignment horizontal="center" vertical="top" shrinkToFit="1"/>
    </xf>
    <xf numFmtId="165" fontId="10" fillId="0" borderId="1" xfId="1" applyNumberFormat="1" applyFont="1" applyFill="1" applyBorder="1" applyAlignment="1">
      <alignment horizontal="center" vertical="top" shrinkToFit="1"/>
    </xf>
    <xf numFmtId="165" fontId="10" fillId="0" borderId="0" xfId="1" applyNumberFormat="1" applyFont="1" applyFill="1" applyBorder="1" applyAlignment="1">
      <alignment horizontal="center" vertical="top" shrinkToFit="1"/>
    </xf>
    <xf numFmtId="0" fontId="2" fillId="2" borderId="0" xfId="3" applyFont="1" applyFill="1" applyAlignment="1">
      <alignment horizontal="center" vertical="center" wrapText="1"/>
    </xf>
    <xf numFmtId="43" fontId="10" fillId="0" borderId="10" xfId="1" applyFont="1" applyBorder="1" applyAlignment="1">
      <alignment horizontal="left" vertical="top"/>
    </xf>
    <xf numFmtId="0" fontId="29" fillId="6" borderId="0" xfId="4" applyFont="1" applyFill="1" applyAlignment="1">
      <alignment horizontal="left" vertical="top"/>
    </xf>
    <xf numFmtId="0" fontId="8" fillId="6" borderId="0" xfId="4" applyFont="1" applyFill="1" applyAlignment="1">
      <alignment horizontal="left" vertical="top"/>
    </xf>
    <xf numFmtId="43" fontId="10" fillId="0" borderId="12" xfId="1" applyFont="1" applyBorder="1" applyAlignment="1">
      <alignment horizontal="left" vertical="top"/>
    </xf>
    <xf numFmtId="165" fontId="10" fillId="0" borderId="39" xfId="1" applyNumberFormat="1" applyFont="1" applyBorder="1" applyAlignment="1">
      <alignment horizontal="center" vertical="top"/>
    </xf>
    <xf numFmtId="165" fontId="10" fillId="0" borderId="40" xfId="1" applyNumberFormat="1" applyFont="1" applyBorder="1" applyAlignment="1">
      <alignment horizontal="center" vertical="top"/>
    </xf>
    <xf numFmtId="165" fontId="10" fillId="0" borderId="0" xfId="1" applyNumberFormat="1" applyFont="1" applyFill="1" applyBorder="1" applyAlignment="1">
      <alignment horizontal="center" vertical="top" wrapText="1"/>
    </xf>
    <xf numFmtId="165" fontId="29" fillId="0" borderId="0" xfId="5" applyNumberFormat="1" applyFont="1" applyFill="1" applyBorder="1" applyAlignment="1">
      <alignment horizontal="left" vertical="center" wrapText="1"/>
    </xf>
    <xf numFmtId="165" fontId="10" fillId="0" borderId="10" xfId="1" applyNumberFormat="1" applyFont="1" applyFill="1" applyBorder="1" applyAlignment="1">
      <alignment horizontal="center" wrapText="1"/>
    </xf>
    <xf numFmtId="165" fontId="10" fillId="0" borderId="38" xfId="1" applyNumberFormat="1" applyFont="1" applyFill="1" applyBorder="1" applyAlignment="1">
      <alignment horizontal="center" wrapText="1"/>
    </xf>
    <xf numFmtId="165" fontId="10" fillId="0" borderId="12" xfId="1" applyNumberFormat="1" applyFont="1" applyFill="1" applyBorder="1" applyAlignment="1">
      <alignment horizontal="center" vertical="top" wrapText="1"/>
    </xf>
    <xf numFmtId="165" fontId="10" fillId="0" borderId="41" xfId="1" applyNumberFormat="1" applyFont="1" applyFill="1" applyBorder="1" applyAlignment="1">
      <alignment horizontal="center" vertical="top" shrinkToFit="1"/>
    </xf>
    <xf numFmtId="165" fontId="10" fillId="0" borderId="13" xfId="1" applyNumberFormat="1" applyFont="1" applyFill="1" applyBorder="1" applyAlignment="1">
      <alignment horizontal="center" vertical="top" wrapText="1"/>
    </xf>
    <xf numFmtId="165" fontId="10" fillId="0" borderId="37" xfId="1" applyNumberFormat="1" applyFont="1" applyFill="1" applyBorder="1" applyAlignment="1">
      <alignment horizontal="center" vertical="top" wrapText="1"/>
    </xf>
    <xf numFmtId="165" fontId="10" fillId="0" borderId="14" xfId="1" applyNumberFormat="1" applyFont="1" applyFill="1" applyBorder="1" applyAlignment="1">
      <alignment horizontal="center" vertical="top" shrinkToFit="1"/>
    </xf>
    <xf numFmtId="165" fontId="29" fillId="0" borderId="40" xfId="1" applyNumberFormat="1" applyFont="1" applyFill="1" applyBorder="1" applyAlignment="1">
      <alignment horizontal="center" vertical="top" shrinkToFit="1"/>
    </xf>
    <xf numFmtId="0" fontId="33" fillId="2" borderId="0" xfId="3" applyFont="1" applyFill="1" applyAlignment="1">
      <alignment horizontal="center"/>
    </xf>
    <xf numFmtId="0" fontId="2" fillId="2" borderId="0" xfId="3" applyFont="1" applyFill="1" applyAlignment="1">
      <alignment horizontal="left"/>
    </xf>
    <xf numFmtId="0" fontId="2" fillId="2" borderId="0" xfId="3" applyFont="1" applyFill="1" applyAlignment="1">
      <alignment horizontal="center"/>
    </xf>
    <xf numFmtId="0" fontId="8" fillId="0" borderId="0" xfId="4" applyFont="1" applyAlignment="1">
      <alignment horizontal="left" vertical="top"/>
    </xf>
    <xf numFmtId="169" fontId="8" fillId="0" borderId="0" xfId="9" applyNumberFormat="1" applyFont="1" applyAlignment="1">
      <alignment horizontal="center" vertical="center"/>
    </xf>
    <xf numFmtId="10" fontId="8" fillId="0" borderId="0" xfId="9" applyNumberFormat="1" applyFont="1" applyAlignment="1">
      <alignment horizontal="center" vertical="center"/>
    </xf>
    <xf numFmtId="10" fontId="8" fillId="0" borderId="0" xfId="9" applyNumberFormat="1" applyFont="1" applyAlignment="1">
      <alignment horizontal="left"/>
    </xf>
    <xf numFmtId="0" fontId="24" fillId="0" borderId="0" xfId="3" applyFont="1" applyAlignment="1">
      <alignment horizontal="center"/>
    </xf>
    <xf numFmtId="0" fontId="24" fillId="0" borderId="0" xfId="3" applyFont="1" applyAlignment="1">
      <alignment horizontal="left" vertical="center" wrapText="1"/>
    </xf>
    <xf numFmtId="0" fontId="24" fillId="0" borderId="0" xfId="3" applyFont="1" applyAlignment="1">
      <alignment horizontal="center" vertical="center"/>
    </xf>
    <xf numFmtId="0" fontId="18" fillId="0" borderId="0" xfId="3" applyFont="1" applyAlignment="1">
      <alignment horizontal="left" wrapText="1"/>
    </xf>
    <xf numFmtId="0" fontId="33" fillId="0" borderId="0" xfId="3" applyFont="1" applyAlignment="1">
      <alignment horizontal="center"/>
    </xf>
    <xf numFmtId="0" fontId="29" fillId="0" borderId="0" xfId="0" applyFont="1"/>
    <xf numFmtId="0" fontId="2" fillId="2" borderId="0" xfId="3" applyFont="1" applyFill="1" applyAlignment="1">
      <alignment horizontal="left"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165" fontId="0" fillId="0" borderId="56" xfId="0" applyNumberFormat="1" applyBorder="1"/>
    <xf numFmtId="0" fontId="8" fillId="0" borderId="0" xfId="0" applyFont="1"/>
    <xf numFmtId="165" fontId="0" fillId="0" borderId="57" xfId="0" applyNumberFormat="1" applyBorder="1"/>
    <xf numFmtId="0" fontId="36" fillId="0" borderId="0" xfId="0" applyFont="1"/>
    <xf numFmtId="10" fontId="0" fillId="0" borderId="57" xfId="2" applyNumberFormat="1" applyFont="1" applyBorder="1"/>
    <xf numFmtId="165" fontId="0" fillId="0" borderId="0" xfId="0" applyNumberFormat="1"/>
    <xf numFmtId="9" fontId="18" fillId="0" borderId="0" xfId="2" applyFont="1"/>
    <xf numFmtId="165" fontId="10" fillId="0" borderId="0" xfId="1" applyNumberFormat="1" applyFont="1"/>
    <xf numFmtId="10" fontId="2" fillId="4" borderId="0" xfId="2" applyNumberFormat="1" applyFont="1" applyFill="1"/>
    <xf numFmtId="10" fontId="2" fillId="4" borderId="0" xfId="0" applyNumberFormat="1" applyFont="1" applyFill="1"/>
    <xf numFmtId="169" fontId="2" fillId="4" borderId="0" xfId="0" applyNumberFormat="1" applyFont="1" applyFill="1"/>
    <xf numFmtId="0" fontId="19" fillId="3" borderId="0" xfId="0" applyFont="1" applyFill="1" applyAlignment="1">
      <alignment horizontal="center"/>
    </xf>
    <xf numFmtId="165" fontId="0" fillId="3" borderId="0" xfId="0" applyNumberFormat="1" applyFill="1"/>
    <xf numFmtId="0" fontId="0" fillId="3" borderId="0" xfId="0" applyFill="1"/>
    <xf numFmtId="9" fontId="8" fillId="3" borderId="0" xfId="0" applyNumberFormat="1" applyFont="1" applyFill="1"/>
    <xf numFmtId="165" fontId="0" fillId="3" borderId="0" xfId="1" applyNumberFormat="1" applyFont="1" applyFill="1"/>
    <xf numFmtId="165" fontId="0" fillId="3" borderId="57" xfId="0" applyNumberFormat="1" applyFill="1" applyBorder="1"/>
    <xf numFmtId="0" fontId="0" fillId="4" borderId="0" xfId="0" applyFill="1"/>
    <xf numFmtId="10" fontId="0" fillId="4" borderId="0" xfId="2" applyNumberFormat="1" applyFont="1" applyFill="1"/>
    <xf numFmtId="10" fontId="0" fillId="4" borderId="0" xfId="0" applyNumberFormat="1" applyFill="1"/>
    <xf numFmtId="0" fontId="18" fillId="0" borderId="0" xfId="0" applyFont="1"/>
    <xf numFmtId="0" fontId="2" fillId="0" borderId="0" xfId="3" applyFont="1" applyAlignment="1">
      <alignment horizontal="left" vertical="center" wrapText="1"/>
    </xf>
    <xf numFmtId="0" fontId="15" fillId="0" borderId="0" xfId="3" applyFont="1" applyAlignment="1">
      <alignment horizontal="left" vertical="center" wrapText="1"/>
    </xf>
    <xf numFmtId="165" fontId="17" fillId="0" borderId="0" xfId="0" applyNumberFormat="1" applyFont="1" applyAlignment="1">
      <alignment wrapText="1"/>
    </xf>
    <xf numFmtId="10" fontId="15" fillId="0" borderId="0" xfId="0" applyNumberFormat="1" applyFont="1" applyAlignment="1">
      <alignment wrapText="1"/>
    </xf>
    <xf numFmtId="169" fontId="15" fillId="3" borderId="0" xfId="0" applyNumberFormat="1" applyFont="1" applyFill="1" applyAlignment="1">
      <alignment wrapText="1"/>
    </xf>
    <xf numFmtId="43" fontId="18" fillId="0" borderId="0" xfId="1" applyFont="1" applyBorder="1" applyAlignment="1">
      <alignment wrapText="1"/>
    </xf>
    <xf numFmtId="43" fontId="18" fillId="0" borderId="0" xfId="1" applyFont="1"/>
    <xf numFmtId="10" fontId="15" fillId="3" borderId="0" xfId="0" applyNumberFormat="1" applyFont="1" applyFill="1" applyAlignment="1">
      <alignment wrapText="1"/>
    </xf>
    <xf numFmtId="43" fontId="18" fillId="3" borderId="0" xfId="1" applyFont="1" applyFill="1" applyBorder="1" applyAlignment="1">
      <alignment wrapText="1"/>
    </xf>
    <xf numFmtId="165" fontId="3" fillId="0" borderId="57" xfId="0" applyNumberFormat="1" applyFont="1" applyBorder="1"/>
    <xf numFmtId="9" fontId="18" fillId="0" borderId="0" xfId="0" applyNumberFormat="1" applyFont="1" applyAlignment="1">
      <alignment wrapText="1"/>
    </xf>
    <xf numFmtId="9" fontId="15" fillId="0" borderId="0" xfId="0" applyNumberFormat="1" applyFont="1" applyAlignment="1">
      <alignment wrapText="1"/>
    </xf>
    <xf numFmtId="0" fontId="18" fillId="0" borderId="0" xfId="0" applyFont="1" applyAlignment="1">
      <alignment horizontal="left" vertical="center" wrapText="1"/>
    </xf>
    <xf numFmtId="43" fontId="3" fillId="0" borderId="1" xfId="0" applyNumberFormat="1" applyFont="1" applyBorder="1"/>
    <xf numFmtId="43" fontId="3" fillId="0" borderId="0" xfId="0" applyNumberFormat="1" applyFont="1"/>
    <xf numFmtId="0" fontId="0" fillId="0" borderId="0" xfId="0" applyAlignment="1">
      <alignment horizontal="left"/>
    </xf>
    <xf numFmtId="165" fontId="3" fillId="0" borderId="0" xfId="0" applyNumberFormat="1" applyFont="1" applyAlignment="1">
      <alignment horizontal="left"/>
    </xf>
    <xf numFmtId="165" fontId="3" fillId="0" borderId="0" xfId="0" applyNumberFormat="1" applyFont="1"/>
    <xf numFmtId="9" fontId="3" fillId="0" borderId="0" xfId="2" applyFont="1"/>
    <xf numFmtId="170" fontId="3" fillId="0" borderId="0" xfId="0" applyNumberFormat="1" applyFont="1"/>
    <xf numFmtId="0" fontId="37" fillId="0" borderId="0" xfId="0" applyFont="1"/>
    <xf numFmtId="0" fontId="16" fillId="0" borderId="58" xfId="0" applyFont="1" applyBorder="1" applyAlignment="1">
      <alignment horizontal="center" vertical="center"/>
    </xf>
    <xf numFmtId="0" fontId="16" fillId="0" borderId="58" xfId="0" applyFont="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vertical="center" wrapText="1"/>
    </xf>
    <xf numFmtId="4" fontId="0" fillId="0" borderId="0" xfId="0" applyNumberFormat="1"/>
    <xf numFmtId="10" fontId="0" fillId="0" borderId="0" xfId="0" applyNumberFormat="1" applyAlignment="1">
      <alignment horizontal="center"/>
    </xf>
    <xf numFmtId="0" fontId="15" fillId="0" borderId="47" xfId="0" applyFont="1" applyBorder="1"/>
    <xf numFmtId="0" fontId="0" fillId="2" borderId="0" xfId="0" applyFill="1"/>
    <xf numFmtId="0" fontId="2" fillId="2" borderId="0" xfId="0" applyFont="1" applyFill="1" applyAlignment="1">
      <alignment horizontal="center" wrapText="1"/>
    </xf>
    <xf numFmtId="0" fontId="0" fillId="7" borderId="0" xfId="0" applyFill="1" applyAlignment="1">
      <alignment horizontal="center"/>
    </xf>
    <xf numFmtId="43" fontId="0" fillId="5" borderId="0" xfId="1" applyFont="1" applyFill="1" applyAlignment="1">
      <alignment horizontal="center"/>
    </xf>
    <xf numFmtId="43" fontId="0" fillId="5" borderId="0" xfId="0" applyNumberFormat="1" applyFill="1" applyAlignment="1">
      <alignment horizontal="center"/>
    </xf>
    <xf numFmtId="0" fontId="0" fillId="5" borderId="0" xfId="0" applyFill="1" applyAlignment="1">
      <alignment horizontal="center"/>
    </xf>
    <xf numFmtId="170" fontId="0" fillId="5" borderId="0" xfId="1" applyNumberFormat="1" applyFont="1" applyFill="1" applyAlignment="1">
      <alignment horizontal="center"/>
    </xf>
    <xf numFmtId="170" fontId="0" fillId="5" borderId="0" xfId="0" applyNumberFormat="1" applyFill="1" applyAlignment="1">
      <alignment horizontal="center"/>
    </xf>
    <xf numFmtId="43" fontId="0" fillId="0" borderId="0" xfId="0" applyNumberFormat="1" applyAlignment="1">
      <alignment horizontal="center"/>
    </xf>
    <xf numFmtId="170" fontId="0" fillId="0" borderId="0" xfId="1" applyNumberFormat="1" applyFont="1" applyAlignment="1">
      <alignment horizontal="center"/>
    </xf>
    <xf numFmtId="170" fontId="0" fillId="0" borderId="0" xfId="0" applyNumberFormat="1" applyAlignment="1">
      <alignment horizontal="center"/>
    </xf>
    <xf numFmtId="0" fontId="0" fillId="5" borderId="0" xfId="0" applyFill="1"/>
    <xf numFmtId="170" fontId="0" fillId="5" borderId="0" xfId="0" applyNumberFormat="1" applyFill="1"/>
    <xf numFmtId="43" fontId="0" fillId="5" borderId="0" xfId="1" applyFont="1" applyFill="1"/>
    <xf numFmtId="170" fontId="3" fillId="5" borderId="0" xfId="0" applyNumberFormat="1" applyFont="1" applyFill="1"/>
    <xf numFmtId="0" fontId="4" fillId="2" borderId="0" xfId="0" applyFont="1" applyFill="1"/>
    <xf numFmtId="0" fontId="3" fillId="5" borderId="60" xfId="0" applyFont="1" applyFill="1" applyBorder="1"/>
    <xf numFmtId="43" fontId="3" fillId="5" borderId="60" xfId="1" applyFont="1" applyFill="1" applyBorder="1"/>
    <xf numFmtId="0" fontId="3" fillId="0" borderId="0" xfId="0" applyFont="1" applyAlignment="1">
      <alignment horizontal="center"/>
    </xf>
    <xf numFmtId="43" fontId="0" fillId="0" borderId="0" xfId="1" applyFont="1" applyAlignment="1"/>
    <xf numFmtId="0" fontId="19" fillId="0" borderId="0" xfId="0" applyFont="1" applyAlignment="1">
      <alignment wrapText="1"/>
    </xf>
    <xf numFmtId="0" fontId="18" fillId="0" borderId="0" xfId="0" applyFont="1" applyAlignment="1">
      <alignment vertical="center" wrapText="1"/>
    </xf>
    <xf numFmtId="43" fontId="0" fillId="0" borderId="0" xfId="1" applyFont="1" applyFill="1"/>
    <xf numFmtId="10" fontId="0" fillId="0" borderId="0" xfId="2" applyNumberFormat="1" applyFont="1" applyFill="1"/>
    <xf numFmtId="0" fontId="0" fillId="8" borderId="0" xfId="0" applyFill="1"/>
    <xf numFmtId="0" fontId="0" fillId="8" borderId="0" xfId="0" applyFill="1" applyAlignment="1">
      <alignment horizontal="center"/>
    </xf>
    <xf numFmtId="43" fontId="0" fillId="8" borderId="0" xfId="1" applyFont="1" applyFill="1"/>
    <xf numFmtId="10" fontId="0" fillId="8" borderId="0" xfId="2" applyNumberFormat="1" applyFont="1" applyFill="1"/>
    <xf numFmtId="43" fontId="25" fillId="0" borderId="0" xfId="5" applyFont="1" applyAlignment="1">
      <alignment horizontal="left" vertical="top" indent="4" shrinkToFit="1"/>
    </xf>
    <xf numFmtId="165" fontId="24" fillId="0" borderId="0" xfId="4" applyNumberFormat="1" applyFont="1" applyAlignment="1">
      <alignment horizontal="left" vertical="top"/>
    </xf>
    <xf numFmtId="43" fontId="24" fillId="0" borderId="0" xfId="5" applyFont="1" applyAlignment="1">
      <alignment horizontal="left" vertical="top"/>
    </xf>
    <xf numFmtId="3" fontId="24" fillId="0" borderId="0" xfId="4" applyNumberFormat="1" applyFont="1" applyAlignment="1">
      <alignment horizontal="left" vertical="top"/>
    </xf>
    <xf numFmtId="165" fontId="10" fillId="0" borderId="0" xfId="5" applyNumberFormat="1" applyFont="1" applyFill="1" applyBorder="1" applyAlignment="1">
      <alignment horizontal="center" vertical="top" shrinkToFit="1"/>
    </xf>
    <xf numFmtId="165" fontId="10" fillId="0" borderId="0" xfId="5" applyNumberFormat="1" applyFont="1" applyFill="1" applyBorder="1" applyAlignment="1">
      <alignment horizontal="left" vertical="top" indent="4" shrinkToFit="1"/>
    </xf>
    <xf numFmtId="165" fontId="10" fillId="0" borderId="0" xfId="5" applyNumberFormat="1" applyFont="1" applyFill="1" applyBorder="1" applyAlignment="1">
      <alignment horizontal="center" vertical="top" wrapText="1"/>
    </xf>
    <xf numFmtId="165" fontId="10" fillId="0" borderId="0" xfId="5" applyNumberFormat="1" applyFont="1" applyFill="1" applyBorder="1" applyAlignment="1">
      <alignment horizontal="right" vertical="top" wrapText="1" indent="1"/>
    </xf>
    <xf numFmtId="165" fontId="24" fillId="0" borderId="0" xfId="3" applyNumberFormat="1" applyFont="1" applyAlignment="1">
      <alignment horizontal="left" vertical="center" wrapText="1"/>
    </xf>
    <xf numFmtId="0" fontId="24" fillId="0" borderId="0" xfId="4" applyFont="1" applyAlignment="1">
      <alignment vertical="center" wrapText="1"/>
    </xf>
    <xf numFmtId="165" fontId="10" fillId="0" borderId="0" xfId="5" applyNumberFormat="1" applyFont="1" applyBorder="1" applyAlignment="1">
      <alignment horizontal="center" vertical="center" wrapText="1"/>
    </xf>
    <xf numFmtId="165" fontId="24" fillId="0" borderId="0" xfId="5" applyNumberFormat="1" applyFont="1" applyBorder="1" applyAlignment="1">
      <alignment horizontal="center" vertical="top"/>
    </xf>
    <xf numFmtId="165" fontId="24" fillId="0" borderId="0" xfId="5" applyNumberFormat="1" applyFont="1" applyBorder="1" applyAlignment="1">
      <alignment horizontal="left" vertical="top"/>
    </xf>
    <xf numFmtId="0" fontId="14" fillId="2" borderId="0" xfId="4" applyFont="1" applyFill="1" applyAlignment="1">
      <alignment vertical="center" wrapText="1"/>
    </xf>
    <xf numFmtId="0" fontId="15" fillId="0" borderId="0" xfId="4" applyFont="1" applyAlignment="1">
      <alignment vertical="center" wrapText="1"/>
    </xf>
    <xf numFmtId="165" fontId="40" fillId="0" borderId="0" xfId="5" applyNumberFormat="1" applyFont="1" applyFill="1" applyBorder="1" applyAlignment="1">
      <alignment horizontal="left" vertical="top" indent="1" shrinkToFit="1"/>
    </xf>
    <xf numFmtId="165" fontId="40" fillId="0" borderId="0" xfId="5" applyNumberFormat="1" applyFont="1" applyFill="1" applyBorder="1" applyAlignment="1">
      <alignment horizontal="center" vertical="top" shrinkToFit="1"/>
    </xf>
    <xf numFmtId="0" fontId="15" fillId="0" borderId="0" xfId="4" applyFont="1" applyAlignment="1">
      <alignment vertical="top" wrapText="1"/>
    </xf>
    <xf numFmtId="0" fontId="18" fillId="0" borderId="0" xfId="4" applyFont="1" applyAlignment="1">
      <alignment vertical="top" wrapText="1"/>
    </xf>
    <xf numFmtId="43" fontId="24" fillId="0" borderId="0" xfId="5" applyFont="1" applyBorder="1" applyAlignment="1">
      <alignment horizontal="left" vertical="top"/>
    </xf>
    <xf numFmtId="0" fontId="42" fillId="0" borderId="0" xfId="4" applyFont="1" applyAlignment="1">
      <alignment horizontal="left" vertical="top"/>
    </xf>
    <xf numFmtId="0" fontId="16" fillId="0" borderId="0" xfId="4" applyFont="1" applyAlignment="1">
      <alignment horizontal="left" vertical="top"/>
    </xf>
    <xf numFmtId="0" fontId="24" fillId="0" borderId="0" xfId="4" applyFont="1" applyAlignment="1">
      <alignment horizontal="center" vertical="top"/>
    </xf>
    <xf numFmtId="0" fontId="34" fillId="0" borderId="0" xfId="4" applyFont="1" applyAlignment="1">
      <alignment horizontal="left" vertical="top"/>
    </xf>
    <xf numFmtId="164" fontId="8" fillId="0" borderId="0" xfId="5" applyNumberFormat="1" applyFont="1" applyAlignment="1">
      <alignment horizontal="left" vertical="top"/>
    </xf>
    <xf numFmtId="10" fontId="24" fillId="0" borderId="0" xfId="6" applyNumberFormat="1" applyFont="1" applyAlignment="1">
      <alignment horizontal="center"/>
    </xf>
    <xf numFmtId="0" fontId="15" fillId="0" borderId="0" xfId="3" applyFont="1" applyAlignment="1">
      <alignment horizontal="left" wrapText="1"/>
    </xf>
    <xf numFmtId="165" fontId="3" fillId="0" borderId="1" xfId="0" applyNumberFormat="1" applyFont="1" applyBorder="1"/>
    <xf numFmtId="43" fontId="18" fillId="0" borderId="0" xfId="1" applyFont="1" applyFill="1" applyBorder="1" applyAlignment="1">
      <alignment wrapText="1"/>
    </xf>
    <xf numFmtId="43" fontId="0" fillId="0" borderId="0" xfId="1" applyFont="1" applyBorder="1"/>
    <xf numFmtId="9" fontId="3" fillId="0" borderId="0" xfId="2" applyFont="1" applyBorder="1"/>
    <xf numFmtId="0" fontId="3" fillId="8" borderId="0" xfId="0" applyFont="1" applyFill="1" applyAlignment="1">
      <alignment vertical="center" wrapText="1"/>
    </xf>
    <xf numFmtId="43" fontId="3" fillId="8" borderId="0" xfId="1" applyFont="1" applyFill="1" applyAlignment="1">
      <alignment vertical="center"/>
    </xf>
    <xf numFmtId="0" fontId="3" fillId="8" borderId="0" xfId="0" applyFont="1" applyFill="1" applyAlignment="1">
      <alignment vertical="center"/>
    </xf>
    <xf numFmtId="43" fontId="3" fillId="8" borderId="0" xfId="0" applyNumberFormat="1" applyFont="1" applyFill="1" applyAlignment="1">
      <alignment vertical="center"/>
    </xf>
    <xf numFmtId="10" fontId="3" fillId="8" borderId="0" xfId="2" applyNumberFormat="1" applyFont="1" applyFill="1" applyAlignment="1">
      <alignment horizontal="center" vertical="center"/>
    </xf>
    <xf numFmtId="43" fontId="0" fillId="0" borderId="0" xfId="1" applyFont="1" applyFill="1" applyAlignment="1">
      <alignment horizontal="center"/>
    </xf>
    <xf numFmtId="170" fontId="0" fillId="0" borderId="0" xfId="1" applyNumberFormat="1" applyFont="1" applyFill="1" applyAlignment="1">
      <alignment horizontal="center"/>
    </xf>
    <xf numFmtId="0" fontId="16" fillId="0" borderId="12" xfId="0" applyFont="1" applyBorder="1" applyAlignment="1">
      <alignment horizontal="center" vertical="center" wrapText="1"/>
    </xf>
    <xf numFmtId="0" fontId="16" fillId="0" borderId="62" xfId="0" applyFont="1" applyBorder="1" applyAlignment="1">
      <alignment horizontal="center" vertical="center" wrapText="1"/>
    </xf>
    <xf numFmtId="0" fontId="37" fillId="0" borderId="58" xfId="0" applyFont="1" applyBorder="1" applyAlignment="1">
      <alignment wrapText="1"/>
    </xf>
    <xf numFmtId="0" fontId="3" fillId="0" borderId="58" xfId="0" applyFont="1" applyBorder="1"/>
    <xf numFmtId="43" fontId="3" fillId="0" borderId="0" xfId="1" applyFont="1" applyFill="1" applyBorder="1"/>
    <xf numFmtId="10" fontId="18" fillId="0" borderId="0" xfId="2" applyNumberFormat="1" applyFont="1" applyAlignment="1">
      <alignment horizontal="center" vertical="top"/>
    </xf>
    <xf numFmtId="2" fontId="8" fillId="0" borderId="0" xfId="5" applyNumberFormat="1" applyFont="1" applyFill="1" applyBorder="1" applyAlignment="1">
      <alignment horizontal="center" vertical="top"/>
    </xf>
    <xf numFmtId="2" fontId="24" fillId="0" borderId="0" xfId="5" applyNumberFormat="1" applyFont="1" applyAlignment="1">
      <alignment horizontal="center" vertical="top"/>
    </xf>
    <xf numFmtId="0" fontId="2" fillId="2" borderId="0" xfId="11" applyFont="1" applyFill="1" applyAlignment="1">
      <alignment horizontal="center"/>
    </xf>
    <xf numFmtId="0" fontId="24" fillId="0" borderId="0" xfId="11" applyFont="1" applyAlignment="1">
      <alignment horizontal="left"/>
    </xf>
    <xf numFmtId="0" fontId="24" fillId="0" borderId="0" xfId="11" applyFont="1" applyAlignment="1">
      <alignment horizontal="center"/>
    </xf>
    <xf numFmtId="43" fontId="8" fillId="0" borderId="0" xfId="7" applyFont="1" applyAlignment="1">
      <alignment horizontal="center"/>
    </xf>
    <xf numFmtId="10" fontId="24" fillId="0" borderId="0" xfId="9" applyNumberFormat="1" applyFont="1" applyAlignment="1">
      <alignment horizontal="center"/>
    </xf>
    <xf numFmtId="0" fontId="24" fillId="3" borderId="0" xfId="11" applyFont="1" applyFill="1" applyAlignment="1">
      <alignment horizontal="center"/>
    </xf>
    <xf numFmtId="43" fontId="8" fillId="3" borderId="0" xfId="7" applyFont="1" applyFill="1" applyAlignment="1">
      <alignment horizontal="left"/>
    </xf>
    <xf numFmtId="169" fontId="24" fillId="3" borderId="0" xfId="9" applyNumberFormat="1" applyFont="1" applyFill="1" applyAlignment="1">
      <alignment horizontal="center"/>
    </xf>
    <xf numFmtId="10" fontId="24" fillId="3" borderId="0" xfId="9" applyNumberFormat="1" applyFont="1" applyFill="1" applyAlignment="1">
      <alignment horizontal="center"/>
    </xf>
    <xf numFmtId="0" fontId="15" fillId="0" borderId="0" xfId="11" applyFont="1" applyAlignment="1">
      <alignment horizontal="left"/>
    </xf>
    <xf numFmtId="0" fontId="24" fillId="0" borderId="0" xfId="0" applyFont="1" applyAlignment="1">
      <alignment horizontal="left" vertical="top"/>
    </xf>
    <xf numFmtId="0" fontId="43" fillId="0" borderId="0" xfId="0" applyFont="1" applyAlignment="1">
      <alignment horizontal="left" vertical="top"/>
    </xf>
    <xf numFmtId="0" fontId="2" fillId="0" borderId="0" xfId="11" applyFont="1" applyAlignment="1">
      <alignment horizontal="center"/>
    </xf>
    <xf numFmtId="43" fontId="24" fillId="0" borderId="0" xfId="0" applyNumberFormat="1" applyFont="1" applyAlignment="1">
      <alignment horizontal="left" vertical="top"/>
    </xf>
    <xf numFmtId="0" fontId="24" fillId="0" borderId="0" xfId="0" applyFont="1" applyAlignment="1">
      <alignment horizontal="center" vertical="top"/>
    </xf>
    <xf numFmtId="43" fontId="18" fillId="8" borderId="0" xfId="0" applyNumberFormat="1" applyFont="1" applyFill="1" applyAlignment="1">
      <alignment horizontal="left" vertical="top"/>
    </xf>
    <xf numFmtId="43" fontId="18" fillId="0" borderId="0" xfId="0" applyNumberFormat="1" applyFont="1" applyAlignment="1">
      <alignment horizontal="left" vertical="top"/>
    </xf>
    <xf numFmtId="10" fontId="3" fillId="0" borderId="40" xfId="2" applyNumberFormat="1" applyFont="1" applyBorder="1"/>
    <xf numFmtId="43" fontId="8" fillId="0" borderId="0" xfId="7" applyFont="1" applyFill="1" applyAlignment="1">
      <alignment horizontal="left"/>
    </xf>
    <xf numFmtId="0" fontId="19" fillId="0" borderId="0" xfId="0" applyFont="1"/>
    <xf numFmtId="0" fontId="3" fillId="8" borderId="0" xfId="0" applyFont="1" applyFill="1"/>
    <xf numFmtId="10" fontId="24" fillId="0" borderId="0" xfId="9" applyNumberFormat="1" applyFont="1" applyFill="1" applyAlignment="1">
      <alignment horizontal="center"/>
    </xf>
    <xf numFmtId="9" fontId="8" fillId="0" borderId="0" xfId="7" applyNumberFormat="1" applyFont="1" applyAlignment="1">
      <alignment horizontal="center"/>
    </xf>
    <xf numFmtId="169" fontId="24" fillId="0" borderId="0" xfId="9" applyNumberFormat="1" applyFont="1" applyFill="1" applyAlignment="1">
      <alignment horizontal="center"/>
    </xf>
    <xf numFmtId="10" fontId="8" fillId="3" borderId="0" xfId="2" applyNumberFormat="1" applyFont="1" applyFill="1" applyAlignment="1">
      <alignment horizontal="center"/>
    </xf>
    <xf numFmtId="171" fontId="3" fillId="0" borderId="40" xfId="2" applyNumberFormat="1" applyFont="1" applyBorder="1"/>
    <xf numFmtId="9" fontId="24" fillId="0" borderId="0" xfId="11" applyNumberFormat="1" applyFont="1" applyAlignment="1">
      <alignment horizontal="center"/>
    </xf>
    <xf numFmtId="10" fontId="3" fillId="0" borderId="0" xfId="2" applyNumberFormat="1" applyFont="1" applyBorder="1"/>
    <xf numFmtId="43" fontId="3" fillId="0" borderId="0" xfId="1" applyFont="1"/>
    <xf numFmtId="0" fontId="2" fillId="2" borderId="0" xfId="8" applyFont="1" applyFill="1"/>
    <xf numFmtId="0" fontId="37" fillId="0" borderId="0" xfId="8" applyFont="1"/>
    <xf numFmtId="0" fontId="1" fillId="0" borderId="0" xfId="8" applyFont="1"/>
    <xf numFmtId="0" fontId="1" fillId="0" borderId="13" xfId="8" applyFont="1" applyBorder="1"/>
    <xf numFmtId="165" fontId="1" fillId="0" borderId="1" xfId="8" applyNumberFormat="1" applyFont="1" applyBorder="1"/>
    <xf numFmtId="0" fontId="1" fillId="0" borderId="63" xfId="8" applyFont="1" applyBorder="1"/>
    <xf numFmtId="43" fontId="44" fillId="0" borderId="0" xfId="8" applyNumberFormat="1" applyFont="1" applyAlignment="1">
      <alignment horizontal="center" vertical="top"/>
    </xf>
    <xf numFmtId="10" fontId="8" fillId="0" borderId="0" xfId="12" applyNumberFormat="1" applyFont="1" applyAlignment="1">
      <alignment horizontal="center" vertical="top"/>
    </xf>
    <xf numFmtId="10" fontId="8" fillId="0" borderId="0" xfId="12" applyNumberFormat="1" applyFont="1" applyFill="1" applyAlignment="1">
      <alignment horizontal="center" vertical="top"/>
    </xf>
    <xf numFmtId="10" fontId="8" fillId="8" borderId="0" xfId="12" applyNumberFormat="1" applyFont="1" applyFill="1" applyAlignment="1">
      <alignment horizontal="center" vertical="top"/>
    </xf>
    <xf numFmtId="43" fontId="1" fillId="0" borderId="13" xfId="13" applyFont="1" applyFill="1" applyBorder="1" applyAlignment="1">
      <alignment horizontal="center" vertical="top"/>
    </xf>
    <xf numFmtId="43" fontId="1" fillId="0" borderId="1" xfId="13" applyFont="1" applyFill="1" applyBorder="1" applyAlignment="1">
      <alignment horizontal="center" vertical="top"/>
    </xf>
    <xf numFmtId="43" fontId="24" fillId="0" borderId="1" xfId="13" applyFont="1" applyFill="1" applyBorder="1" applyAlignment="1">
      <alignment horizontal="center" vertical="top"/>
    </xf>
    <xf numFmtId="43" fontId="24" fillId="0" borderId="37" xfId="13" applyFont="1" applyFill="1" applyBorder="1" applyAlignment="1">
      <alignment horizontal="center" vertical="top"/>
    </xf>
    <xf numFmtId="43" fontId="1" fillId="0" borderId="63" xfId="13" applyFont="1" applyFill="1" applyBorder="1" applyAlignment="1">
      <alignment horizontal="center" vertical="top"/>
    </xf>
    <xf numFmtId="43" fontId="1" fillId="0" borderId="0" xfId="13" applyFont="1" applyFill="1" applyBorder="1" applyAlignment="1">
      <alignment horizontal="center" vertical="top"/>
    </xf>
    <xf numFmtId="43" fontId="24" fillId="0" borderId="0" xfId="13" applyFont="1" applyFill="1" applyBorder="1" applyAlignment="1">
      <alignment horizontal="center" vertical="top"/>
    </xf>
    <xf numFmtId="43" fontId="24" fillId="0" borderId="38" xfId="13" applyFont="1" applyFill="1" applyBorder="1" applyAlignment="1">
      <alignment horizontal="center" vertical="top"/>
    </xf>
    <xf numFmtId="43" fontId="1" fillId="8" borderId="0" xfId="13" applyFont="1" applyFill="1" applyBorder="1" applyAlignment="1">
      <alignment horizontal="center" vertical="top"/>
    </xf>
    <xf numFmtId="0" fontId="2" fillId="2" borderId="63" xfId="8" applyFont="1" applyFill="1" applyBorder="1" applyAlignment="1">
      <alignment horizontal="right"/>
    </xf>
    <xf numFmtId="0" fontId="1" fillId="0" borderId="14" xfId="8" applyFont="1" applyBorder="1"/>
    <xf numFmtId="43" fontId="1" fillId="0" borderId="14" xfId="13" applyFont="1" applyFill="1" applyBorder="1" applyAlignment="1">
      <alignment horizontal="center" vertical="top"/>
    </xf>
    <xf numFmtId="43" fontId="1" fillId="0" borderId="4" xfId="13" applyFont="1" applyFill="1" applyBorder="1" applyAlignment="1">
      <alignment horizontal="center" vertical="top"/>
    </xf>
    <xf numFmtId="43" fontId="24" fillId="0" borderId="4" xfId="13" applyFont="1" applyFill="1" applyBorder="1" applyAlignment="1">
      <alignment horizontal="center" vertical="top"/>
    </xf>
    <xf numFmtId="43" fontId="24" fillId="0" borderId="41" xfId="13" applyFont="1" applyFill="1" applyBorder="1" applyAlignment="1">
      <alignment horizontal="center" vertical="top"/>
    </xf>
    <xf numFmtId="169" fontId="0" fillId="3" borderId="0" xfId="2" applyNumberFormat="1" applyFont="1" applyFill="1"/>
    <xf numFmtId="169" fontId="3" fillId="0" borderId="40" xfId="2" applyNumberFormat="1" applyFont="1" applyBorder="1"/>
    <xf numFmtId="10" fontId="8" fillId="0" borderId="0" xfId="8" applyNumberFormat="1" applyFont="1" applyAlignment="1">
      <alignment horizontal="right"/>
    </xf>
    <xf numFmtId="10" fontId="8" fillId="8" borderId="0" xfId="8" applyNumberFormat="1" applyFont="1" applyFill="1" applyAlignment="1">
      <alignment horizontal="right"/>
    </xf>
    <xf numFmtId="10" fontId="8" fillId="0" borderId="4" xfId="8" applyNumberFormat="1" applyFont="1" applyBorder="1" applyAlignment="1">
      <alignment horizontal="right"/>
    </xf>
    <xf numFmtId="167" fontId="0" fillId="0" borderId="0" xfId="2" applyNumberFormat="1" applyFont="1"/>
    <xf numFmtId="169" fontId="15" fillId="0" borderId="0" xfId="0" applyNumberFormat="1" applyFont="1" applyAlignment="1">
      <alignment wrapText="1"/>
    </xf>
    <xf numFmtId="43" fontId="18" fillId="0" borderId="0" xfId="1" applyFont="1" applyFill="1"/>
    <xf numFmtId="43" fontId="10" fillId="0" borderId="0" xfId="0" applyNumberFormat="1" applyFont="1"/>
    <xf numFmtId="43" fontId="18" fillId="9" borderId="0" xfId="1" applyFont="1" applyFill="1" applyBorder="1" applyAlignment="1">
      <alignment wrapText="1"/>
    </xf>
    <xf numFmtId="172" fontId="0" fillId="0" borderId="0" xfId="0" applyNumberFormat="1"/>
    <xf numFmtId="0" fontId="9" fillId="4" borderId="0" xfId="0" applyFont="1" applyFill="1" applyAlignment="1">
      <alignment wrapText="1"/>
    </xf>
    <xf numFmtId="0" fontId="5" fillId="2" borderId="0" xfId="0" applyFont="1" applyFill="1"/>
    <xf numFmtId="0" fontId="0" fillId="0" borderId="2" xfId="0" applyBorder="1" applyAlignment="1">
      <alignment horizontal="center"/>
    </xf>
    <xf numFmtId="0" fontId="0" fillId="0" borderId="3" xfId="0" applyBorder="1" applyAlignment="1">
      <alignment horizontal="center"/>
    </xf>
    <xf numFmtId="0" fontId="9" fillId="4" borderId="0" xfId="0" applyFont="1" applyFill="1"/>
    <xf numFmtId="0" fontId="2" fillId="2" borderId="0" xfId="0" applyFont="1" applyFill="1"/>
    <xf numFmtId="0" fontId="2" fillId="2" borderId="0" xfId="0" applyFont="1" applyFill="1" applyAlignment="1">
      <alignment horizontal="center"/>
    </xf>
    <xf numFmtId="0" fontId="9" fillId="4" borderId="0" xfId="0" applyFont="1" applyFill="1" applyAlignment="1">
      <alignment vertical="center" wrapText="1"/>
    </xf>
    <xf numFmtId="0" fontId="18" fillId="0" borderId="0" xfId="0" applyFont="1" applyAlignment="1">
      <alignment wrapText="1"/>
    </xf>
    <xf numFmtId="0" fontId="5" fillId="2" borderId="0" xfId="3" applyFont="1" applyFill="1" applyAlignment="1">
      <alignment horizontal="left" vertical="center" wrapText="1"/>
    </xf>
    <xf numFmtId="0" fontId="18" fillId="0" borderId="0" xfId="4" applyFont="1" applyAlignment="1">
      <alignment vertical="top" wrapText="1"/>
    </xf>
    <xf numFmtId="0" fontId="18" fillId="6" borderId="0" xfId="4" applyFont="1" applyFill="1" applyAlignment="1">
      <alignment horizontal="left" vertical="top" wrapText="1"/>
    </xf>
    <xf numFmtId="0" fontId="33" fillId="2" borderId="0" xfId="3" applyFont="1" applyFill="1" applyAlignment="1">
      <alignment horizontal="center"/>
    </xf>
    <xf numFmtId="0" fontId="18" fillId="0" borderId="42" xfId="3" applyFont="1" applyBorder="1" applyAlignment="1">
      <alignment horizontal="left" wrapText="1"/>
    </xf>
    <xf numFmtId="0" fontId="18" fillId="0" borderId="16" xfId="3" applyFont="1" applyBorder="1" applyAlignment="1">
      <alignment horizontal="left" wrapText="1"/>
    </xf>
    <xf numFmtId="0" fontId="18" fillId="0" borderId="43" xfId="3" applyFont="1" applyBorder="1" applyAlignment="1">
      <alignment horizontal="left" wrapText="1"/>
    </xf>
    <xf numFmtId="0" fontId="18" fillId="0" borderId="46" xfId="3" applyFont="1" applyBorder="1" applyAlignment="1">
      <alignment horizontal="left" wrapText="1"/>
    </xf>
    <xf numFmtId="0" fontId="18" fillId="0" borderId="47" xfId="3" applyFont="1" applyBorder="1" applyAlignment="1">
      <alignment horizontal="left" wrapText="1"/>
    </xf>
    <xf numFmtId="0" fontId="18" fillId="0" borderId="48" xfId="3" applyFont="1" applyBorder="1" applyAlignment="1">
      <alignment horizontal="left" wrapText="1"/>
    </xf>
    <xf numFmtId="0" fontId="18" fillId="0" borderId="44" xfId="3" applyFont="1" applyBorder="1" applyAlignment="1">
      <alignment horizontal="left" wrapText="1"/>
    </xf>
    <xf numFmtId="0" fontId="18" fillId="0" borderId="0" xfId="3" applyFont="1" applyAlignment="1">
      <alignment horizontal="left" wrapText="1"/>
    </xf>
    <xf numFmtId="0" fontId="18" fillId="0" borderId="45" xfId="3" applyFont="1" applyBorder="1" applyAlignment="1">
      <alignment horizontal="left" wrapText="1"/>
    </xf>
    <xf numFmtId="0" fontId="2" fillId="2" borderId="0" xfId="3" applyFont="1" applyFill="1" applyAlignment="1">
      <alignment horizontal="left" vertical="center" wrapText="1"/>
    </xf>
    <xf numFmtId="0" fontId="18" fillId="0" borderId="49" xfId="0" applyFont="1" applyBorder="1" applyAlignment="1">
      <alignment vertical="center" wrapText="1"/>
    </xf>
    <xf numFmtId="0" fontId="18" fillId="0" borderId="50" xfId="0" applyFont="1" applyBorder="1" applyAlignment="1">
      <alignment vertical="center" wrapText="1"/>
    </xf>
    <xf numFmtId="0" fontId="18" fillId="0" borderId="51" xfId="0" applyFont="1" applyBorder="1" applyAlignment="1">
      <alignment vertical="center" wrapText="1"/>
    </xf>
    <xf numFmtId="0" fontId="18" fillId="0" borderId="52" xfId="0" applyFont="1" applyBorder="1" applyAlignment="1">
      <alignment vertical="center" wrapText="1"/>
    </xf>
    <xf numFmtId="0" fontId="18" fillId="0" borderId="0" xfId="0" applyFont="1" applyAlignment="1">
      <alignment vertical="center" wrapText="1"/>
    </xf>
    <xf numFmtId="0" fontId="18" fillId="0" borderId="53" xfId="0" applyFont="1" applyBorder="1" applyAlignment="1">
      <alignment vertical="center" wrapText="1"/>
    </xf>
    <xf numFmtId="0" fontId="18" fillId="0" borderId="54" xfId="0" applyFont="1" applyBorder="1" applyAlignment="1">
      <alignment vertical="center" wrapText="1"/>
    </xf>
    <xf numFmtId="0" fontId="18" fillId="0" borderId="9" xfId="0" applyFont="1" applyBorder="1" applyAlignment="1">
      <alignment vertical="center" wrapText="1"/>
    </xf>
    <xf numFmtId="0" fontId="18" fillId="0" borderId="55" xfId="0" applyFont="1" applyBorder="1" applyAlignment="1">
      <alignment vertical="center" wrapText="1"/>
    </xf>
    <xf numFmtId="0" fontId="18" fillId="0" borderId="0" xfId="0" applyFont="1" applyAlignment="1">
      <alignment horizontal="center"/>
    </xf>
    <xf numFmtId="0" fontId="18" fillId="0" borderId="49" xfId="0" applyFont="1" applyBorder="1" applyAlignment="1">
      <alignment horizontal="left" vertical="center" wrapText="1"/>
    </xf>
    <xf numFmtId="0" fontId="18" fillId="0" borderId="50" xfId="0" applyFont="1" applyBorder="1" applyAlignment="1">
      <alignment horizontal="left" vertical="center" wrapText="1"/>
    </xf>
    <xf numFmtId="0" fontId="18" fillId="0" borderId="51" xfId="0" applyFont="1" applyBorder="1" applyAlignment="1">
      <alignment horizontal="left" vertical="center" wrapText="1"/>
    </xf>
    <xf numFmtId="0" fontId="18" fillId="0" borderId="52" xfId="0" applyFont="1" applyBorder="1" applyAlignment="1">
      <alignment horizontal="left" vertical="center" wrapText="1"/>
    </xf>
    <xf numFmtId="0" fontId="18" fillId="0" borderId="0" xfId="0" applyFont="1" applyAlignment="1">
      <alignment horizontal="left" vertical="center" wrapText="1"/>
    </xf>
    <xf numFmtId="0" fontId="18" fillId="0" borderId="53" xfId="0" applyFont="1" applyBorder="1" applyAlignment="1">
      <alignment horizontal="left" vertical="center" wrapText="1"/>
    </xf>
    <xf numFmtId="0" fontId="18" fillId="0" borderId="54" xfId="0" applyFont="1" applyBorder="1" applyAlignment="1">
      <alignment horizontal="left" vertical="center" wrapText="1"/>
    </xf>
    <xf numFmtId="0" fontId="18" fillId="0" borderId="9" xfId="0" applyFont="1" applyBorder="1" applyAlignment="1">
      <alignment horizontal="left" vertical="center" wrapText="1"/>
    </xf>
    <xf numFmtId="0" fontId="18" fillId="0" borderId="55" xfId="0" applyFont="1" applyBorder="1" applyAlignment="1">
      <alignment horizontal="left" vertical="center" wrapText="1"/>
    </xf>
    <xf numFmtId="0" fontId="3" fillId="0" borderId="2" xfId="0" applyFont="1" applyBorder="1" applyAlignment="1">
      <alignment horizontal="center"/>
    </xf>
    <xf numFmtId="0" fontId="3" fillId="0" borderId="61"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2" borderId="59" xfId="0" applyFont="1" applyFill="1" applyBorder="1" applyAlignment="1">
      <alignment horizontal="center"/>
    </xf>
    <xf numFmtId="0" fontId="29" fillId="0" borderId="0" xfId="0" applyFont="1" applyAlignment="1">
      <alignment horizontal="center"/>
    </xf>
    <xf numFmtId="0" fontId="3" fillId="8" borderId="0" xfId="0" applyFont="1" applyFill="1"/>
    <xf numFmtId="0" fontId="2" fillId="2" borderId="0" xfId="11" applyFont="1" applyFill="1" applyAlignment="1">
      <alignment horizontal="center"/>
    </xf>
    <xf numFmtId="0" fontId="18" fillId="0" borderId="0" xfId="11" applyFont="1" applyAlignment="1">
      <alignment horizontal="left" vertical="center" wrapText="1"/>
    </xf>
    <xf numFmtId="0" fontId="2" fillId="2" borderId="0" xfId="11" applyFont="1" applyFill="1" applyAlignment="1">
      <alignment horizontal="left"/>
    </xf>
    <xf numFmtId="0" fontId="2" fillId="2" borderId="0" xfId="8" applyFont="1" applyFill="1" applyAlignment="1">
      <alignment horizontal="center"/>
    </xf>
  </cellXfs>
  <cellStyles count="14">
    <cellStyle name="Comma" xfId="1" builtinId="3"/>
    <cellStyle name="Comma 2" xfId="7" xr:uid="{C232409D-68BE-465C-8A3C-63E61320F7D5}"/>
    <cellStyle name="Comma 3" xfId="5" xr:uid="{D4AD67D4-D111-4411-BA29-659169479906}"/>
    <cellStyle name="Comma 4" xfId="13" xr:uid="{4E8F523F-0DE8-4559-867C-58F46A48E5F5}"/>
    <cellStyle name="Normal" xfId="0" builtinId="0"/>
    <cellStyle name="Normal 2" xfId="3" xr:uid="{59746900-B801-43CB-A701-64D7DD69622F}"/>
    <cellStyle name="Normal 2 2" xfId="4" xr:uid="{DD686CA4-C19A-4344-A5F3-40F72E747A84}"/>
    <cellStyle name="Normal 3" xfId="8" xr:uid="{6DC81F3E-E472-4546-A5AF-16AB7C59724B}"/>
    <cellStyle name="Normal 4" xfId="11" xr:uid="{09759DE1-B9B9-48D6-A5D8-DF2F602837C3}"/>
    <cellStyle name="Percent" xfId="2" builtinId="5"/>
    <cellStyle name="Percent 2" xfId="9" xr:uid="{D0B38D34-D9F3-4B6B-8B0A-328E20F00FFC}"/>
    <cellStyle name="Percent 3" xfId="6" xr:uid="{EBE8E0E4-27A0-4C36-85A2-DA668F40403C}"/>
    <cellStyle name="Percent 3 2" xfId="10" xr:uid="{E5047216-94F2-4B05-8860-B06F9445FF1F}"/>
    <cellStyle name="Percent 4" xfId="12" xr:uid="{1F04E9AA-13C2-4385-8122-3597031B19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Value Per</a:t>
            </a:r>
            <a:r>
              <a:rPr lang="en-US" b="1" baseline="0">
                <a:solidFill>
                  <a:schemeClr val="bg1"/>
                </a:solidFill>
              </a:rPr>
              <a:t> Share Summary</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'Compr Scenario Analysis-DCF'!$H$6:$H$10</c:f>
              <c:strCache>
                <c:ptCount val="5"/>
                <c:pt idx="0">
                  <c:v>WACC</c:v>
                </c:pt>
                <c:pt idx="1">
                  <c:v>Terminal Growth Rate</c:v>
                </c:pt>
                <c:pt idx="2">
                  <c:v>Expected Growth Rate of FCFF</c:v>
                </c:pt>
                <c:pt idx="3">
                  <c:v>Tax Rate</c:v>
                </c:pt>
                <c:pt idx="4">
                  <c:v>Reinvestment Rate</c:v>
                </c:pt>
              </c:strCache>
            </c:strRef>
          </c:cat>
          <c:val>
            <c:numRef>
              <c:f>'Compr Scenario Analysis-DCF'!$J$6:$J$10</c:f>
              <c:numCache>
                <c:formatCode>_(* #,##0.00_);_(* \(#,##0.00\);_(* "-"??_);_(@_)</c:formatCode>
                <c:ptCount val="5"/>
                <c:pt idx="0">
                  <c:v>3613.2510484759905</c:v>
                </c:pt>
                <c:pt idx="1">
                  <c:v>1664.8306726470396</c:v>
                </c:pt>
                <c:pt idx="2">
                  <c:v>1784.2204400149158</c:v>
                </c:pt>
                <c:pt idx="3">
                  <c:v>1565.98120441638</c:v>
                </c:pt>
                <c:pt idx="4">
                  <c:v>2091.6782828947935</c:v>
                </c:pt>
              </c:numCache>
            </c:numRef>
          </c:val>
          <c:extLst>
            <c:ext xmlns:c16="http://schemas.microsoft.com/office/drawing/2014/chart" uri="{C3380CC4-5D6E-409C-BE32-E72D297353CC}">
              <c16:uniqueId val="{00000000-A00B-4AE5-99E5-28E0854D7EDD}"/>
            </c:ext>
          </c:extLst>
        </c:ser>
        <c:ser>
          <c:idx val="1"/>
          <c:order val="1"/>
          <c:spPr>
            <a:solidFill>
              <a:schemeClr val="accent1">
                <a:lumMod val="40000"/>
                <a:lumOff val="60000"/>
              </a:schemeClr>
            </a:solidFill>
            <a:ln>
              <a:noFill/>
            </a:ln>
            <a:effectLst/>
          </c:spPr>
          <c:invertIfNegative val="0"/>
          <c:cat>
            <c:strRef>
              <c:f>'Compr Scenario Analysis-DCF'!$H$6:$H$10</c:f>
              <c:strCache>
                <c:ptCount val="5"/>
                <c:pt idx="0">
                  <c:v>WACC</c:v>
                </c:pt>
                <c:pt idx="1">
                  <c:v>Terminal Growth Rate</c:v>
                </c:pt>
                <c:pt idx="2">
                  <c:v>Expected Growth Rate of FCFF</c:v>
                </c:pt>
                <c:pt idx="3">
                  <c:v>Tax Rate</c:v>
                </c:pt>
                <c:pt idx="4">
                  <c:v>Reinvestment Rate</c:v>
                </c:pt>
              </c:strCache>
            </c:strRef>
          </c:cat>
          <c:val>
            <c:numRef>
              <c:f>'Compr Scenario Analysis-DCF'!$K$6:$K$10</c:f>
              <c:numCache>
                <c:formatCode>_(* #,##0.00_);_(* \(#,##0.00\);_(* "-"??_);_(@_)</c:formatCode>
                <c:ptCount val="5"/>
                <c:pt idx="0">
                  <c:v>671.44746370506869</c:v>
                </c:pt>
                <c:pt idx="1">
                  <c:v>1280.8012854732672</c:v>
                </c:pt>
                <c:pt idx="2">
                  <c:v>729.22270877625601</c:v>
                </c:pt>
                <c:pt idx="3">
                  <c:v>1118.1452084949804</c:v>
                </c:pt>
                <c:pt idx="4">
                  <c:v>877.1782523226118</c:v>
                </c:pt>
              </c:numCache>
            </c:numRef>
          </c:val>
          <c:extLst>
            <c:ext xmlns:c16="http://schemas.microsoft.com/office/drawing/2014/chart" uri="{C3380CC4-5D6E-409C-BE32-E72D297353CC}">
              <c16:uniqueId val="{00000001-A00B-4AE5-99E5-28E0854D7EDD}"/>
            </c:ext>
          </c:extLst>
        </c:ser>
        <c:dLbls>
          <c:showLegendKey val="0"/>
          <c:showVal val="0"/>
          <c:showCatName val="0"/>
          <c:showSerName val="0"/>
          <c:showPercent val="0"/>
          <c:showBubbleSize val="0"/>
        </c:dLbls>
        <c:gapWidth val="219"/>
        <c:overlap val="-27"/>
        <c:axId val="491519823"/>
        <c:axId val="491509263"/>
      </c:barChart>
      <c:catAx>
        <c:axId val="49151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09263"/>
        <c:crosses val="autoZero"/>
        <c:auto val="1"/>
        <c:lblAlgn val="ctr"/>
        <c:lblOffset val="100"/>
        <c:noMultiLvlLbl val="0"/>
      </c:catAx>
      <c:valAx>
        <c:axId val="49150926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1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r>
              <a:rPr lang="en-US" sz="1200" b="1">
                <a:solidFill>
                  <a:srgbClr val="002060"/>
                </a:solidFill>
              </a:rPr>
              <a:t>Football Field Analysis-Valuation Summary (PKR)</a:t>
            </a: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endParaRPr lang="en-US"/>
        </a:p>
      </c:txPr>
    </c:title>
    <c:autoTitleDeleted val="0"/>
    <c:plotArea>
      <c:layout>
        <c:manualLayout>
          <c:layoutTarget val="inner"/>
          <c:xMode val="edge"/>
          <c:yMode val="edge"/>
          <c:x val="0.10383149606299212"/>
          <c:y val="0.13065610859728508"/>
          <c:w val="0.87172405949256337"/>
          <c:h val="0.66508919133977029"/>
        </c:manualLayout>
      </c:layout>
      <c:stockChart>
        <c:ser>
          <c:idx val="0"/>
          <c:order val="0"/>
          <c:spPr>
            <a:ln w="19050" cap="rnd">
              <a:noFill/>
              <a:round/>
            </a:ln>
            <a:effectLst/>
          </c:spPr>
          <c:marker>
            <c:symbol val="none"/>
          </c:marker>
          <c:cat>
            <c:strRef>
              <c:f>'Football Field Analysis'!$O$4:$O$10</c:f>
              <c:strCache>
                <c:ptCount val="7"/>
                <c:pt idx="0">
                  <c:v>Comps (Relative Valuation)</c:v>
                </c:pt>
                <c:pt idx="1">
                  <c:v>DCF Bear</c:v>
                </c:pt>
                <c:pt idx="2">
                  <c:v>DCF Base</c:v>
                </c:pt>
                <c:pt idx="3">
                  <c:v>DCF Bull</c:v>
                </c:pt>
                <c:pt idx="4">
                  <c:v>52W H/L</c:v>
                </c:pt>
                <c:pt idx="5">
                  <c:v>Dividend Discounting Model Bear</c:v>
                </c:pt>
                <c:pt idx="6">
                  <c:v>Dividend Discounting Model Bull</c:v>
                </c:pt>
              </c:strCache>
            </c:strRef>
          </c:cat>
          <c:val>
            <c:numRef>
              <c:f>'Football Field Analysis'!$P$4:$P$10</c:f>
              <c:numCache>
                <c:formatCode>_(* #,##0.00_);_(* \(#,##0.00\);_(* "-"??_);_(@_)</c:formatCode>
                <c:ptCount val="7"/>
                <c:pt idx="0">
                  <c:v>471.57421122794386</c:v>
                </c:pt>
                <c:pt idx="1">
                  <c:v>651.09703779023801</c:v>
                </c:pt>
                <c:pt idx="2">
                  <c:v>1280.8012854732672</c:v>
                </c:pt>
                <c:pt idx="3">
                  <c:v>3264.8457917288915</c:v>
                </c:pt>
                <c:pt idx="4">
                  <c:v>700</c:v>
                </c:pt>
                <c:pt idx="5">
                  <c:v>63.866453930601907</c:v>
                </c:pt>
                <c:pt idx="6">
                  <c:v>265</c:v>
                </c:pt>
              </c:numCache>
            </c:numRef>
          </c:val>
          <c:smooth val="0"/>
          <c:extLst>
            <c:ext xmlns:c16="http://schemas.microsoft.com/office/drawing/2014/chart" uri="{C3380CC4-5D6E-409C-BE32-E72D297353CC}">
              <c16:uniqueId val="{00000000-672D-4235-A9A9-43511E3D20BF}"/>
            </c:ext>
          </c:extLst>
        </c:ser>
        <c:ser>
          <c:idx val="1"/>
          <c:order val="1"/>
          <c:spPr>
            <a:ln w="19050" cap="rnd">
              <a:noFill/>
              <a:round/>
            </a:ln>
            <a:effectLst/>
          </c:spPr>
          <c:marker>
            <c:symbol val="none"/>
          </c:marker>
          <c:dLbls>
            <c:dLbl>
              <c:idx val="5"/>
              <c:layout>
                <c:manualLayout>
                  <c:x val="-5.9727909011373738E-2"/>
                  <c:y val="2.825233667058586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3F0-4B82-8842-DFEFC7C116A6}"/>
                </c:ext>
              </c:extLst>
            </c:dLbl>
            <c:dLbl>
              <c:idx val="6"/>
              <c:layout>
                <c:manualLayout>
                  <c:x val="-3.6360454943132274E-2"/>
                  <c:y val="2.44815976057291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F0-4B82-8842-DFEFC7C116A6}"/>
                </c:ext>
              </c:extLst>
            </c:dLbl>
            <c:numFmt formatCode="[$PK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Analysis'!$O$4:$O$10</c:f>
              <c:strCache>
                <c:ptCount val="7"/>
                <c:pt idx="0">
                  <c:v>Comps (Relative Valuation)</c:v>
                </c:pt>
                <c:pt idx="1">
                  <c:v>DCF Bear</c:v>
                </c:pt>
                <c:pt idx="2">
                  <c:v>DCF Base</c:v>
                </c:pt>
                <c:pt idx="3">
                  <c:v>DCF Bull</c:v>
                </c:pt>
                <c:pt idx="4">
                  <c:v>52W H/L</c:v>
                </c:pt>
                <c:pt idx="5">
                  <c:v>Dividend Discounting Model Bear</c:v>
                </c:pt>
                <c:pt idx="6">
                  <c:v>Dividend Discounting Model Bull</c:v>
                </c:pt>
              </c:strCache>
            </c:strRef>
          </c:cat>
          <c:val>
            <c:numRef>
              <c:f>'Football Field Analysis'!$Q$4:$Q$10</c:f>
              <c:numCache>
                <c:formatCode>_(* #,##0.00_);_(* \(#,##0.00\);_(* "-"??_);_(@_)</c:formatCode>
                <c:ptCount val="7"/>
                <c:pt idx="0">
                  <c:v>471.57421122794386</c:v>
                </c:pt>
                <c:pt idx="1">
                  <c:v>651.09703779023801</c:v>
                </c:pt>
                <c:pt idx="2">
                  <c:v>1280.8012854732672</c:v>
                </c:pt>
                <c:pt idx="3">
                  <c:v>3264.8457917288915</c:v>
                </c:pt>
                <c:pt idx="4">
                  <c:v>700</c:v>
                </c:pt>
                <c:pt idx="5">
                  <c:v>63.866453930601907</c:v>
                </c:pt>
                <c:pt idx="6">
                  <c:v>265</c:v>
                </c:pt>
              </c:numCache>
            </c:numRef>
          </c:val>
          <c:smooth val="0"/>
          <c:extLst>
            <c:ext xmlns:c16="http://schemas.microsoft.com/office/drawing/2014/chart" uri="{C3380CC4-5D6E-409C-BE32-E72D297353CC}">
              <c16:uniqueId val="{00000001-672D-4235-A9A9-43511E3D20BF}"/>
            </c:ext>
          </c:extLst>
        </c:ser>
        <c:ser>
          <c:idx val="2"/>
          <c:order val="2"/>
          <c:spPr>
            <a:ln w="19050" cap="rnd">
              <a:noFill/>
              <a:round/>
            </a:ln>
            <a:effectLst/>
          </c:spPr>
          <c:marker>
            <c:symbol val="none"/>
          </c:marker>
          <c:cat>
            <c:strRef>
              <c:f>'Football Field Analysis'!$O$4:$O$10</c:f>
              <c:strCache>
                <c:ptCount val="7"/>
                <c:pt idx="0">
                  <c:v>Comps (Relative Valuation)</c:v>
                </c:pt>
                <c:pt idx="1">
                  <c:v>DCF Bear</c:v>
                </c:pt>
                <c:pt idx="2">
                  <c:v>DCF Base</c:v>
                </c:pt>
                <c:pt idx="3">
                  <c:v>DCF Bull</c:v>
                </c:pt>
                <c:pt idx="4">
                  <c:v>52W H/L</c:v>
                </c:pt>
                <c:pt idx="5">
                  <c:v>Dividend Discounting Model Bear</c:v>
                </c:pt>
                <c:pt idx="6">
                  <c:v>Dividend Discounting Model Bull</c:v>
                </c:pt>
              </c:strCache>
            </c:strRef>
          </c:cat>
          <c:val>
            <c:numRef>
              <c:f>'Football Field Analysis'!$R$4:$R$10</c:f>
              <c:numCache>
                <c:formatCode>_(* #,##0.00_);_(* \(#,##0.00\);_(* "-"??_);_(@_)</c:formatCode>
                <c:ptCount val="7"/>
                <c:pt idx="0">
                  <c:v>2829.1148592921959</c:v>
                </c:pt>
                <c:pt idx="1">
                  <c:v>767.92355693093293</c:v>
                </c:pt>
                <c:pt idx="2">
                  <c:v>1664.8306726470396</c:v>
                </c:pt>
                <c:pt idx="3">
                  <c:v>6400.4931024527887</c:v>
                </c:pt>
                <c:pt idx="4">
                  <c:v>1990</c:v>
                </c:pt>
                <c:pt idx="5">
                  <c:v>547.67530973914245</c:v>
                </c:pt>
                <c:pt idx="6">
                  <c:v>1089.9999999999991</c:v>
                </c:pt>
              </c:numCache>
            </c:numRef>
          </c:val>
          <c:smooth val="0"/>
          <c:extLst>
            <c:ext xmlns:c16="http://schemas.microsoft.com/office/drawing/2014/chart" uri="{C3380CC4-5D6E-409C-BE32-E72D297353CC}">
              <c16:uniqueId val="{00000002-672D-4235-A9A9-43511E3D20BF}"/>
            </c:ext>
          </c:extLst>
        </c:ser>
        <c:ser>
          <c:idx val="3"/>
          <c:order val="3"/>
          <c:spPr>
            <a:ln w="19050" cap="rnd">
              <a:noFill/>
              <a:round/>
            </a:ln>
            <a:effectLst/>
          </c:spPr>
          <c:marker>
            <c:symbol val="none"/>
          </c:marker>
          <c:dLbls>
            <c:dLbl>
              <c:idx val="6"/>
              <c:layout>
                <c:manualLayout>
                  <c:x val="-2.8799300087489065E-2"/>
                  <c:y val="-6.97304663840096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3F0-4B82-8842-DFEFC7C116A6}"/>
                </c:ext>
              </c:extLst>
            </c:dLbl>
            <c:numFmt formatCode="[$PKR]\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'Football Field Analysis'!$O$4:$O$10</c:f>
              <c:strCache>
                <c:ptCount val="7"/>
                <c:pt idx="0">
                  <c:v>Comps (Relative Valuation)</c:v>
                </c:pt>
                <c:pt idx="1">
                  <c:v>DCF Bear</c:v>
                </c:pt>
                <c:pt idx="2">
                  <c:v>DCF Base</c:v>
                </c:pt>
                <c:pt idx="3">
                  <c:v>DCF Bull</c:v>
                </c:pt>
                <c:pt idx="4">
                  <c:v>52W H/L</c:v>
                </c:pt>
                <c:pt idx="5">
                  <c:v>Dividend Discounting Model Bear</c:v>
                </c:pt>
                <c:pt idx="6">
                  <c:v>Dividend Discounting Model Bull</c:v>
                </c:pt>
              </c:strCache>
            </c:strRef>
          </c:cat>
          <c:val>
            <c:numRef>
              <c:f>'Football Field Analysis'!$S$4:$S$10</c:f>
              <c:numCache>
                <c:formatCode>_(* #,##0.00_);_(* \(#,##0.00\);_(* "-"??_);_(@_)</c:formatCode>
                <c:ptCount val="7"/>
                <c:pt idx="0">
                  <c:v>2829.1148592921959</c:v>
                </c:pt>
                <c:pt idx="1">
                  <c:v>767.92355693093293</c:v>
                </c:pt>
                <c:pt idx="2">
                  <c:v>1664.8306726470396</c:v>
                </c:pt>
                <c:pt idx="3">
                  <c:v>6400.4931024527887</c:v>
                </c:pt>
                <c:pt idx="4">
                  <c:v>1990</c:v>
                </c:pt>
                <c:pt idx="5">
                  <c:v>547.67530973914245</c:v>
                </c:pt>
                <c:pt idx="6">
                  <c:v>1089.9999999999991</c:v>
                </c:pt>
              </c:numCache>
            </c:numRef>
          </c:val>
          <c:smooth val="0"/>
          <c:extLst>
            <c:ext xmlns:c16="http://schemas.microsoft.com/office/drawing/2014/chart" uri="{C3380CC4-5D6E-409C-BE32-E72D297353CC}">
              <c16:uniqueId val="{00000003-672D-4235-A9A9-43511E3D20B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70358879"/>
        <c:axId val="870370399"/>
      </c:stockChart>
      <c:catAx>
        <c:axId val="8703588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870370399"/>
        <c:crosses val="autoZero"/>
        <c:auto val="0"/>
        <c:lblAlgn val="ctr"/>
        <c:lblOffset val="500"/>
        <c:noMultiLvlLbl val="0"/>
      </c:catAx>
      <c:valAx>
        <c:axId val="870370399"/>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5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365760</xdr:colOff>
      <xdr:row>11</xdr:row>
      <xdr:rowOff>137160</xdr:rowOff>
    </xdr:from>
    <xdr:to>
      <xdr:col>10</xdr:col>
      <xdr:colOff>800100</xdr:colOff>
      <xdr:row>26</xdr:row>
      <xdr:rowOff>137160</xdr:rowOff>
    </xdr:to>
    <xdr:graphicFrame macro="">
      <xdr:nvGraphicFramePr>
        <xdr:cNvPr id="2" name="Chart 1">
          <a:extLst>
            <a:ext uri="{FF2B5EF4-FFF2-40B4-BE49-F238E27FC236}">
              <a16:creationId xmlns:a16="http://schemas.microsoft.com/office/drawing/2014/main" id="{4EF35633-8572-4E0A-56D1-D4A4529FD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236220</xdr:colOff>
      <xdr:row>3</xdr:row>
      <xdr:rowOff>53340</xdr:rowOff>
    </xdr:from>
    <xdr:to>
      <xdr:col>11</xdr:col>
      <xdr:colOff>45720</xdr:colOff>
      <xdr:row>20</xdr:row>
      <xdr:rowOff>83820</xdr:rowOff>
    </xdr:to>
    <xdr:graphicFrame macro="">
      <xdr:nvGraphicFramePr>
        <xdr:cNvPr id="2" name="Chart 1">
          <a:extLst>
            <a:ext uri="{FF2B5EF4-FFF2-40B4-BE49-F238E27FC236}">
              <a16:creationId xmlns:a16="http://schemas.microsoft.com/office/drawing/2014/main" id="{532BC748-F375-4C14-83EE-9DD83F819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Upwork%20and%20Assirience%20work\Financial%20Modelling%20Whole\DCF_Discounted%20Cash%20Flow%20Model%20for%20Valuati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aleed%20Ghani\Desktop\Upwork%20and%20Assirience%20work\Financial%20Modelling%20Whole\IIL%20Data\IIL%20Financial%20Model.xlsx" TargetMode="External"/><Relationship Id="rId1" Type="http://schemas.openxmlformats.org/officeDocument/2006/relationships/externalLinkPath" Target="/Waleed%20Ghani/Desktop/Upwork%20and%20Assirience%20work/Financial%20Modelling%20Whole/IIL%20Data/IIL%20Financial%20Mode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D:\Waleed%20Ghani\Desktop\Upwork%20and%20Assirience%20work\Financial%20Modelling%20Whole\IIL%20Data\ISIL%20Financial%20Model.xlsx" TargetMode="External"/><Relationship Id="rId1" Type="http://schemas.openxmlformats.org/officeDocument/2006/relationships/externalLinkPath" Target="ISIL%20Financial%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 formulas"/>
      <sheetName val="Integrated FS"/>
      <sheetName val="WACC, Ke, Kd calc"/>
      <sheetName val="Goal Seek, data table, scen ana"/>
      <sheetName val="Scenario manager"/>
      <sheetName val="Scenario Summary "/>
      <sheetName val="Free Cashflows to Firm"/>
      <sheetName val="WACC"/>
      <sheetName val="PV of CF"/>
      <sheetName val="FV Perpetuity"/>
      <sheetName val="FV EBITDA"/>
      <sheetName val="NPV Formula"/>
      <sheetName val="DCF"/>
    </sheetNames>
    <sheetDataSet>
      <sheetData sheetId="0" refreshError="1"/>
      <sheetData sheetId="1"/>
      <sheetData sheetId="2">
        <row r="3">
          <cell r="C3">
            <v>0.04</v>
          </cell>
        </row>
        <row r="4">
          <cell r="C4">
            <v>0.1</v>
          </cell>
        </row>
        <row r="5">
          <cell r="C5">
            <v>1.25</v>
          </cell>
        </row>
        <row r="8">
          <cell r="C8">
            <v>0.14000000000000001</v>
          </cell>
        </row>
        <row r="9">
          <cell r="C9">
            <v>0.3</v>
          </cell>
        </row>
        <row r="12">
          <cell r="C12">
            <v>125000</v>
          </cell>
        </row>
        <row r="13">
          <cell r="C13">
            <v>125000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S"/>
      <sheetName val="Pnl"/>
      <sheetName val="Ratio Analysis-Profitability"/>
      <sheetName val="Ratio Analysis-Liquidity"/>
      <sheetName val="Ratio Analysis-Solvency"/>
      <sheetName val="Ratio Analysis-Investment"/>
      <sheetName val="Ratio Analysis-Activity"/>
      <sheetName val="Common Size Statement"/>
      <sheetName val="Forecasting-Sales"/>
      <sheetName val="Forecasting-Sales-other methods"/>
      <sheetName val="Forecasting-Net Profit (PAT)"/>
      <sheetName val="Forecasting-EPS"/>
      <sheetName val="Forecasting-EBITDA Margin"/>
      <sheetName val="Forecasting-Inevstment Ratios"/>
      <sheetName val="Forecasting-Solvency Ratios"/>
      <sheetName val="Forecasting-Liquidity Ratios"/>
      <sheetName val="Forecasting-Activity Ratio"/>
      <sheetName val="Scenario Analsis-EPS &amp;Mkt price"/>
      <sheetName val="Scenario Analysis-Div Payout"/>
      <sheetName val="Scen Analsis-EPS &amp;Div Per share"/>
      <sheetName val="Scenario Analysis-Gross Profit"/>
      <sheetName val="Scenario Analysis-Oper. Profit"/>
      <sheetName val="Scenario Analysis-PAT"/>
      <sheetName val="What if Analysis-Sales Growth"/>
      <sheetName val="Sensitiv Analysis-Finance Costs"/>
      <sheetName val="Sensitivity Analysis-AR days"/>
      <sheetName val="Sensitivity Analysis-Inv days"/>
      <sheetName val="Raw Data for Dupont"/>
      <sheetName val="DuPont Analysis &amp; Summary"/>
      <sheetName val="One Page co. Profie"/>
      <sheetName val="Key Brands"/>
      <sheetName val="SWOT Analysis-IIL"/>
      <sheetName val="BCG Matrix Analysis-IIL"/>
      <sheetName val="MOAT Analysis-IIL"/>
      <sheetName val="Altman Z Score Modelling"/>
    </sheetNames>
    <sheetDataSet>
      <sheetData sheetId="0">
        <row r="2">
          <cell r="B2" t="str">
            <v>Ismail Industries Limited</v>
          </cell>
        </row>
        <row r="20">
          <cell r="C20">
            <v>24208886</v>
          </cell>
          <cell r="D20">
            <v>17715733</v>
          </cell>
          <cell r="E20">
            <v>12579581</v>
          </cell>
          <cell r="F20">
            <v>11274737</v>
          </cell>
          <cell r="G20">
            <v>9899785</v>
          </cell>
          <cell r="H20">
            <v>7374246.6600000001</v>
          </cell>
        </row>
        <row r="28">
          <cell r="C28">
            <v>47403891</v>
          </cell>
          <cell r="D28">
            <v>43382149</v>
          </cell>
          <cell r="E28">
            <v>34630284</v>
          </cell>
          <cell r="F28">
            <v>26476176</v>
          </cell>
          <cell r="G28">
            <v>25573989</v>
          </cell>
          <cell r="H28">
            <v>16197764.657000002</v>
          </cell>
        </row>
      </sheetData>
      <sheetData sheetId="1">
        <row r="9">
          <cell r="C9">
            <v>108887024</v>
          </cell>
          <cell r="D9">
            <v>88905796</v>
          </cell>
          <cell r="E9">
            <v>55260699</v>
          </cell>
          <cell r="F9">
            <v>37307760</v>
          </cell>
          <cell r="G9">
            <v>33218273</v>
          </cell>
          <cell r="H9">
            <v>30090888.452</v>
          </cell>
        </row>
        <row r="11">
          <cell r="C11">
            <v>24021710</v>
          </cell>
          <cell r="D11">
            <v>18432101</v>
          </cell>
          <cell r="E11">
            <v>9845497</v>
          </cell>
          <cell r="F11">
            <v>7193780</v>
          </cell>
          <cell r="G11">
            <v>6877624</v>
          </cell>
          <cell r="H11">
            <v>6354018.1389999986</v>
          </cell>
        </row>
        <row r="12">
          <cell r="C12">
            <v>13980121</v>
          </cell>
          <cell r="D12">
            <v>10330279</v>
          </cell>
          <cell r="E12">
            <v>4244301</v>
          </cell>
          <cell r="F12">
            <v>2306392</v>
          </cell>
          <cell r="G12">
            <v>1814674</v>
          </cell>
          <cell r="H12">
            <v>2223446.0840000003</v>
          </cell>
        </row>
        <row r="14">
          <cell r="C14">
            <v>7384155</v>
          </cell>
          <cell r="D14">
            <v>4399444</v>
          </cell>
          <cell r="E14">
            <v>1413990</v>
          </cell>
          <cell r="F14">
            <v>693704</v>
          </cell>
          <cell r="G14">
            <v>1155786</v>
          </cell>
        </row>
        <row r="15">
          <cell r="C15">
            <v>7676461</v>
          </cell>
          <cell r="D15">
            <v>7531482</v>
          </cell>
          <cell r="E15">
            <v>3386959</v>
          </cell>
          <cell r="F15">
            <v>2213246</v>
          </cell>
          <cell r="G15">
            <v>1322703</v>
          </cell>
          <cell r="H15">
            <v>1403540.2550000001</v>
          </cell>
        </row>
        <row r="17">
          <cell r="C17">
            <v>6132050</v>
          </cell>
          <cell r="D17">
            <v>6381685</v>
          </cell>
          <cell r="E17">
            <v>2551021</v>
          </cell>
          <cell r="F17">
            <v>1776666</v>
          </cell>
          <cell r="G17">
            <v>931965</v>
          </cell>
          <cell r="H17">
            <v>966597.84200000018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 of Contents"/>
      <sheetName val="BS"/>
      <sheetName val="Pnl"/>
      <sheetName val="Ratio Analysis-Profitability"/>
      <sheetName val="Ratio Analysis-Liquidity"/>
      <sheetName val="Ratio Analysis-Solvency"/>
      <sheetName val="Ratio Analysis-Investment"/>
      <sheetName val="Ratio Analysis-Activity"/>
      <sheetName val="Common Size Statement"/>
      <sheetName val="Forecasting-Sales"/>
      <sheetName val="Forecasting-Sales-other methods"/>
      <sheetName val="Forecasting-Profitability"/>
      <sheetName val="Forecasting-EPS"/>
      <sheetName val="Forecasting-Inevstment Ratios"/>
      <sheetName val="Forecasting-Solvency Ratios"/>
      <sheetName val="Forecasting-Liquidity Ratios"/>
      <sheetName val="Forecasting-Activity Ratio"/>
      <sheetName val="Scenario Analsis-PE Ratio"/>
      <sheetName val="Scen Analysis-Div Payout policy"/>
      <sheetName val="Scen Analysis-div cover ratio"/>
      <sheetName val="Scenario Analysis-Gross Profit"/>
      <sheetName val="Scenario Analysis-PAT"/>
      <sheetName val="What if Analysis-Sales Growth"/>
      <sheetName val="Sensit Analysis-Int Cover Ratio"/>
      <sheetName val="Sensitivity Analysis-AR days"/>
      <sheetName val="Sensitivity Analysis-Inv days"/>
      <sheetName val="Raw Data for Dupont"/>
      <sheetName val="DuPont Analysis &amp; Summary"/>
      <sheetName val="One Page co. Profie"/>
      <sheetName val="Key Brands"/>
      <sheetName val="SWOT Analysis-IIL"/>
      <sheetName val="BCG Matrix Analysis-IIL"/>
      <sheetName val="MOAT Analysis-IIL"/>
      <sheetName val="Altman Z Score Modelling"/>
      <sheetName val="ESG Metric Analysis"/>
    </sheetNames>
    <sheetDataSet>
      <sheetData sheetId="0"/>
      <sheetData sheetId="1"/>
      <sheetData sheetId="2">
        <row r="38">
          <cell r="C38">
            <v>0.10821330550142286</v>
          </cell>
          <cell r="D38">
            <v>0.12477633728396184</v>
          </cell>
          <cell r="E38">
            <v>0.1040476577809434</v>
          </cell>
          <cell r="F38">
            <v>0.56023703948857018</v>
          </cell>
          <cell r="G38">
            <v>0.2070984371730698</v>
          </cell>
          <cell r="H38">
            <v>0.23103364739355578</v>
          </cell>
        </row>
        <row r="40">
          <cell r="C40">
            <v>0.89178669449857717</v>
          </cell>
        </row>
      </sheetData>
      <sheetData sheetId="3">
        <row r="11">
          <cell r="C11">
            <v>0.25329748754238424</v>
          </cell>
        </row>
      </sheetData>
      <sheetData sheetId="4"/>
      <sheetData sheetId="5"/>
      <sheetData sheetId="6"/>
      <sheetData sheetId="7"/>
      <sheetData sheetId="8"/>
      <sheetData sheetId="9"/>
      <sheetData sheetId="10"/>
      <sheetData sheetId="11"/>
      <sheetData sheetId="12">
        <row r="4">
          <cell r="C4">
            <v>2019</v>
          </cell>
        </row>
        <row r="10">
          <cell r="D10">
            <v>129.91481993596045</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626FE-49D2-46BE-80B6-3C8BB6E18AE4}">
  <sheetPr>
    <tabColor rgb="FF002060"/>
    <pageSetUpPr autoPageBreaks="0"/>
  </sheetPr>
  <dimension ref="B2:S48"/>
  <sheetViews>
    <sheetView showGridLines="0" topLeftCell="C15" zoomScaleNormal="100" workbookViewId="0">
      <selection activeCell="L39" sqref="L39"/>
    </sheetView>
  </sheetViews>
  <sheetFormatPr defaultRowHeight="14.4" x14ac:dyDescent="0.3"/>
  <cols>
    <col min="1" max="1" width="1.88671875" customWidth="1"/>
    <col min="2" max="2" width="33.6640625" customWidth="1"/>
    <col min="3" max="3" width="14.5546875" bestFit="1" customWidth="1"/>
    <col min="4" max="4" width="9.6640625" bestFit="1" customWidth="1"/>
    <col min="5" max="5" width="11.109375" bestFit="1" customWidth="1"/>
    <col min="6" max="6" width="18.33203125" customWidth="1"/>
    <col min="7" max="7" width="16.109375" bestFit="1" customWidth="1"/>
    <col min="8" max="8" width="11" bestFit="1" customWidth="1"/>
    <col min="10" max="10" width="11" bestFit="1" customWidth="1"/>
    <col min="11" max="11" width="11.77734375" customWidth="1"/>
    <col min="12" max="12" width="14.109375" customWidth="1"/>
    <col min="13" max="13" width="11.44140625" bestFit="1" customWidth="1"/>
  </cols>
  <sheetData>
    <row r="2" spans="2:12" ht="18" x14ac:dyDescent="0.35">
      <c r="B2" s="412" t="s">
        <v>302</v>
      </c>
      <c r="C2" s="412"/>
      <c r="D2" s="412"/>
      <c r="E2" s="412"/>
    </row>
    <row r="4" spans="2:12" ht="18" x14ac:dyDescent="0.35">
      <c r="B4" s="412" t="s">
        <v>0</v>
      </c>
      <c r="C4" s="412"/>
      <c r="D4" s="412"/>
      <c r="E4" s="412"/>
    </row>
    <row r="6" spans="2:12" x14ac:dyDescent="0.3">
      <c r="B6" s="1" t="s">
        <v>1</v>
      </c>
    </row>
    <row r="7" spans="2:12" x14ac:dyDescent="0.3">
      <c r="G7" s="2"/>
    </row>
    <row r="8" spans="2:12" ht="15" thickBot="1" x14ac:dyDescent="0.35">
      <c r="B8" t="s">
        <v>2</v>
      </c>
    </row>
    <row r="9" spans="2:12" ht="15" thickBot="1" x14ac:dyDescent="0.35">
      <c r="B9" s="3"/>
      <c r="C9" s="3"/>
      <c r="D9" s="3"/>
      <c r="E9" s="3"/>
      <c r="F9" s="413" t="s">
        <v>3</v>
      </c>
      <c r="G9" s="414"/>
      <c r="H9" s="3"/>
      <c r="I9" s="4" t="s">
        <v>4</v>
      </c>
      <c r="J9" s="4" t="s">
        <v>4</v>
      </c>
      <c r="K9" s="4" t="s">
        <v>5</v>
      </c>
      <c r="L9" s="4" t="s">
        <v>6</v>
      </c>
    </row>
    <row r="10" spans="2:12" ht="16.2" x14ac:dyDescent="0.3">
      <c r="B10" s="5" t="s">
        <v>7</v>
      </c>
      <c r="C10" s="5"/>
      <c r="D10" s="5"/>
      <c r="E10" s="6" t="s">
        <v>8</v>
      </c>
      <c r="F10" s="6" t="s">
        <v>9</v>
      </c>
      <c r="G10" s="6" t="s">
        <v>10</v>
      </c>
      <c r="H10" s="6" t="s">
        <v>11</v>
      </c>
      <c r="I10" s="6" t="s">
        <v>12</v>
      </c>
      <c r="J10" s="6" t="s">
        <v>13</v>
      </c>
      <c r="K10" s="6" t="s">
        <v>14</v>
      </c>
      <c r="L10" s="6" t="s">
        <v>15</v>
      </c>
    </row>
    <row r="11" spans="2:12" x14ac:dyDescent="0.3">
      <c r="E11" s="7"/>
      <c r="F11" s="7"/>
      <c r="G11" s="7"/>
      <c r="H11" s="7"/>
      <c r="I11" s="7"/>
      <c r="J11" s="7"/>
      <c r="K11" s="7"/>
      <c r="L11" s="7"/>
    </row>
    <row r="12" spans="2:12" x14ac:dyDescent="0.3">
      <c r="B12" s="296" t="s">
        <v>19</v>
      </c>
      <c r="E12" s="8" t="s">
        <v>17</v>
      </c>
      <c r="F12" s="9">
        <f>'Data-competitors'!D8</f>
        <v>60.223999999999997</v>
      </c>
      <c r="G12" s="10">
        <f>'Data-competitors'!E8</f>
        <v>24.209002420200001</v>
      </c>
      <c r="H12" s="11">
        <v>0.3</v>
      </c>
      <c r="I12" s="12">
        <f>F12/G12</f>
        <v>2.4876696261449034</v>
      </c>
      <c r="J12" s="12">
        <f>F12/(F12+G12)</f>
        <v>0.71327559453922529</v>
      </c>
      <c r="K12" s="10">
        <f>'Beta-Ismail Industries Ltd'!K12</f>
        <v>0.81280668632744701</v>
      </c>
      <c r="L12" s="13">
        <f>K12/(1+(1-H12)*I12)</f>
        <v>0.29649666422878479</v>
      </c>
    </row>
    <row r="13" spans="2:12" x14ac:dyDescent="0.3">
      <c r="B13" t="s">
        <v>16</v>
      </c>
      <c r="E13" s="8" t="s">
        <v>17</v>
      </c>
      <c r="F13" s="9">
        <f>'Data-competitors'!D6</f>
        <v>7.2380000000000004</v>
      </c>
      <c r="G13" s="10">
        <f>'Data-competitors'!E6</f>
        <v>15.431658000000001</v>
      </c>
      <c r="H13" s="11">
        <v>0.3</v>
      </c>
      <c r="I13" s="12">
        <f>F13/G13</f>
        <v>0.46903579641280285</v>
      </c>
      <c r="J13" s="12">
        <f>F13/(F13+G13)</f>
        <v>0.319281393658431</v>
      </c>
      <c r="K13" s="10">
        <f>'Beta-FCEPL'!K12</f>
        <v>1.0709048047806087</v>
      </c>
      <c r="L13" s="13">
        <f>K13/(1+(1-H13)*I13)</f>
        <v>0.80620688343034408</v>
      </c>
    </row>
    <row r="14" spans="2:12" x14ac:dyDescent="0.3">
      <c r="B14" t="s">
        <v>18</v>
      </c>
      <c r="E14" s="8" t="s">
        <v>17</v>
      </c>
      <c r="F14" s="9">
        <f>'Data-competitors'!D7</f>
        <v>0.62704000000000004</v>
      </c>
      <c r="G14" s="9">
        <f>'Data-competitors'!E7</f>
        <v>14.529141900000001</v>
      </c>
      <c r="H14" s="11">
        <v>0.3</v>
      </c>
      <c r="I14" s="12">
        <f>F14/G14</f>
        <v>4.315740078221688E-2</v>
      </c>
      <c r="J14" s="12">
        <f>F14/(F14+G14)</f>
        <v>4.1371897232244229E-2</v>
      </c>
      <c r="K14" s="10">
        <f>'Beta-UFPL'!K12</f>
        <v>0.52045593678388014</v>
      </c>
      <c r="L14" s="13">
        <f>K14/(1+(1-H14)*I14)</f>
        <v>0.50519393674333546</v>
      </c>
    </row>
    <row r="15" spans="2:12" x14ac:dyDescent="0.3">
      <c r="B15" t="s">
        <v>20</v>
      </c>
      <c r="E15" s="8" t="s">
        <v>17</v>
      </c>
      <c r="F15" s="9">
        <f>'Data-competitors'!D9</f>
        <v>16.904</v>
      </c>
      <c r="G15" s="10">
        <f>'Data-competitors'!E9</f>
        <v>14.056020999999999</v>
      </c>
      <c r="H15" s="11">
        <v>0.3</v>
      </c>
      <c r="I15" s="12">
        <f t="shared" ref="I15:I16" si="0">F15/G15</f>
        <v>1.2026163022949383</v>
      </c>
      <c r="J15" s="12">
        <f t="shared" ref="J15:J16" si="1">F15/(F15+G15)</f>
        <v>0.54599446169626309</v>
      </c>
      <c r="K15" s="10">
        <f>'Beta-National Foods Ltd'!K12</f>
        <v>0.96119805115834767</v>
      </c>
      <c r="L15" s="13">
        <f t="shared" ref="L15:L16" si="2">K15/(1+(1-H15)*I15)</f>
        <v>0.52187081027138349</v>
      </c>
    </row>
    <row r="16" spans="2:12" x14ac:dyDescent="0.3">
      <c r="B16" t="s">
        <v>21</v>
      </c>
      <c r="E16" s="8" t="s">
        <v>17</v>
      </c>
      <c r="F16" s="9">
        <f>'Data-competitors'!D10</f>
        <v>21.22</v>
      </c>
      <c r="G16" s="10">
        <f>'Data-competitors'!E10</f>
        <v>19.796182000000002</v>
      </c>
      <c r="H16" s="11">
        <v>0.3</v>
      </c>
      <c r="I16" s="12">
        <f t="shared" si="0"/>
        <v>1.071923868956145</v>
      </c>
      <c r="J16" s="12">
        <f t="shared" si="1"/>
        <v>0.51735678372014238</v>
      </c>
      <c r="K16" s="10">
        <f>'Beta-Nestle Pak Ltd'!K12</f>
        <v>0.48433410410547628</v>
      </c>
      <c r="L16" s="13">
        <f t="shared" si="2"/>
        <v>0.27670752418209399</v>
      </c>
    </row>
    <row r="18" spans="2:19" x14ac:dyDescent="0.3">
      <c r="J18" s="14"/>
    </row>
    <row r="19" spans="2:19" x14ac:dyDescent="0.3">
      <c r="G19" s="15" t="s">
        <v>22</v>
      </c>
      <c r="H19" s="16">
        <f>AVERAGE(H14:H17)</f>
        <v>0.3</v>
      </c>
      <c r="I19" s="17">
        <f>AVERAGE(I14:I17)</f>
        <v>0.77256585734443339</v>
      </c>
      <c r="J19" s="17">
        <f>AVERAGE(J14:J17)</f>
        <v>0.36824104754954989</v>
      </c>
      <c r="K19" s="18">
        <f>AVERAGE(K14:K17)</f>
        <v>0.65532936401590136</v>
      </c>
      <c r="L19" s="19">
        <f>AVERAGE(L14:L17)</f>
        <v>0.43459075706560429</v>
      </c>
    </row>
    <row r="20" spans="2:19" x14ac:dyDescent="0.3">
      <c r="B20" t="s">
        <v>23</v>
      </c>
      <c r="G20" s="20" t="s">
        <v>24</v>
      </c>
      <c r="H20" s="21">
        <f>MEDIAN(H14:H17)</f>
        <v>0.3</v>
      </c>
      <c r="I20" s="22">
        <f>MEDIAN(I14:I17)</f>
        <v>1.071923868956145</v>
      </c>
      <c r="J20" s="22">
        <f>MEDIAN(J14:J17)</f>
        <v>0.51735678372014238</v>
      </c>
      <c r="K20" s="23">
        <f>MEDIAN(K14:K17)</f>
        <v>0.52045593678388014</v>
      </c>
      <c r="L20" s="24">
        <f>MEDIAN(L14:L17)</f>
        <v>0.50519393674333546</v>
      </c>
    </row>
    <row r="23" spans="2:19" x14ac:dyDescent="0.3">
      <c r="B23" s="20" t="s">
        <v>25</v>
      </c>
      <c r="C23" s="5"/>
      <c r="D23" s="5"/>
      <c r="E23" s="5"/>
      <c r="G23" s="20" t="s">
        <v>26</v>
      </c>
      <c r="H23" s="5"/>
      <c r="I23" s="5"/>
      <c r="J23" s="5"/>
      <c r="K23" s="5"/>
      <c r="L23" s="5"/>
    </row>
    <row r="25" spans="2:19" ht="16.2" x14ac:dyDescent="0.3">
      <c r="B25" t="s">
        <v>27</v>
      </c>
      <c r="E25" s="25">
        <f>C43/C36</f>
        <v>0.12261150039851222</v>
      </c>
      <c r="G25" t="s">
        <v>28</v>
      </c>
      <c r="L25" s="25">
        <v>0.13591</v>
      </c>
      <c r="M25" s="415" t="s">
        <v>29</v>
      </c>
      <c r="N25" s="415"/>
      <c r="O25" s="415"/>
      <c r="P25" s="415"/>
      <c r="Q25" s="415"/>
      <c r="R25" s="27"/>
      <c r="S25" s="27"/>
    </row>
    <row r="26" spans="2:19" x14ac:dyDescent="0.3">
      <c r="B26" s="28" t="s">
        <v>30</v>
      </c>
      <c r="C26" s="28"/>
      <c r="D26" s="28"/>
      <c r="E26" s="29">
        <f>H20</f>
        <v>0.3</v>
      </c>
      <c r="G26" t="s">
        <v>31</v>
      </c>
      <c r="L26" s="25">
        <f>'Rm (KSE-100 Returns)'!C17</f>
        <v>0.15005454545454547</v>
      </c>
      <c r="M26" s="415" t="s">
        <v>32</v>
      </c>
      <c r="N26" s="415"/>
      <c r="O26" s="415"/>
      <c r="P26" s="415"/>
      <c r="Q26" s="415"/>
      <c r="R26" s="415"/>
      <c r="S26" s="415"/>
    </row>
    <row r="27" spans="2:19" x14ac:dyDescent="0.3">
      <c r="B27" t="s">
        <v>33</v>
      </c>
      <c r="E27" s="30">
        <f>E25*(1-E26)</f>
        <v>8.5828050278958554E-2</v>
      </c>
      <c r="G27" t="s">
        <v>34</v>
      </c>
      <c r="L27" s="25">
        <f>L26-L25</f>
        <v>1.4144545454545465E-2</v>
      </c>
    </row>
    <row r="28" spans="2:19" ht="16.2" x14ac:dyDescent="0.3">
      <c r="G28" s="28" t="s">
        <v>35</v>
      </c>
      <c r="H28" s="28"/>
      <c r="I28" s="28"/>
      <c r="J28" s="28"/>
      <c r="K28" s="28"/>
      <c r="L28" s="31">
        <f>L38</f>
        <v>0.71132192374269088</v>
      </c>
    </row>
    <row r="29" spans="2:19" x14ac:dyDescent="0.3">
      <c r="G29" t="s">
        <v>26</v>
      </c>
      <c r="L29" s="400">
        <f>L25+(L27*L28)</f>
        <v>0.14597132528319323</v>
      </c>
    </row>
    <row r="33" spans="2:12" x14ac:dyDescent="0.3">
      <c r="B33" s="20" t="s">
        <v>305</v>
      </c>
      <c r="C33" s="5"/>
      <c r="D33" s="5"/>
      <c r="E33" s="5"/>
      <c r="G33" s="20" t="s">
        <v>36</v>
      </c>
      <c r="H33" s="5"/>
      <c r="I33" s="5"/>
      <c r="J33" s="5"/>
      <c r="K33" s="5"/>
      <c r="L33" s="5"/>
    </row>
    <row r="35" spans="2:12" x14ac:dyDescent="0.3">
      <c r="D35" s="33" t="s">
        <v>37</v>
      </c>
      <c r="E35" s="33" t="s">
        <v>38</v>
      </c>
      <c r="G35" t="s">
        <v>39</v>
      </c>
      <c r="L35" s="14">
        <f>L20</f>
        <v>0.50519393674333546</v>
      </c>
    </row>
    <row r="36" spans="2:12" x14ac:dyDescent="0.3">
      <c r="B36" t="s">
        <v>9</v>
      </c>
      <c r="C36" s="34">
        <f>F12*10^9</f>
        <v>60224000000</v>
      </c>
      <c r="D36" s="35">
        <f>C36/$C$38</f>
        <v>0.79602770753774954</v>
      </c>
      <c r="E36" s="25">
        <f>J19</f>
        <v>0.36824104754954989</v>
      </c>
      <c r="G36" t="s">
        <v>40</v>
      </c>
      <c r="L36" s="36">
        <f>E40</f>
        <v>0.58288219916983552</v>
      </c>
    </row>
    <row r="37" spans="2:12" x14ac:dyDescent="0.3">
      <c r="B37" s="28" t="s">
        <v>10</v>
      </c>
      <c r="C37" s="37">
        <f>G13*10^9</f>
        <v>15431658000</v>
      </c>
      <c r="D37" s="38">
        <f t="shared" ref="D37:D38" si="3">C37/$C$38</f>
        <v>0.20397229246225049</v>
      </c>
      <c r="E37" s="39">
        <f>E38-E36</f>
        <v>0.63175895245045011</v>
      </c>
      <c r="G37" t="s">
        <v>30</v>
      </c>
      <c r="L37" s="40">
        <f>E26</f>
        <v>0.3</v>
      </c>
    </row>
    <row r="38" spans="2:12" x14ac:dyDescent="0.3">
      <c r="B38" t="s">
        <v>41</v>
      </c>
      <c r="C38" s="41">
        <f>SUM(C36:C37)</f>
        <v>75655658000</v>
      </c>
      <c r="D38" s="35">
        <f t="shared" si="3"/>
        <v>1</v>
      </c>
      <c r="E38" s="42">
        <f>D38</f>
        <v>1</v>
      </c>
      <c r="G38" s="43" t="s">
        <v>36</v>
      </c>
      <c r="H38" s="43"/>
      <c r="I38" s="43"/>
      <c r="J38" s="43"/>
      <c r="K38" s="43"/>
      <c r="L38" s="44">
        <f>L35*(1+(1-L37)*L36)</f>
        <v>0.71132192374269088</v>
      </c>
    </row>
    <row r="40" spans="2:12" x14ac:dyDescent="0.3">
      <c r="B40" t="s">
        <v>42</v>
      </c>
      <c r="D40" s="32">
        <f>D36/D37</f>
        <v>3.9026266652617623</v>
      </c>
      <c r="E40" s="32">
        <f>E36/E37</f>
        <v>0.58288219916983552</v>
      </c>
      <c r="G40" s="20" t="s">
        <v>43</v>
      </c>
      <c r="H40" s="5"/>
      <c r="I40" s="5"/>
      <c r="J40" s="5"/>
      <c r="K40" s="5"/>
      <c r="L40" s="5"/>
    </row>
    <row r="41" spans="2:12" ht="15" thickBot="1" x14ac:dyDescent="0.35"/>
    <row r="42" spans="2:12" ht="16.8" thickBot="1" x14ac:dyDescent="0.35">
      <c r="B42" s="45" t="s">
        <v>44</v>
      </c>
      <c r="G42" t="s">
        <v>26</v>
      </c>
      <c r="K42" s="46"/>
      <c r="L42" s="47">
        <f>L29</f>
        <v>0.14597132528319323</v>
      </c>
    </row>
    <row r="43" spans="2:12" x14ac:dyDescent="0.3">
      <c r="B43" t="s">
        <v>45</v>
      </c>
      <c r="C43" s="41">
        <f>7384155*1000</f>
        <v>7384155000</v>
      </c>
      <c r="G43" t="s">
        <v>46</v>
      </c>
      <c r="K43" s="36"/>
      <c r="L43" s="36">
        <f>E37</f>
        <v>0.63175895245045011</v>
      </c>
    </row>
    <row r="44" spans="2:12" x14ac:dyDescent="0.3">
      <c r="K44" s="36"/>
      <c r="L44" s="36"/>
    </row>
    <row r="45" spans="2:12" x14ac:dyDescent="0.3">
      <c r="B45" s="411" t="s">
        <v>306</v>
      </c>
      <c r="C45" s="411"/>
      <c r="D45" s="411"/>
      <c r="E45" s="411"/>
      <c r="G45" t="s">
        <v>25</v>
      </c>
      <c r="L45" s="48">
        <f>E27</f>
        <v>8.5828050278958554E-2</v>
      </c>
    </row>
    <row r="46" spans="2:12" x14ac:dyDescent="0.3">
      <c r="B46" s="411"/>
      <c r="C46" s="411"/>
      <c r="D46" s="411"/>
      <c r="E46" s="411"/>
      <c r="G46" t="s">
        <v>47</v>
      </c>
      <c r="L46" s="36">
        <f>E36</f>
        <v>0.36824104754954989</v>
      </c>
    </row>
    <row r="47" spans="2:12" x14ac:dyDescent="0.3">
      <c r="B47" s="411"/>
      <c r="C47" s="411"/>
      <c r="D47" s="411"/>
      <c r="E47" s="411"/>
    </row>
    <row r="48" spans="2:12" x14ac:dyDescent="0.3">
      <c r="G48" s="49" t="s">
        <v>48</v>
      </c>
      <c r="H48" s="49"/>
      <c r="I48" s="49"/>
      <c r="J48" s="49"/>
      <c r="K48" s="49"/>
      <c r="L48" s="50">
        <f>(L42*L43)+(L45*L46)</f>
        <v>0.12382410269257318</v>
      </c>
    </row>
  </sheetData>
  <mergeCells count="6">
    <mergeCell ref="B45:E47"/>
    <mergeCell ref="B2:E2"/>
    <mergeCell ref="B4:E4"/>
    <mergeCell ref="F9:G9"/>
    <mergeCell ref="M25:Q25"/>
    <mergeCell ref="M26:S2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E001E-7001-4392-A642-138563581EDD}">
  <dimension ref="B2:J26"/>
  <sheetViews>
    <sheetView showGridLines="0" workbookViewId="0">
      <selection activeCell="B3" sqref="B3"/>
    </sheetView>
  </sheetViews>
  <sheetFormatPr defaultRowHeight="14.4" x14ac:dyDescent="0.3"/>
  <cols>
    <col min="2" max="2" width="31.21875" bestFit="1" customWidth="1"/>
    <col min="3" max="3" width="29.109375" customWidth="1"/>
    <col min="4" max="4" width="17.21875" bestFit="1" customWidth="1"/>
    <col min="5" max="5" width="29.88671875" customWidth="1"/>
    <col min="6" max="6" width="14.6640625" customWidth="1"/>
    <col min="7" max="7" width="13.6640625" bestFit="1" customWidth="1"/>
    <col min="8" max="8" width="21" customWidth="1"/>
    <col min="9" max="9" width="17.21875" bestFit="1" customWidth="1"/>
    <col min="10" max="10" width="25" customWidth="1"/>
  </cols>
  <sheetData>
    <row r="2" spans="2:10" x14ac:dyDescent="0.3">
      <c r="B2" s="416" t="s">
        <v>348</v>
      </c>
      <c r="C2" s="416"/>
    </row>
    <row r="4" spans="2:10" x14ac:dyDescent="0.3">
      <c r="B4" s="52"/>
      <c r="C4" s="417" t="s">
        <v>3</v>
      </c>
      <c r="D4" s="417"/>
      <c r="E4" s="417"/>
      <c r="F4" s="52"/>
    </row>
    <row r="5" spans="2:10" ht="16.2" x14ac:dyDescent="0.3">
      <c r="B5" s="54" t="s">
        <v>49</v>
      </c>
      <c r="C5" s="54" t="s">
        <v>303</v>
      </c>
      <c r="D5" s="55" t="s">
        <v>51</v>
      </c>
      <c r="E5" s="55" t="s">
        <v>52</v>
      </c>
      <c r="F5" s="55" t="s">
        <v>42</v>
      </c>
      <c r="H5" s="55" t="s">
        <v>53</v>
      </c>
      <c r="I5" s="55" t="s">
        <v>54</v>
      </c>
      <c r="J5" s="55" t="s">
        <v>55</v>
      </c>
    </row>
    <row r="6" spans="2:10" x14ac:dyDescent="0.3">
      <c r="B6" t="s">
        <v>16</v>
      </c>
      <c r="C6" s="7">
        <v>45.87</v>
      </c>
      <c r="D6" s="294">
        <f>7238000000/10^9</f>
        <v>7.2380000000000004</v>
      </c>
      <c r="E6" s="294">
        <f>J6/10^9</f>
        <v>15.431658000000001</v>
      </c>
      <c r="F6" s="295">
        <f>D6/E6</f>
        <v>0.46903579641280285</v>
      </c>
      <c r="H6">
        <v>20.13</v>
      </c>
      <c r="I6" s="2">
        <f>766.6*10^6</f>
        <v>766600000</v>
      </c>
      <c r="J6" s="56">
        <f>H6*I6</f>
        <v>15431658000</v>
      </c>
    </row>
    <row r="7" spans="2:10" x14ac:dyDescent="0.3">
      <c r="B7" t="s">
        <v>18</v>
      </c>
      <c r="C7" s="7">
        <v>112.75</v>
      </c>
      <c r="D7" s="2">
        <f>(627.04*10^6)/10^9</f>
        <v>0.62704000000000004</v>
      </c>
      <c r="E7" s="2">
        <f>J7/10^9</f>
        <v>14.529141900000001</v>
      </c>
      <c r="F7" s="35">
        <f>D7/E7</f>
        <v>4.315740078221688E-2</v>
      </c>
      <c r="H7">
        <v>2280.87</v>
      </c>
      <c r="I7" s="2">
        <f>6.37*10^6</f>
        <v>6370000</v>
      </c>
      <c r="J7" s="56">
        <f>H7*I7</f>
        <v>14529141900</v>
      </c>
    </row>
    <row r="8" spans="2:10" x14ac:dyDescent="0.3">
      <c r="B8" s="296" t="s">
        <v>19</v>
      </c>
      <c r="C8" s="297">
        <v>114.47</v>
      </c>
      <c r="D8" s="298">
        <f>(60224*10^6)/10^9</f>
        <v>60.223999999999997</v>
      </c>
      <c r="E8" s="298">
        <f>J8/10^9</f>
        <v>24.209002420200001</v>
      </c>
      <c r="F8" s="299">
        <f t="shared" ref="F8:F9" si="0">D8/E8</f>
        <v>2.4876696261449034</v>
      </c>
      <c r="H8">
        <v>364.83</v>
      </c>
      <c r="I8" s="2">
        <v>66356940</v>
      </c>
      <c r="J8" s="56">
        <f>H8*I8</f>
        <v>24209002420.200001</v>
      </c>
    </row>
    <row r="9" spans="2:10" x14ac:dyDescent="0.3">
      <c r="B9" t="s">
        <v>20</v>
      </c>
      <c r="C9" s="7">
        <v>39.630000000000003</v>
      </c>
      <c r="D9" s="2">
        <f>(16904*10^6)/10^9</f>
        <v>16.904</v>
      </c>
      <c r="E9" s="2">
        <f>14056021*1000/10^9</f>
        <v>14.056020999999999</v>
      </c>
      <c r="F9" s="35">
        <f t="shared" si="0"/>
        <v>1.2026163022949383</v>
      </c>
      <c r="H9" s="56">
        <f>(E9*10^9)/I9</f>
        <v>60.296400377624089</v>
      </c>
      <c r="I9" s="2">
        <v>233115425</v>
      </c>
      <c r="J9" s="56">
        <f>H9*I9</f>
        <v>14056021000</v>
      </c>
    </row>
    <row r="10" spans="2:10" x14ac:dyDescent="0.3">
      <c r="B10" t="s">
        <v>21</v>
      </c>
      <c r="C10" s="7">
        <v>307.02</v>
      </c>
      <c r="D10" s="2">
        <v>21.22</v>
      </c>
      <c r="E10" s="2">
        <f>J10/10^9</f>
        <v>19.796182000000002</v>
      </c>
      <c r="F10" s="35">
        <f>D10/E10</f>
        <v>1.071923868956145</v>
      </c>
      <c r="H10">
        <v>436.52</v>
      </c>
      <c r="I10" s="2">
        <f>45.35*10^6</f>
        <v>45350000</v>
      </c>
      <c r="J10" s="56">
        <f>H10*I10</f>
        <v>19796182000</v>
      </c>
    </row>
    <row r="11" spans="2:10" x14ac:dyDescent="0.3">
      <c r="I11" s="57"/>
    </row>
    <row r="12" spans="2:10" x14ac:dyDescent="0.3">
      <c r="B12" s="51" t="s">
        <v>81</v>
      </c>
      <c r="H12" s="56"/>
      <c r="I12" s="56"/>
    </row>
    <row r="13" spans="2:10" ht="14.4" customHeight="1" x14ac:dyDescent="0.3">
      <c r="B13" s="411" t="s">
        <v>57</v>
      </c>
      <c r="C13" s="411"/>
      <c r="D13" s="411"/>
      <c r="E13" s="411"/>
      <c r="F13" s="58"/>
      <c r="G13" s="56"/>
    </row>
    <row r="14" spans="2:10" x14ac:dyDescent="0.3">
      <c r="B14" s="411"/>
      <c r="C14" s="411"/>
      <c r="D14" s="411"/>
      <c r="E14" s="411"/>
      <c r="F14" s="58"/>
    </row>
    <row r="15" spans="2:10" x14ac:dyDescent="0.3">
      <c r="B15" s="411"/>
      <c r="C15" s="411"/>
      <c r="D15" s="411"/>
      <c r="E15" s="411"/>
      <c r="F15" s="58"/>
    </row>
    <row r="17" spans="2:10" x14ac:dyDescent="0.3">
      <c r="G17" s="2"/>
      <c r="H17" s="56"/>
      <c r="I17" s="56"/>
      <c r="J17" s="35"/>
    </row>
    <row r="18" spans="2:10" x14ac:dyDescent="0.3">
      <c r="B18" s="51" t="s">
        <v>176</v>
      </c>
    </row>
    <row r="19" spans="2:10" x14ac:dyDescent="0.3">
      <c r="B19" s="418" t="s">
        <v>304</v>
      </c>
      <c r="C19" s="418"/>
      <c r="D19" s="418"/>
      <c r="E19" s="418"/>
    </row>
    <row r="20" spans="2:10" x14ac:dyDescent="0.3">
      <c r="B20" s="418"/>
      <c r="C20" s="418"/>
      <c r="D20" s="418"/>
      <c r="E20" s="418"/>
    </row>
    <row r="21" spans="2:10" x14ac:dyDescent="0.3">
      <c r="B21" s="418"/>
      <c r="C21" s="418"/>
      <c r="D21" s="418"/>
      <c r="E21" s="418"/>
    </row>
    <row r="22" spans="2:10" x14ac:dyDescent="0.3">
      <c r="B22" s="418"/>
      <c r="C22" s="418"/>
      <c r="D22" s="418"/>
      <c r="E22" s="418"/>
    </row>
    <row r="23" spans="2:10" x14ac:dyDescent="0.3">
      <c r="B23" s="418"/>
      <c r="C23" s="418"/>
      <c r="D23" s="418"/>
      <c r="E23" s="418"/>
    </row>
    <row r="24" spans="2:10" x14ac:dyDescent="0.3">
      <c r="B24" s="418"/>
      <c r="C24" s="418"/>
      <c r="D24" s="418"/>
      <c r="E24" s="418"/>
    </row>
    <row r="25" spans="2:10" x14ac:dyDescent="0.3">
      <c r="B25" s="418"/>
      <c r="C25" s="418"/>
      <c r="D25" s="418"/>
      <c r="E25" s="418"/>
    </row>
    <row r="26" spans="2:10" x14ac:dyDescent="0.3">
      <c r="B26" s="418"/>
      <c r="C26" s="418"/>
      <c r="D26" s="418"/>
      <c r="E26" s="418"/>
    </row>
  </sheetData>
  <mergeCells count="4">
    <mergeCell ref="B2:C2"/>
    <mergeCell ref="C4:E4"/>
    <mergeCell ref="B13:E15"/>
    <mergeCell ref="B19:E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52EA0-9835-44AD-BA5F-DA00C185E23F}">
  <dimension ref="B2:J24"/>
  <sheetViews>
    <sheetView showGridLines="0" workbookViewId="0">
      <selection activeCell="B2" sqref="B2:J24"/>
    </sheetView>
  </sheetViews>
  <sheetFormatPr defaultRowHeight="14.4" x14ac:dyDescent="0.3"/>
  <sheetData>
    <row r="2" spans="2:4" x14ac:dyDescent="0.3">
      <c r="B2" s="416" t="s">
        <v>58</v>
      </c>
      <c r="C2" s="416"/>
      <c r="D2" s="416"/>
    </row>
    <row r="4" spans="2:4" x14ac:dyDescent="0.3">
      <c r="B4" s="51" t="s">
        <v>59</v>
      </c>
      <c r="C4" s="51" t="s">
        <v>60</v>
      </c>
    </row>
    <row r="5" spans="2:4" x14ac:dyDescent="0.3">
      <c r="B5" s="59">
        <v>2013</v>
      </c>
      <c r="C5" s="60">
        <v>0.49430000000000002</v>
      </c>
    </row>
    <row r="6" spans="2:4" x14ac:dyDescent="0.3">
      <c r="B6" s="59">
        <v>2014</v>
      </c>
      <c r="C6" s="60">
        <v>0.27200000000000002</v>
      </c>
    </row>
    <row r="7" spans="2:4" x14ac:dyDescent="0.3">
      <c r="B7" s="59">
        <f t="shared" ref="B7:B9" si="0">B8-1</f>
        <v>2015</v>
      </c>
      <c r="C7" s="60">
        <v>2.1299999999999999E-2</v>
      </c>
    </row>
    <row r="8" spans="2:4" x14ac:dyDescent="0.3">
      <c r="B8" s="59">
        <f t="shared" si="0"/>
        <v>2016</v>
      </c>
      <c r="C8" s="60">
        <v>0.45679999999999998</v>
      </c>
    </row>
    <row r="9" spans="2:4" x14ac:dyDescent="0.3">
      <c r="B9" s="59">
        <f t="shared" si="0"/>
        <v>2017</v>
      </c>
      <c r="C9" s="60">
        <v>-0.15340000000000001</v>
      </c>
    </row>
    <row r="10" spans="2:4" x14ac:dyDescent="0.3">
      <c r="B10" s="59">
        <f>B11-1</f>
        <v>2018</v>
      </c>
      <c r="C10" s="60">
        <v>-8.4099999999999994E-2</v>
      </c>
    </row>
    <row r="11" spans="2:4" x14ac:dyDescent="0.3">
      <c r="B11" s="59">
        <v>2019</v>
      </c>
      <c r="C11" s="60">
        <v>9.9000000000000005E-2</v>
      </c>
    </row>
    <row r="12" spans="2:4" x14ac:dyDescent="0.3">
      <c r="B12">
        <v>2020</v>
      </c>
      <c r="C12" s="36">
        <v>7.4099999999999999E-2</v>
      </c>
    </row>
    <row r="13" spans="2:4" x14ac:dyDescent="0.3">
      <c r="B13">
        <v>2021</v>
      </c>
      <c r="C13" s="40">
        <v>1.9199999999999998E-2</v>
      </c>
    </row>
    <row r="14" spans="2:4" x14ac:dyDescent="0.3">
      <c r="B14">
        <v>2022</v>
      </c>
      <c r="C14" s="36">
        <v>-9.3600000000000003E-2</v>
      </c>
    </row>
    <row r="15" spans="2:4" x14ac:dyDescent="0.3">
      <c r="B15">
        <v>2023</v>
      </c>
      <c r="C15" s="40">
        <v>0.54500000000000004</v>
      </c>
    </row>
    <row r="17" spans="2:10" x14ac:dyDescent="0.3">
      <c r="B17" s="51" t="s">
        <v>61</v>
      </c>
      <c r="C17" s="36">
        <f>AVERAGE(C5:C15)</f>
        <v>0.15005454545454547</v>
      </c>
    </row>
    <row r="18" spans="2:10" x14ac:dyDescent="0.3">
      <c r="B18" s="51" t="s">
        <v>24</v>
      </c>
      <c r="C18" s="36">
        <f>MEDIAN(C5:C15)</f>
        <v>7.4099999999999999E-2</v>
      </c>
    </row>
    <row r="21" spans="2:10" x14ac:dyDescent="0.3">
      <c r="B21" s="51" t="s">
        <v>56</v>
      </c>
    </row>
    <row r="22" spans="2:10" x14ac:dyDescent="0.3">
      <c r="B22" s="411" t="s">
        <v>62</v>
      </c>
      <c r="C22" s="411"/>
      <c r="D22" s="411"/>
      <c r="E22" s="411"/>
      <c r="F22" s="411"/>
      <c r="G22" s="411"/>
      <c r="H22" s="411"/>
      <c r="I22" s="411"/>
      <c r="J22" s="411"/>
    </row>
    <row r="23" spans="2:10" x14ac:dyDescent="0.3">
      <c r="B23" s="411"/>
      <c r="C23" s="411"/>
      <c r="D23" s="411"/>
      <c r="E23" s="411"/>
      <c r="F23" s="411"/>
      <c r="G23" s="411"/>
      <c r="H23" s="411"/>
      <c r="I23" s="411"/>
      <c r="J23" s="411"/>
    </row>
    <row r="24" spans="2:10" x14ac:dyDescent="0.3">
      <c r="B24" s="411"/>
      <c r="C24" s="411"/>
      <c r="D24" s="411"/>
      <c r="E24" s="411"/>
      <c r="F24" s="411"/>
      <c r="G24" s="411"/>
      <c r="H24" s="411"/>
      <c r="I24" s="411"/>
      <c r="J24" s="411"/>
    </row>
  </sheetData>
  <mergeCells count="2">
    <mergeCell ref="B2:D2"/>
    <mergeCell ref="B22:J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D4F4-FE1C-4555-8848-6BAF1A021C27}">
  <dimension ref="B2:X69"/>
  <sheetViews>
    <sheetView showGridLines="0" tabSelected="1" topLeftCell="A56" workbookViewId="0">
      <selection activeCell="K65" sqref="K65"/>
    </sheetView>
  </sheetViews>
  <sheetFormatPr defaultRowHeight="14.4" x14ac:dyDescent="0.3"/>
  <cols>
    <col min="2" max="2" width="14.33203125" customWidth="1"/>
    <col min="3" max="3" width="12.88671875" customWidth="1"/>
    <col min="4" max="4" width="13.44140625" customWidth="1"/>
    <col min="7" max="7" width="14.77734375" customWidth="1"/>
    <col min="10" max="10" width="23.44140625" customWidth="1"/>
    <col min="12" max="14" width="18" customWidth="1"/>
    <col min="16" max="16" width="21.6640625" customWidth="1"/>
  </cols>
  <sheetData>
    <row r="2" spans="2:21" x14ac:dyDescent="0.3">
      <c r="B2" s="416" t="s">
        <v>63</v>
      </c>
      <c r="C2" s="416"/>
      <c r="D2" s="416"/>
    </row>
    <row r="3" spans="2:21" x14ac:dyDescent="0.3">
      <c r="B3" s="61"/>
      <c r="J3" s="62" t="str">
        <f>J15</f>
        <v>Note 1</v>
      </c>
    </row>
    <row r="4" spans="2:21" x14ac:dyDescent="0.3">
      <c r="B4" s="417" t="s">
        <v>64</v>
      </c>
      <c r="C4" s="417"/>
      <c r="D4" s="417"/>
      <c r="E4" s="417"/>
      <c r="G4" s="417" t="s">
        <v>65</v>
      </c>
      <c r="H4" s="417"/>
      <c r="I4" s="63"/>
      <c r="J4" s="417" t="s">
        <v>66</v>
      </c>
      <c r="K4" s="417"/>
      <c r="L4" s="63"/>
      <c r="M4" s="63"/>
      <c r="N4" s="63"/>
    </row>
    <row r="6" spans="2:21" x14ac:dyDescent="0.3">
      <c r="B6" s="64" t="s">
        <v>67</v>
      </c>
      <c r="C6" s="64" t="s">
        <v>68</v>
      </c>
      <c r="D6" s="64" t="s">
        <v>69</v>
      </c>
      <c r="E6" s="8"/>
      <c r="F6" s="8"/>
      <c r="G6" s="64" t="s">
        <v>68</v>
      </c>
      <c r="H6" s="64" t="s">
        <v>69</v>
      </c>
      <c r="J6" t="s">
        <v>70</v>
      </c>
      <c r="K6" s="65">
        <f>Q10</f>
        <v>4.0911873567760222E-2</v>
      </c>
      <c r="P6" t="s">
        <v>71</v>
      </c>
      <c r="Q6" s="65">
        <f>SLOPE(D7:D69,H7:H69)</f>
        <v>4.0911873567760194E-2</v>
      </c>
      <c r="R6" s="26" t="s">
        <v>72</v>
      </c>
      <c r="S6" s="66"/>
      <c r="T6" s="66"/>
      <c r="U6" s="27"/>
    </row>
    <row r="7" spans="2:21" x14ac:dyDescent="0.3">
      <c r="B7" s="67">
        <v>45144</v>
      </c>
      <c r="C7" s="68">
        <v>24000</v>
      </c>
      <c r="D7" s="7"/>
      <c r="G7" s="68">
        <v>48424.4</v>
      </c>
      <c r="H7" s="7"/>
      <c r="J7" t="s">
        <v>73</v>
      </c>
      <c r="K7" s="40">
        <v>0.5</v>
      </c>
      <c r="L7" s="69"/>
      <c r="M7" s="69"/>
      <c r="N7" s="69"/>
      <c r="Q7" s="65"/>
      <c r="R7" s="70"/>
      <c r="S7" s="70"/>
      <c r="T7" s="70"/>
      <c r="U7" s="70"/>
    </row>
    <row r="8" spans="2:21" x14ac:dyDescent="0.3">
      <c r="B8" s="67">
        <v>45151</v>
      </c>
      <c r="C8" s="68">
        <v>23000</v>
      </c>
      <c r="D8" s="71">
        <f>(C8-C7)/C7</f>
        <v>-4.1666666666666664E-2</v>
      </c>
      <c r="G8" s="68">
        <v>48218.49</v>
      </c>
      <c r="H8" s="71">
        <f t="shared" ref="H8:H69" si="0">(G8-G7)/G7</f>
        <v>-4.2521951743336728E-3</v>
      </c>
      <c r="P8" t="s">
        <v>74</v>
      </c>
      <c r="Q8" s="65">
        <f>_xlfn.COVARIANCE.S(D7:D69,H7:H69)/_xlfn.VAR.S(H7:H69)</f>
        <v>4.0911873567760201E-2</v>
      </c>
      <c r="R8" s="415" t="s">
        <v>75</v>
      </c>
      <c r="S8" s="415"/>
      <c r="T8" s="415"/>
      <c r="U8" s="415"/>
    </row>
    <row r="9" spans="2:21" x14ac:dyDescent="0.3">
      <c r="B9" s="67">
        <v>45158</v>
      </c>
      <c r="C9" s="68">
        <v>22900</v>
      </c>
      <c r="D9" s="71">
        <f t="shared" ref="D9:D69" si="1">(C9-C8)/C8</f>
        <v>-4.3478260869565218E-3</v>
      </c>
      <c r="G9" s="68">
        <v>47671.21</v>
      </c>
      <c r="H9" s="71">
        <f t="shared" si="0"/>
        <v>-1.1350002872342101E-2</v>
      </c>
      <c r="J9" t="s">
        <v>76</v>
      </c>
      <c r="K9">
        <v>1</v>
      </c>
      <c r="Q9" s="65"/>
      <c r="R9" s="70"/>
      <c r="S9" s="70"/>
      <c r="T9" s="70"/>
      <c r="U9" s="70"/>
    </row>
    <row r="10" spans="2:21" x14ac:dyDescent="0.3">
      <c r="B10" s="67">
        <v>45165</v>
      </c>
      <c r="C10" s="68">
        <v>23200</v>
      </c>
      <c r="D10" s="71">
        <f t="shared" si="1"/>
        <v>1.3100436681222707E-2</v>
      </c>
      <c r="G10" s="68">
        <v>45312.65</v>
      </c>
      <c r="H10" s="71">
        <f t="shared" si="0"/>
        <v>-4.947556397246887E-2</v>
      </c>
      <c r="J10" t="s">
        <v>77</v>
      </c>
      <c r="K10" s="36">
        <f>100%-K7</f>
        <v>0.5</v>
      </c>
      <c r="P10" t="s">
        <v>78</v>
      </c>
      <c r="Q10" s="65">
        <f>Q42</f>
        <v>4.0911873567760222E-2</v>
      </c>
      <c r="R10" s="415" t="s">
        <v>79</v>
      </c>
      <c r="S10" s="415"/>
      <c r="T10" s="415"/>
      <c r="U10" s="415"/>
    </row>
    <row r="11" spans="2:21" x14ac:dyDescent="0.3">
      <c r="B11" s="67">
        <f>B10+7</f>
        <v>45172</v>
      </c>
      <c r="C11" s="68">
        <v>23900</v>
      </c>
      <c r="D11" s="71">
        <f t="shared" si="1"/>
        <v>3.017241379310345E-2</v>
      </c>
      <c r="G11" s="68">
        <v>46013.48</v>
      </c>
      <c r="H11" s="71">
        <f t="shared" si="0"/>
        <v>1.5466541903861321E-2</v>
      </c>
    </row>
    <row r="12" spans="2:21" x14ac:dyDescent="0.3">
      <c r="B12" s="67">
        <v>45179</v>
      </c>
      <c r="C12" s="68">
        <v>21255</v>
      </c>
      <c r="D12" s="71">
        <f>(C12-C9)/C9</f>
        <v>-7.1834061135371177E-2</v>
      </c>
      <c r="G12" s="68">
        <v>45753.51</v>
      </c>
      <c r="H12" s="71">
        <f t="shared" si="0"/>
        <v>-5.6498660827218709E-3</v>
      </c>
      <c r="J12" s="66" t="s">
        <v>80</v>
      </c>
      <c r="K12" s="72">
        <f>(K6*K7)+(K9*K10)</f>
        <v>0.52045593678388014</v>
      </c>
    </row>
    <row r="13" spans="2:21" x14ac:dyDescent="0.3">
      <c r="B13" s="67">
        <v>45186</v>
      </c>
      <c r="C13" s="68">
        <v>20100</v>
      </c>
      <c r="D13" s="71">
        <f t="shared" si="1"/>
        <v>-5.4340155257586453E-2</v>
      </c>
      <c r="G13" s="68">
        <v>46436.41</v>
      </c>
      <c r="H13" s="71">
        <f t="shared" si="0"/>
        <v>1.4925630842311364E-2</v>
      </c>
    </row>
    <row r="14" spans="2:21" x14ac:dyDescent="0.3">
      <c r="B14" s="67">
        <v>45193</v>
      </c>
      <c r="C14" s="68">
        <v>20550</v>
      </c>
      <c r="D14" s="71">
        <f t="shared" si="1"/>
        <v>2.2388059701492536E-2</v>
      </c>
      <c r="G14" s="68">
        <v>46232.59</v>
      </c>
      <c r="H14" s="71">
        <f t="shared" si="0"/>
        <v>-4.3892281939970591E-3</v>
      </c>
    </row>
    <row r="15" spans="2:21" x14ac:dyDescent="0.3">
      <c r="B15" s="67">
        <v>45200</v>
      </c>
      <c r="C15" s="68">
        <v>20700</v>
      </c>
      <c r="D15" s="71">
        <f t="shared" si="1"/>
        <v>7.2992700729927005E-3</v>
      </c>
      <c r="G15" s="68">
        <v>47508.67</v>
      </c>
      <c r="H15" s="71">
        <f t="shared" si="0"/>
        <v>2.7601308946784114E-2</v>
      </c>
      <c r="J15" s="62" t="s">
        <v>81</v>
      </c>
    </row>
    <row r="16" spans="2:21" x14ac:dyDescent="0.3">
      <c r="B16" s="67">
        <v>45207</v>
      </c>
      <c r="C16" s="68">
        <v>21250</v>
      </c>
      <c r="D16" s="71">
        <f t="shared" si="1"/>
        <v>2.6570048309178744E-2</v>
      </c>
      <c r="G16" s="68">
        <v>49493.47</v>
      </c>
      <c r="H16" s="71">
        <f t="shared" si="0"/>
        <v>4.1777637639614056E-2</v>
      </c>
      <c r="J16" s="419" t="s">
        <v>82</v>
      </c>
      <c r="K16" s="419"/>
      <c r="L16" s="419"/>
      <c r="M16" s="419"/>
      <c r="N16" s="419"/>
    </row>
    <row r="17" spans="2:17" x14ac:dyDescent="0.3">
      <c r="B17" s="67">
        <v>45214</v>
      </c>
      <c r="C17" s="68">
        <v>22000</v>
      </c>
      <c r="D17" s="71">
        <f t="shared" si="1"/>
        <v>3.5294117647058823E-2</v>
      </c>
      <c r="G17" s="68">
        <v>50674.52</v>
      </c>
      <c r="H17" s="71">
        <f t="shared" si="0"/>
        <v>2.3862743913489914E-2</v>
      </c>
      <c r="J17" s="419"/>
      <c r="K17" s="419"/>
      <c r="L17" s="419"/>
      <c r="M17" s="419"/>
      <c r="N17" s="419"/>
    </row>
    <row r="18" spans="2:17" x14ac:dyDescent="0.3">
      <c r="B18" s="67">
        <v>45221</v>
      </c>
      <c r="C18" s="68">
        <v>21900</v>
      </c>
      <c r="D18" s="71">
        <f t="shared" si="1"/>
        <v>-4.5454545454545452E-3</v>
      </c>
      <c r="G18" s="68">
        <v>50958.45</v>
      </c>
      <c r="H18" s="71">
        <f t="shared" si="0"/>
        <v>5.603013111915028E-3</v>
      </c>
      <c r="J18" s="419"/>
      <c r="K18" s="419"/>
      <c r="L18" s="419"/>
      <c r="M18" s="419"/>
      <c r="N18" s="419"/>
      <c r="P18" s="74"/>
      <c r="Q18" s="74"/>
    </row>
    <row r="19" spans="2:17" x14ac:dyDescent="0.3">
      <c r="B19" s="67">
        <v>45228</v>
      </c>
      <c r="C19" s="68">
        <v>22400</v>
      </c>
      <c r="D19" s="71">
        <f t="shared" si="1"/>
        <v>2.2831050228310501E-2</v>
      </c>
      <c r="G19" s="68">
        <v>53175.72</v>
      </c>
      <c r="H19" s="71">
        <f t="shared" si="0"/>
        <v>4.351133129049263E-2</v>
      </c>
      <c r="J19" s="419"/>
      <c r="K19" s="419"/>
      <c r="L19" s="419"/>
      <c r="M19" s="419"/>
      <c r="N19" s="419"/>
    </row>
    <row r="20" spans="2:17" x14ac:dyDescent="0.3">
      <c r="B20" s="67">
        <v>45235</v>
      </c>
      <c r="C20" s="68">
        <v>23400</v>
      </c>
      <c r="D20" s="71">
        <f t="shared" si="1"/>
        <v>4.4642857142857144E-2</v>
      </c>
      <c r="G20" s="68">
        <v>55399.66</v>
      </c>
      <c r="H20" s="71">
        <f t="shared" si="0"/>
        <v>4.1822470857000194E-2</v>
      </c>
      <c r="J20" s="419"/>
      <c r="K20" s="419"/>
      <c r="L20" s="419"/>
      <c r="M20" s="419"/>
      <c r="N20" s="419"/>
    </row>
    <row r="21" spans="2:17" x14ac:dyDescent="0.3">
      <c r="B21" s="67">
        <v>45242</v>
      </c>
      <c r="C21" s="68">
        <v>23000</v>
      </c>
      <c r="D21" s="71">
        <f t="shared" si="1"/>
        <v>-1.7094017094017096E-2</v>
      </c>
      <c r="G21" s="68">
        <v>57016.959999999999</v>
      </c>
      <c r="H21" s="71">
        <f t="shared" si="0"/>
        <v>2.9193319959003278E-2</v>
      </c>
      <c r="J21" s="419"/>
      <c r="K21" s="419"/>
      <c r="L21" s="419"/>
      <c r="M21" s="419"/>
      <c r="N21" s="419"/>
    </row>
    <row r="22" spans="2:17" x14ac:dyDescent="0.3">
      <c r="B22" s="67">
        <v>45249</v>
      </c>
      <c r="C22" s="68">
        <v>22500</v>
      </c>
      <c r="D22" s="71">
        <f t="shared" si="1"/>
        <v>-2.1739130434782608E-2</v>
      </c>
      <c r="G22" s="68">
        <v>59173.34</v>
      </c>
      <c r="H22" s="71">
        <f t="shared" si="0"/>
        <v>3.7819974968851325E-2</v>
      </c>
      <c r="J22" s="419"/>
      <c r="K22" s="419"/>
      <c r="L22" s="419"/>
      <c r="M22" s="419"/>
      <c r="N22" s="419"/>
    </row>
    <row r="23" spans="2:17" x14ac:dyDescent="0.3">
      <c r="B23" s="67">
        <v>45256</v>
      </c>
      <c r="C23" s="68">
        <v>21500</v>
      </c>
      <c r="D23" s="71">
        <f t="shared" si="1"/>
        <v>-4.4444444444444446E-2</v>
      </c>
      <c r="G23" s="68">
        <v>61691.25</v>
      </c>
      <c r="H23" s="71">
        <f t="shared" si="0"/>
        <v>4.2551426030709161E-2</v>
      </c>
      <c r="J23" s="419"/>
      <c r="K23" s="419"/>
      <c r="L23" s="419"/>
      <c r="M23" s="419"/>
      <c r="N23" s="419"/>
    </row>
    <row r="24" spans="2:17" x14ac:dyDescent="0.3">
      <c r="B24" s="67">
        <v>45263</v>
      </c>
      <c r="C24" s="68">
        <v>21700</v>
      </c>
      <c r="D24" s="71">
        <f t="shared" si="1"/>
        <v>9.3023255813953487E-3</v>
      </c>
      <c r="G24" s="68">
        <v>66223.63</v>
      </c>
      <c r="H24" s="71">
        <f t="shared" si="0"/>
        <v>7.3468765829838176E-2</v>
      </c>
      <c r="J24" s="419"/>
      <c r="K24" s="419"/>
      <c r="L24" s="419"/>
      <c r="M24" s="419"/>
      <c r="N24" s="419"/>
    </row>
    <row r="25" spans="2:17" x14ac:dyDescent="0.3">
      <c r="B25" s="67">
        <v>45270</v>
      </c>
      <c r="C25" s="68">
        <v>22275</v>
      </c>
      <c r="D25" s="71">
        <f t="shared" si="1"/>
        <v>2.6497695852534562E-2</v>
      </c>
      <c r="G25" s="68">
        <v>66130.02</v>
      </c>
      <c r="H25" s="71">
        <f t="shared" si="0"/>
        <v>-1.4135437758395391E-3</v>
      </c>
      <c r="J25" s="419"/>
      <c r="K25" s="419"/>
      <c r="L25" s="419"/>
      <c r="M25" s="419"/>
      <c r="N25" s="419"/>
      <c r="P25" t="s">
        <v>83</v>
      </c>
    </row>
    <row r="26" spans="2:17" ht="15" thickBot="1" x14ac:dyDescent="0.35">
      <c r="B26" s="67">
        <v>45277</v>
      </c>
      <c r="C26" s="68">
        <v>21355</v>
      </c>
      <c r="D26" s="71">
        <f t="shared" si="1"/>
        <v>-4.1301907968574636E-2</v>
      </c>
      <c r="G26" s="68">
        <v>61705.09</v>
      </c>
      <c r="H26" s="71">
        <f t="shared" si="0"/>
        <v>-6.6912576164350285E-2</v>
      </c>
    </row>
    <row r="27" spans="2:17" x14ac:dyDescent="0.3">
      <c r="B27" s="67">
        <v>45284</v>
      </c>
      <c r="C27" s="68">
        <v>21900</v>
      </c>
      <c r="D27" s="71">
        <f t="shared" si="1"/>
        <v>2.552095527979396E-2</v>
      </c>
      <c r="G27" s="68">
        <v>62451.040000000001</v>
      </c>
      <c r="H27" s="71">
        <f t="shared" si="0"/>
        <v>1.2088954087904327E-2</v>
      </c>
      <c r="P27" s="75" t="s">
        <v>84</v>
      </c>
      <c r="Q27" s="75"/>
    </row>
    <row r="28" spans="2:17" x14ac:dyDescent="0.3">
      <c r="B28" s="67">
        <v>45291</v>
      </c>
      <c r="C28" s="68">
        <v>22100</v>
      </c>
      <c r="D28" s="71">
        <f t="shared" si="1"/>
        <v>9.1324200913242004E-3</v>
      </c>
      <c r="G28" s="68">
        <v>64514.9</v>
      </c>
      <c r="H28" s="71">
        <f t="shared" si="0"/>
        <v>3.3047648205698422E-2</v>
      </c>
      <c r="P28" t="s">
        <v>85</v>
      </c>
      <c r="Q28">
        <v>4.2452815233103937E-2</v>
      </c>
    </row>
    <row r="29" spans="2:17" x14ac:dyDescent="0.3">
      <c r="B29" s="67">
        <v>45298</v>
      </c>
      <c r="C29" s="68">
        <v>22399</v>
      </c>
      <c r="D29" s="71">
        <f t="shared" si="1"/>
        <v>1.3529411764705882E-2</v>
      </c>
      <c r="G29" s="68">
        <v>64637.64</v>
      </c>
      <c r="H29" s="71">
        <f t="shared" si="0"/>
        <v>1.9025062427438927E-3</v>
      </c>
      <c r="P29" t="s">
        <v>86</v>
      </c>
      <c r="Q29">
        <v>1.8022415212160614E-3</v>
      </c>
    </row>
    <row r="30" spans="2:17" x14ac:dyDescent="0.3">
      <c r="B30" s="67">
        <v>45305</v>
      </c>
      <c r="C30" s="68">
        <v>21900</v>
      </c>
      <c r="D30" s="71">
        <f t="shared" si="1"/>
        <v>-2.2277780258047233E-2</v>
      </c>
      <c r="G30" s="68">
        <v>63282.23</v>
      </c>
      <c r="H30" s="71">
        <f t="shared" si="0"/>
        <v>-2.096936088631943E-2</v>
      </c>
      <c r="P30" t="s">
        <v>87</v>
      </c>
      <c r="Q30">
        <v>-1.4834387786763671E-2</v>
      </c>
    </row>
    <row r="31" spans="2:17" x14ac:dyDescent="0.3">
      <c r="B31" s="67">
        <v>45312</v>
      </c>
      <c r="C31" s="68">
        <v>21500</v>
      </c>
      <c r="D31" s="71">
        <f t="shared" si="1"/>
        <v>-1.8264840182648401E-2</v>
      </c>
      <c r="G31" s="68">
        <v>63813.06</v>
      </c>
      <c r="H31" s="71">
        <f t="shared" si="0"/>
        <v>8.3882947867038576E-3</v>
      </c>
      <c r="P31" t="s">
        <v>88</v>
      </c>
      <c r="Q31">
        <v>2.4319215875363419E-2</v>
      </c>
    </row>
    <row r="32" spans="2:17" ht="15" thickBot="1" x14ac:dyDescent="0.35">
      <c r="B32" s="67">
        <v>45319</v>
      </c>
      <c r="C32" s="68">
        <v>22373</v>
      </c>
      <c r="D32" s="71">
        <f t="shared" si="1"/>
        <v>4.0604651162790696E-2</v>
      </c>
      <c r="G32" s="68">
        <v>63002.92</v>
      </c>
      <c r="H32" s="71">
        <f t="shared" si="0"/>
        <v>-1.2695520321388747E-2</v>
      </c>
      <c r="P32" s="76" t="s">
        <v>89</v>
      </c>
      <c r="Q32" s="76">
        <v>62</v>
      </c>
    </row>
    <row r="33" spans="2:24" x14ac:dyDescent="0.3">
      <c r="B33" s="67">
        <v>45326</v>
      </c>
      <c r="C33" s="68">
        <v>22300</v>
      </c>
      <c r="D33" s="71">
        <f t="shared" si="1"/>
        <v>-3.2628614848254594E-3</v>
      </c>
      <c r="G33" s="68">
        <v>62943.75</v>
      </c>
      <c r="H33" s="71">
        <f t="shared" si="0"/>
        <v>-9.3916281975499317E-4</v>
      </c>
    </row>
    <row r="34" spans="2:24" ht="15" thickBot="1" x14ac:dyDescent="0.35">
      <c r="B34" s="67">
        <f>B33+7</f>
        <v>45333</v>
      </c>
      <c r="C34" s="68">
        <v>23500</v>
      </c>
      <c r="D34" s="71">
        <f>(C34-C33)/C33</f>
        <v>5.3811659192825115E-2</v>
      </c>
      <c r="G34" s="68">
        <v>59872.959999999999</v>
      </c>
      <c r="H34" s="71">
        <f t="shared" si="0"/>
        <v>-4.8786257571244183E-2</v>
      </c>
      <c r="P34" t="s">
        <v>90</v>
      </c>
    </row>
    <row r="35" spans="2:24" x14ac:dyDescent="0.3">
      <c r="B35" s="67">
        <v>45340</v>
      </c>
      <c r="C35" s="68">
        <v>21800</v>
      </c>
      <c r="D35" s="71">
        <f>(C35-C33)/C33</f>
        <v>-2.2421524663677129E-2</v>
      </c>
      <c r="G35" s="68">
        <v>62815.82</v>
      </c>
      <c r="H35" s="71">
        <f t="shared" si="0"/>
        <v>4.9151737278397473E-2</v>
      </c>
      <c r="P35" s="77"/>
      <c r="Q35" s="77" t="s">
        <v>91</v>
      </c>
      <c r="R35" s="77" t="s">
        <v>92</v>
      </c>
      <c r="S35" s="77" t="s">
        <v>93</v>
      </c>
      <c r="T35" s="77" t="s">
        <v>94</v>
      </c>
      <c r="U35" s="77" t="s">
        <v>95</v>
      </c>
    </row>
    <row r="36" spans="2:24" x14ac:dyDescent="0.3">
      <c r="B36" s="67">
        <v>45347</v>
      </c>
      <c r="C36" s="68">
        <v>21800</v>
      </c>
      <c r="D36" s="71">
        <f t="shared" si="1"/>
        <v>0</v>
      </c>
      <c r="G36" s="68">
        <v>65325.69</v>
      </c>
      <c r="H36" s="71">
        <f t="shared" si="0"/>
        <v>3.9956017449107609E-2</v>
      </c>
      <c r="P36" t="s">
        <v>96</v>
      </c>
      <c r="Q36">
        <v>1</v>
      </c>
      <c r="R36">
        <v>6.406882907125655E-5</v>
      </c>
      <c r="S36">
        <v>6.406882907125655E-5</v>
      </c>
      <c r="T36">
        <v>0.1083297276060373</v>
      </c>
      <c r="U36">
        <v>0.74319994761664687</v>
      </c>
    </row>
    <row r="37" spans="2:24" x14ac:dyDescent="0.3">
      <c r="B37" s="67">
        <v>45354</v>
      </c>
      <c r="C37" s="68">
        <v>21900</v>
      </c>
      <c r="D37" s="71">
        <f t="shared" si="1"/>
        <v>4.5871559633027525E-3</v>
      </c>
      <c r="G37" s="68">
        <v>65793.759999999995</v>
      </c>
      <c r="H37" s="71">
        <f t="shared" si="0"/>
        <v>7.1651749870532159E-3</v>
      </c>
      <c r="P37" t="s">
        <v>97</v>
      </c>
      <c r="Q37">
        <v>60</v>
      </c>
      <c r="R37">
        <v>3.5485455647551692E-2</v>
      </c>
      <c r="S37">
        <v>5.9142426079252821E-4</v>
      </c>
    </row>
    <row r="38" spans="2:24" ht="15" thickBot="1" x14ac:dyDescent="0.35">
      <c r="B38" s="67">
        <v>45361</v>
      </c>
      <c r="C38" s="68">
        <v>21500</v>
      </c>
      <c r="D38" s="71">
        <f t="shared" si="1"/>
        <v>-1.8264840182648401E-2</v>
      </c>
      <c r="G38" s="68">
        <v>64816.47</v>
      </c>
      <c r="H38" s="71">
        <f t="shared" si="0"/>
        <v>-1.4853840242600417E-2</v>
      </c>
      <c r="P38" s="76" t="s">
        <v>98</v>
      </c>
      <c r="Q38" s="76">
        <v>61</v>
      </c>
      <c r="R38" s="76">
        <v>3.5549524476622948E-2</v>
      </c>
      <c r="S38" s="76"/>
      <c r="T38" s="76"/>
      <c r="U38" s="76"/>
    </row>
    <row r="39" spans="2:24" ht="15" thickBot="1" x14ac:dyDescent="0.35">
      <c r="B39" s="67">
        <v>45368</v>
      </c>
      <c r="C39" s="68">
        <v>21700</v>
      </c>
      <c r="D39" s="71">
        <f t="shared" si="1"/>
        <v>9.3023255813953487E-3</v>
      </c>
      <c r="G39" s="68">
        <v>65151.83</v>
      </c>
      <c r="H39" s="71">
        <f t="shared" si="0"/>
        <v>5.1739935852723939E-3</v>
      </c>
    </row>
    <row r="40" spans="2:24" x14ac:dyDescent="0.3">
      <c r="B40" s="67">
        <v>45375</v>
      </c>
      <c r="C40" s="68">
        <v>21000</v>
      </c>
      <c r="D40" s="71">
        <f t="shared" si="1"/>
        <v>-3.2258064516129031E-2</v>
      </c>
      <c r="G40" s="68">
        <v>67005.11</v>
      </c>
      <c r="H40" s="71">
        <f t="shared" si="0"/>
        <v>2.8445555558454749E-2</v>
      </c>
      <c r="P40" s="77"/>
      <c r="Q40" s="77" t="s">
        <v>99</v>
      </c>
      <c r="R40" s="77" t="s">
        <v>88</v>
      </c>
      <c r="S40" s="77" t="s">
        <v>100</v>
      </c>
      <c r="T40" s="77" t="s">
        <v>101</v>
      </c>
      <c r="U40" s="77" t="s">
        <v>102</v>
      </c>
      <c r="V40" s="77" t="s">
        <v>103</v>
      </c>
      <c r="W40" s="77" t="s">
        <v>104</v>
      </c>
      <c r="X40" s="77" t="s">
        <v>105</v>
      </c>
    </row>
    <row r="41" spans="2:24" x14ac:dyDescent="0.3">
      <c r="B41" s="67">
        <v>45382</v>
      </c>
      <c r="C41" s="68">
        <v>21000</v>
      </c>
      <c r="D41" s="71">
        <f t="shared" si="1"/>
        <v>0</v>
      </c>
      <c r="G41" s="68">
        <v>68416.78</v>
      </c>
      <c r="H41" s="71">
        <f t="shared" si="0"/>
        <v>2.1068094657258205E-2</v>
      </c>
      <c r="P41" t="s">
        <v>106</v>
      </c>
      <c r="Q41">
        <v>-3.7895233339823348E-3</v>
      </c>
      <c r="R41">
        <v>3.30495734546904E-3</v>
      </c>
      <c r="S41">
        <v>-1.1466179250929258</v>
      </c>
      <c r="T41">
        <v>0.25609169637380669</v>
      </c>
      <c r="U41">
        <v>-1.0400422313974089E-2</v>
      </c>
      <c r="V41">
        <v>2.8213756460094192E-3</v>
      </c>
      <c r="W41">
        <v>-1.0400422313974089E-2</v>
      </c>
      <c r="X41">
        <v>2.8213756460094192E-3</v>
      </c>
    </row>
    <row r="42" spans="2:24" ht="15" thickBot="1" x14ac:dyDescent="0.35">
      <c r="B42" s="67">
        <v>45389</v>
      </c>
      <c r="C42" s="68">
        <v>20800</v>
      </c>
      <c r="D42" s="71">
        <f t="shared" si="1"/>
        <v>-9.5238095238095247E-3</v>
      </c>
      <c r="G42" s="68">
        <v>70314.720000000001</v>
      </c>
      <c r="H42" s="71">
        <f t="shared" si="0"/>
        <v>2.7740855386646411E-2</v>
      </c>
      <c r="P42" s="76"/>
      <c r="Q42" s="76">
        <v>4.0911873567760222E-2</v>
      </c>
      <c r="R42" s="76">
        <v>0.12430126344590009</v>
      </c>
      <c r="S42" s="76">
        <v>0.32913481676367984</v>
      </c>
      <c r="T42" s="76">
        <v>0.74319994761661967</v>
      </c>
      <c r="U42" s="76">
        <v>-0.20772767297669459</v>
      </c>
      <c r="V42" s="76">
        <v>0.28955142011221502</v>
      </c>
      <c r="W42" s="76">
        <v>-0.20772767297669459</v>
      </c>
      <c r="X42" s="76">
        <v>0.28955142011221502</v>
      </c>
    </row>
    <row r="43" spans="2:24" x14ac:dyDescent="0.3">
      <c r="B43" s="67">
        <v>45396</v>
      </c>
      <c r="C43" s="68">
        <v>20900</v>
      </c>
      <c r="D43" s="71">
        <f t="shared" si="1"/>
        <v>4.807692307692308E-3</v>
      </c>
      <c r="G43" s="68">
        <v>70909.899999999994</v>
      </c>
      <c r="H43" s="71">
        <f t="shared" si="0"/>
        <v>8.4645149692694922E-3</v>
      </c>
    </row>
    <row r="44" spans="2:24" x14ac:dyDescent="0.3">
      <c r="B44" s="67">
        <v>45403</v>
      </c>
      <c r="C44" s="68">
        <v>20000</v>
      </c>
      <c r="D44" s="71">
        <f t="shared" si="1"/>
        <v>-4.3062200956937802E-2</v>
      </c>
      <c r="G44" s="68">
        <v>72742.75</v>
      </c>
      <c r="H44" s="71">
        <f t="shared" si="0"/>
        <v>2.5847589687758774E-2</v>
      </c>
    </row>
    <row r="45" spans="2:24" x14ac:dyDescent="0.3">
      <c r="B45" s="67">
        <v>45410</v>
      </c>
      <c r="C45" s="68">
        <v>19400</v>
      </c>
      <c r="D45" s="71">
        <f t="shared" si="1"/>
        <v>-0.03</v>
      </c>
      <c r="G45" s="68">
        <v>71902.09</v>
      </c>
      <c r="H45" s="71">
        <f t="shared" si="0"/>
        <v>-1.1556615607741025E-2</v>
      </c>
    </row>
    <row r="46" spans="2:24" x14ac:dyDescent="0.3">
      <c r="B46" s="67">
        <v>45417</v>
      </c>
      <c r="C46" s="68">
        <v>19090</v>
      </c>
      <c r="D46" s="71">
        <f t="shared" si="1"/>
        <v>-1.5979381443298968E-2</v>
      </c>
      <c r="G46" s="68">
        <v>73085.5</v>
      </c>
      <c r="H46" s="71">
        <f t="shared" si="0"/>
        <v>1.6458631452854897E-2</v>
      </c>
    </row>
    <row r="47" spans="2:24" x14ac:dyDescent="0.3">
      <c r="B47" s="67">
        <v>45424</v>
      </c>
      <c r="C47" s="68">
        <v>19015</v>
      </c>
      <c r="D47" s="71">
        <f t="shared" si="1"/>
        <v>-3.9287585123101102E-3</v>
      </c>
      <c r="G47" s="68">
        <v>75342.350000000006</v>
      </c>
      <c r="H47" s="71">
        <f t="shared" si="0"/>
        <v>3.0879586238036352E-2</v>
      </c>
    </row>
    <row r="48" spans="2:24" x14ac:dyDescent="0.3">
      <c r="B48" s="67">
        <v>45431</v>
      </c>
      <c r="C48" s="68">
        <v>18500</v>
      </c>
      <c r="D48" s="71">
        <f t="shared" si="1"/>
        <v>-2.7083881146463318E-2</v>
      </c>
      <c r="G48" s="68">
        <v>75983.039999999994</v>
      </c>
      <c r="H48" s="71">
        <f t="shared" si="0"/>
        <v>8.5037167011645879E-3</v>
      </c>
    </row>
    <row r="49" spans="2:8" x14ac:dyDescent="0.3">
      <c r="B49" s="67">
        <v>45438</v>
      </c>
      <c r="C49" s="68">
        <v>18500</v>
      </c>
      <c r="D49" s="71">
        <f t="shared" si="1"/>
        <v>0</v>
      </c>
      <c r="G49" s="68">
        <v>75878.48</v>
      </c>
      <c r="H49" s="71">
        <f t="shared" si="0"/>
        <v>-1.3760965604955749E-3</v>
      </c>
    </row>
    <row r="50" spans="2:8" x14ac:dyDescent="0.3">
      <c r="B50" s="67">
        <v>45445</v>
      </c>
      <c r="C50" s="68">
        <v>18200</v>
      </c>
      <c r="D50" s="71">
        <f t="shared" si="1"/>
        <v>-1.6216216216216217E-2</v>
      </c>
      <c r="G50" s="68">
        <v>73754.02</v>
      </c>
      <c r="H50" s="71">
        <f t="shared" si="0"/>
        <v>-2.7998188682746308E-2</v>
      </c>
    </row>
    <row r="51" spans="2:8" x14ac:dyDescent="0.3">
      <c r="B51" s="67">
        <v>45452</v>
      </c>
      <c r="C51" s="68">
        <v>18190</v>
      </c>
      <c r="D51" s="71">
        <f t="shared" si="1"/>
        <v>-5.4945054945054945E-4</v>
      </c>
      <c r="G51" s="68">
        <v>76706.77</v>
      </c>
      <c r="H51" s="71">
        <f t="shared" si="0"/>
        <v>4.0035105883042037E-2</v>
      </c>
    </row>
    <row r="52" spans="2:8" x14ac:dyDescent="0.3">
      <c r="B52" s="67">
        <v>45459</v>
      </c>
      <c r="C52" s="68">
        <v>18200</v>
      </c>
      <c r="D52" s="71">
        <f t="shared" si="1"/>
        <v>5.4975261132490382E-4</v>
      </c>
      <c r="G52" s="68">
        <v>78810.490000000005</v>
      </c>
      <c r="H52" s="71">
        <f t="shared" si="0"/>
        <v>2.7425480176000123E-2</v>
      </c>
    </row>
    <row r="53" spans="2:8" x14ac:dyDescent="0.3">
      <c r="B53" s="67">
        <v>45466</v>
      </c>
      <c r="C53" s="68">
        <v>18496.599999999999</v>
      </c>
      <c r="D53" s="71">
        <f t="shared" si="1"/>
        <v>1.6296703296703217E-2</v>
      </c>
      <c r="G53" s="68">
        <v>78444.960000000006</v>
      </c>
      <c r="H53" s="71">
        <f t="shared" si="0"/>
        <v>-4.6380881529857103E-3</v>
      </c>
    </row>
    <row r="54" spans="2:8" x14ac:dyDescent="0.3">
      <c r="B54" s="67">
        <v>45473</v>
      </c>
      <c r="C54" s="68">
        <v>18172.5</v>
      </c>
      <c r="D54" s="71">
        <f t="shared" si="1"/>
        <v>-1.7522139203961732E-2</v>
      </c>
      <c r="G54" s="68">
        <v>80212.789999999994</v>
      </c>
      <c r="H54" s="71">
        <f t="shared" si="0"/>
        <v>2.2535928375768018E-2</v>
      </c>
    </row>
    <row r="55" spans="2:8" x14ac:dyDescent="0.3">
      <c r="B55" s="67">
        <v>45480</v>
      </c>
      <c r="C55" s="68">
        <v>18192.2</v>
      </c>
      <c r="D55" s="71">
        <f t="shared" si="1"/>
        <v>1.0840555784840131E-3</v>
      </c>
      <c r="G55" s="68">
        <v>79944.100000000006</v>
      </c>
      <c r="H55" s="71">
        <f t="shared" si="0"/>
        <v>-3.3497151763451664E-3</v>
      </c>
    </row>
    <row r="56" spans="2:8" x14ac:dyDescent="0.3">
      <c r="B56" s="67">
        <v>45487</v>
      </c>
      <c r="C56" s="68">
        <v>18260</v>
      </c>
      <c r="D56" s="71">
        <f t="shared" si="1"/>
        <v>3.7268719561130191E-3</v>
      </c>
      <c r="G56" s="68">
        <v>80117.89</v>
      </c>
      <c r="H56" s="71">
        <f t="shared" si="0"/>
        <v>2.173894008438316E-3</v>
      </c>
    </row>
    <row r="57" spans="2:8" x14ac:dyDescent="0.3">
      <c r="B57" s="67">
        <v>45494</v>
      </c>
      <c r="C57" s="68">
        <v>18150</v>
      </c>
      <c r="D57" s="71">
        <f t="shared" si="1"/>
        <v>-6.024096385542169E-3</v>
      </c>
      <c r="G57" s="68">
        <v>78029.509999999995</v>
      </c>
      <c r="H57" s="71">
        <f t="shared" si="0"/>
        <v>-2.6066337992675603E-2</v>
      </c>
    </row>
    <row r="58" spans="2:8" x14ac:dyDescent="0.3">
      <c r="B58" s="67">
        <v>45501</v>
      </c>
      <c r="C58" s="68">
        <v>18000</v>
      </c>
      <c r="D58" s="71">
        <f t="shared" si="1"/>
        <v>-8.2644628099173556E-3</v>
      </c>
      <c r="G58" s="68">
        <v>78225.98</v>
      </c>
      <c r="H58" s="71">
        <f t="shared" si="0"/>
        <v>2.5178935507861214E-3</v>
      </c>
    </row>
    <row r="59" spans="2:8" x14ac:dyDescent="0.3">
      <c r="B59" s="67">
        <v>45508</v>
      </c>
      <c r="C59" s="68">
        <v>17945</v>
      </c>
      <c r="D59" s="71">
        <f t="shared" si="1"/>
        <v>-3.0555555555555557E-3</v>
      </c>
      <c r="G59" s="68">
        <v>78569.59</v>
      </c>
      <c r="H59" s="71">
        <f t="shared" si="0"/>
        <v>4.3925304611076854E-3</v>
      </c>
    </row>
    <row r="60" spans="2:8" x14ac:dyDescent="0.3">
      <c r="B60" s="67">
        <v>45515</v>
      </c>
      <c r="C60" s="68">
        <v>17959.8</v>
      </c>
      <c r="D60" s="71">
        <f t="shared" si="1"/>
        <v>8.247422680411966E-4</v>
      </c>
      <c r="G60" s="68">
        <v>78045.31</v>
      </c>
      <c r="H60" s="71">
        <f t="shared" si="0"/>
        <v>-6.6728106892246586E-3</v>
      </c>
    </row>
    <row r="61" spans="2:8" x14ac:dyDescent="0.3">
      <c r="B61" s="67">
        <v>45522</v>
      </c>
      <c r="C61" s="68">
        <v>17500</v>
      </c>
      <c r="D61" s="71">
        <f t="shared" si="1"/>
        <v>-2.5601621398901951E-2</v>
      </c>
      <c r="G61" s="68">
        <v>78801.429999999993</v>
      </c>
      <c r="H61" s="71">
        <f t="shared" si="0"/>
        <v>9.6882182926814608E-3</v>
      </c>
    </row>
    <row r="62" spans="2:8" x14ac:dyDescent="0.3">
      <c r="B62" s="67">
        <v>45529</v>
      </c>
      <c r="C62" s="68">
        <v>17498.900000000001</v>
      </c>
      <c r="D62" s="71">
        <f t="shared" si="1"/>
        <v>-6.2857142857059703E-5</v>
      </c>
      <c r="G62" s="68">
        <v>78488.22</v>
      </c>
      <c r="H62" s="71">
        <f t="shared" si="0"/>
        <v>-3.974674063655848E-3</v>
      </c>
    </row>
    <row r="63" spans="2:8" x14ac:dyDescent="0.3">
      <c r="B63" s="67">
        <v>45536</v>
      </c>
      <c r="C63" s="68">
        <v>17599</v>
      </c>
      <c r="D63" s="71">
        <f t="shared" si="1"/>
        <v>5.7203595654583168E-3</v>
      </c>
      <c r="G63" s="2">
        <v>78897.73</v>
      </c>
      <c r="H63" s="71">
        <f t="shared" si="0"/>
        <v>5.2174708510397448E-3</v>
      </c>
    </row>
    <row r="64" spans="2:8" x14ac:dyDescent="0.3">
      <c r="B64" s="67">
        <v>45543</v>
      </c>
      <c r="C64" s="68">
        <v>17300</v>
      </c>
      <c r="D64" s="71">
        <f t="shared" si="1"/>
        <v>-1.6989601681913744E-2</v>
      </c>
      <c r="G64" s="2">
        <v>79333.06</v>
      </c>
      <c r="H64" s="71">
        <f t="shared" si="0"/>
        <v>5.517649240352058E-3</v>
      </c>
    </row>
    <row r="65" spans="2:8" x14ac:dyDescent="0.3">
      <c r="B65" s="67">
        <v>45550</v>
      </c>
      <c r="C65" s="68">
        <v>17550</v>
      </c>
      <c r="D65" s="71">
        <f t="shared" si="1"/>
        <v>1.4450867052023121E-2</v>
      </c>
      <c r="G65" s="2">
        <v>82074.45</v>
      </c>
      <c r="H65" s="71">
        <f t="shared" si="0"/>
        <v>3.4555455191064094E-2</v>
      </c>
    </row>
    <row r="66" spans="2:8" x14ac:dyDescent="0.3">
      <c r="B66" s="67">
        <v>45557</v>
      </c>
      <c r="C66" s="68">
        <v>17387.599999999999</v>
      </c>
      <c r="D66" s="71">
        <f t="shared" si="1"/>
        <v>-9.2535612535613373E-3</v>
      </c>
      <c r="G66" s="2">
        <v>81292.13</v>
      </c>
      <c r="H66" s="71">
        <f t="shared" si="0"/>
        <v>-9.5318335974227363E-3</v>
      </c>
    </row>
    <row r="67" spans="2:8" x14ac:dyDescent="0.3">
      <c r="B67" s="67">
        <v>45564</v>
      </c>
      <c r="C67" s="68">
        <v>17075.099999999999</v>
      </c>
      <c r="D67" s="71">
        <f t="shared" si="1"/>
        <v>-1.7972578159147899E-2</v>
      </c>
      <c r="G67" s="2">
        <v>83531.960000000006</v>
      </c>
      <c r="H67" s="71">
        <f t="shared" si="0"/>
        <v>2.7552851672111453E-2</v>
      </c>
    </row>
    <row r="68" spans="2:8" x14ac:dyDescent="0.3">
      <c r="B68" s="67">
        <v>45571</v>
      </c>
      <c r="C68" s="68">
        <v>17380</v>
      </c>
      <c r="D68" s="71">
        <f t="shared" si="1"/>
        <v>1.7856410797008598E-2</v>
      </c>
      <c r="G68" s="2">
        <v>85483.4</v>
      </c>
      <c r="H68" s="71">
        <f t="shared" si="0"/>
        <v>2.3361597165922929E-2</v>
      </c>
    </row>
    <row r="69" spans="2:8" x14ac:dyDescent="0.3">
      <c r="B69" s="67">
        <v>45578</v>
      </c>
      <c r="C69" s="68">
        <v>17350.5</v>
      </c>
      <c r="D69" s="71">
        <f t="shared" si="1"/>
        <v>-1.6973532796317606E-3</v>
      </c>
      <c r="G69" s="2">
        <v>85201.86</v>
      </c>
      <c r="H69" s="71">
        <f t="shared" si="0"/>
        <v>-3.2935049378007147E-3</v>
      </c>
    </row>
  </sheetData>
  <mergeCells count="7">
    <mergeCell ref="R8:U8"/>
    <mergeCell ref="R10:U10"/>
    <mergeCell ref="J16:N25"/>
    <mergeCell ref="B2:D2"/>
    <mergeCell ref="B4:E4"/>
    <mergeCell ref="G4:H4"/>
    <mergeCell ref="J4:K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A46F2-B327-4676-94C8-9DDE67206FA2}">
  <dimension ref="B2:X70"/>
  <sheetViews>
    <sheetView showGridLines="0" workbookViewId="0">
      <selection activeCell="C26" activeCellId="1" sqref="B1 C26"/>
    </sheetView>
  </sheetViews>
  <sheetFormatPr defaultRowHeight="14.4" x14ac:dyDescent="0.3"/>
  <cols>
    <col min="2" max="2" width="11.109375" customWidth="1"/>
    <col min="3" max="3" width="13.109375" customWidth="1"/>
    <col min="7" max="7" width="15.21875" customWidth="1"/>
    <col min="10" max="11" width="15.88671875" customWidth="1"/>
  </cols>
  <sheetData>
    <row r="2" spans="2:20" x14ac:dyDescent="0.3">
      <c r="B2" s="416" t="s">
        <v>63</v>
      </c>
      <c r="C2" s="416"/>
      <c r="D2" s="416"/>
    </row>
    <row r="3" spans="2:20" x14ac:dyDescent="0.3">
      <c r="B3" s="61"/>
    </row>
    <row r="4" spans="2:20" x14ac:dyDescent="0.3">
      <c r="B4" s="417" t="s">
        <v>21</v>
      </c>
      <c r="C4" s="417"/>
      <c r="D4" s="417"/>
      <c r="E4" s="417"/>
      <c r="G4" s="417" t="s">
        <v>65</v>
      </c>
      <c r="H4" s="417"/>
      <c r="I4" s="63"/>
      <c r="J4" s="417" t="s">
        <v>66</v>
      </c>
      <c r="K4" s="417"/>
      <c r="L4" s="63"/>
      <c r="M4" s="63"/>
      <c r="N4" s="63"/>
    </row>
    <row r="6" spans="2:20" x14ac:dyDescent="0.3">
      <c r="B6" s="64" t="s">
        <v>67</v>
      </c>
      <c r="C6" s="64" t="s">
        <v>68</v>
      </c>
      <c r="D6" s="64" t="s">
        <v>69</v>
      </c>
      <c r="E6" s="8"/>
      <c r="F6" s="8"/>
      <c r="G6" s="64" t="s">
        <v>68</v>
      </c>
      <c r="H6" s="64" t="s">
        <v>69</v>
      </c>
      <c r="J6" t="s">
        <v>70</v>
      </c>
      <c r="K6" s="65">
        <f>P10</f>
        <v>-3.1331791789047471E-2</v>
      </c>
      <c r="O6" t="s">
        <v>71</v>
      </c>
      <c r="P6" s="65">
        <f>SLOPE(D7:D69,H7:H69)</f>
        <v>-3.1331791789047679E-2</v>
      </c>
      <c r="Q6" s="415" t="s">
        <v>72</v>
      </c>
      <c r="R6" s="415"/>
      <c r="S6" s="415"/>
    </row>
    <row r="7" spans="2:20" x14ac:dyDescent="0.3">
      <c r="B7" s="67">
        <v>45144</v>
      </c>
      <c r="C7" s="78">
        <v>7181</v>
      </c>
      <c r="D7" s="7"/>
      <c r="G7" s="68">
        <f>'Beta-UFPL'!G7</f>
        <v>48424.4</v>
      </c>
      <c r="H7" s="7"/>
      <c r="J7" t="s">
        <v>73</v>
      </c>
      <c r="K7" s="40">
        <v>0.5</v>
      </c>
      <c r="L7" s="69"/>
      <c r="M7" s="69"/>
      <c r="N7" s="69"/>
      <c r="P7" s="65"/>
    </row>
    <row r="8" spans="2:20" x14ac:dyDescent="0.3">
      <c r="B8" s="67">
        <v>45151</v>
      </c>
      <c r="C8" s="78">
        <v>7400</v>
      </c>
      <c r="D8" s="71">
        <f>(C8-C7)/C7</f>
        <v>3.0497145244394931E-2</v>
      </c>
      <c r="G8" s="68">
        <f>'Beta-UFPL'!G8</f>
        <v>48218.49</v>
      </c>
      <c r="H8" s="71">
        <f t="shared" ref="H8:H69" si="0">(G8-G7)/G7</f>
        <v>-4.2521951743336728E-3</v>
      </c>
      <c r="O8" t="s">
        <v>74</v>
      </c>
      <c r="P8" s="65">
        <f>_xlfn.COVARIANCE.S(D7:D69,H7:H69)/_xlfn.VAR.S(H7:H69)</f>
        <v>-3.1331791789047686E-2</v>
      </c>
      <c r="Q8" s="415" t="s">
        <v>75</v>
      </c>
      <c r="R8" s="415"/>
      <c r="S8" s="415"/>
      <c r="T8" s="415"/>
    </row>
    <row r="9" spans="2:20" x14ac:dyDescent="0.3">
      <c r="B9" s="67">
        <v>45158</v>
      </c>
      <c r="C9" s="78">
        <v>7100</v>
      </c>
      <c r="D9" s="71">
        <f t="shared" ref="D9:D69" si="1">(C9-C8)/C8</f>
        <v>-4.0540540540540543E-2</v>
      </c>
      <c r="G9" s="68">
        <f>'Beta-UFPL'!G9</f>
        <v>47671.21</v>
      </c>
      <c r="H9" s="71">
        <f t="shared" si="0"/>
        <v>-1.1350002872342101E-2</v>
      </c>
      <c r="J9" t="s">
        <v>76</v>
      </c>
      <c r="K9">
        <v>1</v>
      </c>
      <c r="P9" s="65"/>
    </row>
    <row r="10" spans="2:20" x14ac:dyDescent="0.3">
      <c r="B10" s="67">
        <v>45165</v>
      </c>
      <c r="C10" s="78">
        <v>7100</v>
      </c>
      <c r="D10" s="71">
        <f>(C10-C9)/C9</f>
        <v>0</v>
      </c>
      <c r="G10" s="68">
        <f>'Beta-UFPL'!G10</f>
        <v>45312.65</v>
      </c>
      <c r="H10" s="71">
        <f t="shared" si="0"/>
        <v>-4.947556397246887E-2</v>
      </c>
      <c r="J10" t="s">
        <v>77</v>
      </c>
      <c r="K10" s="36">
        <f>100%-K7</f>
        <v>0.5</v>
      </c>
      <c r="O10" t="s">
        <v>78</v>
      </c>
      <c r="P10" s="65">
        <f>Q42</f>
        <v>-3.1331791789047471E-2</v>
      </c>
      <c r="Q10" s="415" t="s">
        <v>79</v>
      </c>
      <c r="R10" s="415"/>
      <c r="S10" s="415"/>
      <c r="T10" s="415"/>
    </row>
    <row r="11" spans="2:20" x14ac:dyDescent="0.3">
      <c r="B11" s="67">
        <f>B10+7</f>
        <v>45172</v>
      </c>
      <c r="C11" s="78">
        <v>7100</v>
      </c>
      <c r="D11" s="71">
        <f t="shared" si="1"/>
        <v>0</v>
      </c>
      <c r="G11" s="68">
        <f>'Beta-UFPL'!G11</f>
        <v>46013.48</v>
      </c>
      <c r="H11" s="71">
        <f t="shared" si="0"/>
        <v>1.5466541903861321E-2</v>
      </c>
    </row>
    <row r="12" spans="2:20" x14ac:dyDescent="0.3">
      <c r="B12" s="67">
        <v>45179</v>
      </c>
      <c r="C12" s="78">
        <v>7000</v>
      </c>
      <c r="D12" s="71">
        <f>(C12-C9)/C9</f>
        <v>-1.4084507042253521E-2</v>
      </c>
      <c r="G12" s="68">
        <f>'Beta-UFPL'!G12</f>
        <v>45753.51</v>
      </c>
      <c r="H12" s="71">
        <f t="shared" si="0"/>
        <v>-5.6498660827218709E-3</v>
      </c>
      <c r="J12" s="66" t="s">
        <v>80</v>
      </c>
      <c r="K12" s="72">
        <f>(K6*K7)+(K9*K10)</f>
        <v>0.48433410410547628</v>
      </c>
    </row>
    <row r="13" spans="2:20" x14ac:dyDescent="0.3">
      <c r="B13" s="67">
        <v>45186</v>
      </c>
      <c r="C13" s="78">
        <v>7100</v>
      </c>
      <c r="D13" s="71">
        <f t="shared" si="1"/>
        <v>1.4285714285714285E-2</v>
      </c>
      <c r="G13" s="68">
        <f>'Beta-UFPL'!G13</f>
        <v>46436.41</v>
      </c>
      <c r="H13" s="71">
        <f t="shared" si="0"/>
        <v>1.4925630842311364E-2</v>
      </c>
    </row>
    <row r="14" spans="2:20" x14ac:dyDescent="0.3">
      <c r="B14" s="67">
        <v>45193</v>
      </c>
      <c r="C14" s="78">
        <v>7100</v>
      </c>
      <c r="D14" s="71">
        <f t="shared" si="1"/>
        <v>0</v>
      </c>
      <c r="G14" s="68">
        <f>'Beta-UFPL'!G14</f>
        <v>46232.59</v>
      </c>
      <c r="H14" s="71">
        <f t="shared" si="0"/>
        <v>-4.3892281939970591E-3</v>
      </c>
    </row>
    <row r="15" spans="2:20" x14ac:dyDescent="0.3">
      <c r="B15" s="67">
        <v>45200</v>
      </c>
      <c r="C15" s="78">
        <v>7100</v>
      </c>
      <c r="D15" s="71">
        <f t="shared" si="1"/>
        <v>0</v>
      </c>
      <c r="G15" s="68">
        <f>'Beta-UFPL'!G15</f>
        <v>47508.67</v>
      </c>
      <c r="H15" s="71">
        <f t="shared" si="0"/>
        <v>2.7601308946784114E-2</v>
      </c>
    </row>
    <row r="16" spans="2:20" x14ac:dyDescent="0.3">
      <c r="B16" s="67">
        <v>45207</v>
      </c>
      <c r="C16" s="78">
        <v>7106</v>
      </c>
      <c r="D16" s="71">
        <f t="shared" si="1"/>
        <v>8.4507042253521131E-4</v>
      </c>
      <c r="G16" s="68">
        <f>'Beta-UFPL'!G16</f>
        <v>49493.47</v>
      </c>
      <c r="H16" s="71">
        <f t="shared" si="0"/>
        <v>4.1777637639614056E-2</v>
      </c>
    </row>
    <row r="17" spans="2:17" x14ac:dyDescent="0.3">
      <c r="B17" s="67">
        <v>45214</v>
      </c>
      <c r="C17" s="78">
        <v>7200</v>
      </c>
      <c r="D17" s="71">
        <f t="shared" si="1"/>
        <v>1.3228257810301155E-2</v>
      </c>
      <c r="G17" s="68">
        <f>'Beta-UFPL'!G17</f>
        <v>50674.52</v>
      </c>
      <c r="H17" s="71">
        <f t="shared" si="0"/>
        <v>2.3862743913489914E-2</v>
      </c>
    </row>
    <row r="18" spans="2:17" x14ac:dyDescent="0.3">
      <c r="B18" s="67">
        <v>45221</v>
      </c>
      <c r="C18" s="78">
        <v>7125</v>
      </c>
      <c r="D18" s="71">
        <f t="shared" si="1"/>
        <v>-1.0416666666666666E-2</v>
      </c>
      <c r="G18" s="68">
        <f>'Beta-UFPL'!G18</f>
        <v>50958.45</v>
      </c>
      <c r="H18" s="71">
        <f t="shared" si="0"/>
        <v>5.603013111915028E-3</v>
      </c>
    </row>
    <row r="19" spans="2:17" x14ac:dyDescent="0.3">
      <c r="B19" s="67">
        <v>45228</v>
      </c>
      <c r="C19" s="78">
        <v>7300</v>
      </c>
      <c r="D19" s="71">
        <f t="shared" si="1"/>
        <v>2.456140350877193E-2</v>
      </c>
      <c r="G19" s="68">
        <f>'Beta-UFPL'!G19</f>
        <v>53175.72</v>
      </c>
      <c r="H19" s="71">
        <f t="shared" si="0"/>
        <v>4.351133129049263E-2</v>
      </c>
    </row>
    <row r="20" spans="2:17" x14ac:dyDescent="0.3">
      <c r="B20" s="67">
        <v>45235</v>
      </c>
      <c r="C20" s="78">
        <v>7300</v>
      </c>
      <c r="D20" s="71">
        <f t="shared" si="1"/>
        <v>0</v>
      </c>
      <c r="G20" s="68">
        <f>'Beta-UFPL'!G20</f>
        <v>55399.66</v>
      </c>
      <c r="H20" s="71">
        <f t="shared" si="0"/>
        <v>4.1822470857000194E-2</v>
      </c>
      <c r="O20" s="74"/>
      <c r="P20" s="74"/>
    </row>
    <row r="21" spans="2:17" x14ac:dyDescent="0.3">
      <c r="B21" s="67">
        <v>45242</v>
      </c>
      <c r="C21" s="78">
        <v>8600</v>
      </c>
      <c r="D21" s="71">
        <f t="shared" si="1"/>
        <v>0.17808219178082191</v>
      </c>
      <c r="G21" s="68">
        <f>'Beta-UFPL'!G21</f>
        <v>57016.959999999999</v>
      </c>
      <c r="H21" s="71">
        <f t="shared" si="0"/>
        <v>2.9193319959003278E-2</v>
      </c>
    </row>
    <row r="22" spans="2:17" x14ac:dyDescent="0.3">
      <c r="B22" s="67">
        <v>45249</v>
      </c>
      <c r="C22" s="78">
        <v>8570</v>
      </c>
      <c r="D22" s="71">
        <f t="shared" si="1"/>
        <v>-3.4883720930232558E-3</v>
      </c>
      <c r="G22" s="68">
        <f>'Beta-UFPL'!G22</f>
        <v>59173.34</v>
      </c>
      <c r="H22" s="71">
        <f t="shared" si="0"/>
        <v>3.7819974968851325E-2</v>
      </c>
    </row>
    <row r="23" spans="2:17" x14ac:dyDescent="0.3">
      <c r="B23" s="67">
        <v>45256</v>
      </c>
      <c r="C23" s="78">
        <v>8500</v>
      </c>
      <c r="D23" s="71">
        <f t="shared" si="1"/>
        <v>-8.1680280046674443E-3</v>
      </c>
      <c r="G23" s="68">
        <f>'Beta-UFPL'!G23</f>
        <v>61691.25</v>
      </c>
      <c r="H23" s="71">
        <f t="shared" si="0"/>
        <v>4.2551426030709161E-2</v>
      </c>
    </row>
    <row r="24" spans="2:17" x14ac:dyDescent="0.3">
      <c r="B24" s="67">
        <v>45263</v>
      </c>
      <c r="C24" s="78">
        <v>8900</v>
      </c>
      <c r="D24" s="71">
        <f t="shared" si="1"/>
        <v>4.7058823529411764E-2</v>
      </c>
      <c r="G24" s="68">
        <f>'Beta-UFPL'!G24</f>
        <v>66223.63</v>
      </c>
      <c r="H24" s="71">
        <f t="shared" si="0"/>
        <v>7.3468765829838176E-2</v>
      </c>
    </row>
    <row r="25" spans="2:17" x14ac:dyDescent="0.3">
      <c r="B25" s="67">
        <v>45270</v>
      </c>
      <c r="C25" s="78">
        <v>8500</v>
      </c>
      <c r="D25" s="71">
        <f t="shared" si="1"/>
        <v>-4.49438202247191E-2</v>
      </c>
      <c r="G25" s="68">
        <f>'Beta-UFPL'!G25</f>
        <v>66130.02</v>
      </c>
      <c r="H25" s="71">
        <f t="shared" si="0"/>
        <v>-1.4135437758395391E-3</v>
      </c>
      <c r="P25" t="s">
        <v>83</v>
      </c>
    </row>
    <row r="26" spans="2:17" ht="15" thickBot="1" x14ac:dyDescent="0.35">
      <c r="B26" s="67">
        <v>45277</v>
      </c>
      <c r="C26" s="78">
        <v>7901</v>
      </c>
      <c r="D26" s="71">
        <f t="shared" si="1"/>
        <v>-7.0470588235294118E-2</v>
      </c>
      <c r="G26" s="68">
        <f>'Beta-UFPL'!G26</f>
        <v>61705.09</v>
      </c>
      <c r="H26" s="71">
        <f t="shared" si="0"/>
        <v>-6.6912576164350285E-2</v>
      </c>
    </row>
    <row r="27" spans="2:17" x14ac:dyDescent="0.3">
      <c r="B27" s="67">
        <v>45284</v>
      </c>
      <c r="C27" s="78">
        <v>8300</v>
      </c>
      <c r="D27" s="71">
        <f t="shared" si="1"/>
        <v>5.049993671687128E-2</v>
      </c>
      <c r="G27" s="68">
        <f>'Beta-UFPL'!G27</f>
        <v>62451.040000000001</v>
      </c>
      <c r="H27" s="71">
        <f t="shared" si="0"/>
        <v>1.2088954087904327E-2</v>
      </c>
      <c r="P27" s="75" t="s">
        <v>84</v>
      </c>
      <c r="Q27" s="75"/>
    </row>
    <row r="28" spans="2:17" x14ac:dyDescent="0.3">
      <c r="B28" s="67">
        <v>45291</v>
      </c>
      <c r="C28" s="78">
        <v>8400</v>
      </c>
      <c r="D28" s="71">
        <f t="shared" si="1"/>
        <v>1.2048192771084338E-2</v>
      </c>
      <c r="G28" s="68">
        <f>'Beta-UFPL'!G28</f>
        <v>64514.9</v>
      </c>
      <c r="H28" s="71">
        <f t="shared" si="0"/>
        <v>3.3047648205698422E-2</v>
      </c>
      <c r="O28" s="79"/>
      <c r="P28" t="s">
        <v>85</v>
      </c>
      <c r="Q28">
        <v>3.6799480828654434E-3</v>
      </c>
    </row>
    <row r="29" spans="2:17" x14ac:dyDescent="0.3">
      <c r="B29" s="67">
        <v>45298</v>
      </c>
      <c r="C29" s="78">
        <v>8200</v>
      </c>
      <c r="D29" s="71">
        <f t="shared" si="1"/>
        <v>-2.3809523809523808E-2</v>
      </c>
      <c r="G29" s="68">
        <f>'Beta-UFPL'!G29</f>
        <v>64637.64</v>
      </c>
      <c r="H29" s="71">
        <f t="shared" si="0"/>
        <v>1.9025062427438927E-3</v>
      </c>
      <c r="P29" t="s">
        <v>86</v>
      </c>
      <c r="Q29">
        <v>1.3542017892585053E-5</v>
      </c>
    </row>
    <row r="30" spans="2:17" x14ac:dyDescent="0.3">
      <c r="B30" s="67">
        <v>45305</v>
      </c>
      <c r="C30" s="78">
        <v>8200</v>
      </c>
      <c r="D30" s="71">
        <f t="shared" si="1"/>
        <v>0</v>
      </c>
      <c r="G30" s="68">
        <f>'Beta-UFPL'!G30</f>
        <v>63282.23</v>
      </c>
      <c r="H30" s="71">
        <f t="shared" si="0"/>
        <v>-2.096936088631943E-2</v>
      </c>
      <c r="P30" t="s">
        <v>87</v>
      </c>
      <c r="Q30">
        <v>-1.665289894847587E-2</v>
      </c>
    </row>
    <row r="31" spans="2:17" x14ac:dyDescent="0.3">
      <c r="B31" s="67">
        <v>45312</v>
      </c>
      <c r="C31" s="78">
        <v>8300</v>
      </c>
      <c r="D31" s="71">
        <f t="shared" si="1"/>
        <v>1.2195121951219513E-2</v>
      </c>
      <c r="G31" s="68">
        <f>'Beta-UFPL'!G31</f>
        <v>63813.06</v>
      </c>
      <c r="H31" s="71">
        <f t="shared" si="0"/>
        <v>8.3882947867038576E-3</v>
      </c>
      <c r="P31" t="s">
        <v>88</v>
      </c>
      <c r="Q31">
        <v>0.21504977833576053</v>
      </c>
    </row>
    <row r="32" spans="2:17" ht="15" thickBot="1" x14ac:dyDescent="0.35">
      <c r="B32" s="67">
        <v>45319</v>
      </c>
      <c r="C32" s="78">
        <v>8200</v>
      </c>
      <c r="D32" s="71">
        <f t="shared" si="1"/>
        <v>-1.2048192771084338E-2</v>
      </c>
      <c r="G32" s="68">
        <f>'Beta-UFPL'!G32</f>
        <v>63002.92</v>
      </c>
      <c r="H32" s="71">
        <f t="shared" si="0"/>
        <v>-1.2695520321388747E-2</v>
      </c>
      <c r="P32" s="76" t="s">
        <v>89</v>
      </c>
      <c r="Q32" s="76">
        <v>62</v>
      </c>
    </row>
    <row r="33" spans="2:24" x14ac:dyDescent="0.3">
      <c r="B33" s="67">
        <v>45326</v>
      </c>
      <c r="C33" s="78">
        <v>8200</v>
      </c>
      <c r="D33" s="71">
        <f t="shared" si="1"/>
        <v>0</v>
      </c>
      <c r="G33" s="68">
        <f>'Beta-UFPL'!G33</f>
        <v>62943.75</v>
      </c>
      <c r="H33" s="71">
        <f t="shared" si="0"/>
        <v>-9.3916281975499317E-4</v>
      </c>
      <c r="O33" s="79"/>
    </row>
    <row r="34" spans="2:24" ht="15" thickBot="1" x14ac:dyDescent="0.35">
      <c r="B34" s="67">
        <f>B33+7</f>
        <v>45333</v>
      </c>
      <c r="C34" s="78">
        <v>7910.1</v>
      </c>
      <c r="D34" s="71">
        <f>(C34-C33)/C33</f>
        <v>-3.5353658536585321E-2</v>
      </c>
      <c r="G34" s="68">
        <f>'Beta-UFPL'!G34</f>
        <v>59872.959999999999</v>
      </c>
      <c r="H34" s="71">
        <f t="shared" si="0"/>
        <v>-4.8786257571244183E-2</v>
      </c>
      <c r="P34" t="s">
        <v>90</v>
      </c>
    </row>
    <row r="35" spans="2:24" x14ac:dyDescent="0.3">
      <c r="B35" s="67">
        <v>45340</v>
      </c>
      <c r="C35" s="78">
        <v>7870</v>
      </c>
      <c r="D35" s="71">
        <f>(C35-C33)/C33</f>
        <v>-4.0243902439024391E-2</v>
      </c>
      <c r="G35" s="68">
        <f>'Beta-UFPL'!G35</f>
        <v>62815.82</v>
      </c>
      <c r="H35" s="71">
        <f t="shared" si="0"/>
        <v>4.9151737278397473E-2</v>
      </c>
      <c r="P35" s="77"/>
      <c r="Q35" s="77" t="s">
        <v>91</v>
      </c>
      <c r="R35" s="77" t="s">
        <v>92</v>
      </c>
      <c r="S35" s="77" t="s">
        <v>93</v>
      </c>
      <c r="T35" s="77" t="s">
        <v>94</v>
      </c>
      <c r="U35" s="77" t="s">
        <v>95</v>
      </c>
    </row>
    <row r="36" spans="2:24" x14ac:dyDescent="0.3">
      <c r="B36" s="67">
        <v>45347</v>
      </c>
      <c r="C36" s="78">
        <v>8050</v>
      </c>
      <c r="D36" s="71">
        <f t="shared" si="1"/>
        <v>2.2871664548919948E-2</v>
      </c>
      <c r="G36" s="68">
        <f>'Beta-UFPL'!G36</f>
        <v>65325.69</v>
      </c>
      <c r="H36" s="71">
        <f t="shared" si="0"/>
        <v>3.9956017449107609E-2</v>
      </c>
      <c r="P36" t="s">
        <v>96</v>
      </c>
      <c r="Q36">
        <v>1</v>
      </c>
      <c r="R36">
        <v>3.7576689259744001E-5</v>
      </c>
      <c r="S36">
        <v>3.7576689259744001E-5</v>
      </c>
      <c r="T36">
        <v>8.1253207687902662E-4</v>
      </c>
      <c r="U36">
        <v>0.97735402348255795</v>
      </c>
    </row>
    <row r="37" spans="2:24" x14ac:dyDescent="0.3">
      <c r="B37" s="67">
        <v>45354</v>
      </c>
      <c r="C37" s="78">
        <v>7500</v>
      </c>
      <c r="D37" s="71">
        <f t="shared" si="1"/>
        <v>-6.8322981366459631E-2</v>
      </c>
      <c r="G37" s="68">
        <f>'Beta-UFPL'!G37</f>
        <v>65793.759999999995</v>
      </c>
      <c r="H37" s="71">
        <f t="shared" si="0"/>
        <v>7.1651749870532159E-3</v>
      </c>
      <c r="P37" t="s">
        <v>97</v>
      </c>
      <c r="Q37">
        <v>60</v>
      </c>
      <c r="R37">
        <v>2.7747844297355848</v>
      </c>
      <c r="S37">
        <v>4.6246407162259744E-2</v>
      </c>
    </row>
    <row r="38" spans="2:24" ht="15" thickBot="1" x14ac:dyDescent="0.35">
      <c r="B38" s="67">
        <v>45361</v>
      </c>
      <c r="C38" s="78">
        <v>7200</v>
      </c>
      <c r="D38" s="71">
        <f t="shared" si="1"/>
        <v>-0.04</v>
      </c>
      <c r="G38" s="68">
        <f>'Beta-UFPL'!G38</f>
        <v>64816.47</v>
      </c>
      <c r="H38" s="71">
        <f t="shared" si="0"/>
        <v>-1.4853840242600417E-2</v>
      </c>
      <c r="P38" s="76" t="s">
        <v>98</v>
      </c>
      <c r="Q38" s="76">
        <v>61</v>
      </c>
      <c r="R38" s="76">
        <v>2.7748220064248446</v>
      </c>
      <c r="S38" s="76"/>
      <c r="T38" s="76"/>
      <c r="U38" s="76"/>
    </row>
    <row r="39" spans="2:24" ht="15" thickBot="1" x14ac:dyDescent="0.35">
      <c r="B39" s="67">
        <v>45368</v>
      </c>
      <c r="C39" s="78">
        <v>7600</v>
      </c>
      <c r="D39" s="71">
        <f t="shared" si="1"/>
        <v>5.5555555555555552E-2</v>
      </c>
      <c r="G39" s="68">
        <f>'Beta-UFPL'!G39</f>
        <v>65151.83</v>
      </c>
      <c r="H39" s="71">
        <f t="shared" si="0"/>
        <v>5.1739935852723939E-3</v>
      </c>
    </row>
    <row r="40" spans="2:24" x14ac:dyDescent="0.3">
      <c r="B40" s="67">
        <v>45375</v>
      </c>
      <c r="C40" s="78">
        <v>7600.3</v>
      </c>
      <c r="D40" s="71">
        <f t="shared" si="1"/>
        <v>3.947368421055025E-5</v>
      </c>
      <c r="G40" s="68">
        <f>'Beta-UFPL'!G40</f>
        <v>67005.11</v>
      </c>
      <c r="H40" s="71">
        <f t="shared" si="0"/>
        <v>2.8445555558454749E-2</v>
      </c>
      <c r="P40" s="77"/>
      <c r="Q40" s="77" t="s">
        <v>99</v>
      </c>
      <c r="R40" s="77" t="s">
        <v>88</v>
      </c>
      <c r="S40" s="77" t="s">
        <v>100</v>
      </c>
      <c r="T40" s="77" t="s">
        <v>101</v>
      </c>
      <c r="U40" s="77" t="s">
        <v>102</v>
      </c>
      <c r="V40" s="77" t="s">
        <v>103</v>
      </c>
      <c r="W40" s="77" t="s">
        <v>104</v>
      </c>
      <c r="X40" s="77" t="s">
        <v>105</v>
      </c>
    </row>
    <row r="41" spans="2:24" x14ac:dyDescent="0.3">
      <c r="B41" s="67">
        <v>45382</v>
      </c>
      <c r="C41" s="78">
        <v>7600.15</v>
      </c>
      <c r="D41" s="71">
        <f t="shared" si="1"/>
        <v>-1.9736063050214557E-5</v>
      </c>
      <c r="G41" s="68">
        <f>'Beta-UFPL'!G41</f>
        <v>68416.78</v>
      </c>
      <c r="H41" s="71">
        <f t="shared" si="0"/>
        <v>2.1068094657258205E-2</v>
      </c>
      <c r="P41" t="s">
        <v>106</v>
      </c>
      <c r="Q41">
        <v>1.4225201042091767E-2</v>
      </c>
      <c r="R41">
        <v>2.9225051835337586E-2</v>
      </c>
      <c r="S41">
        <v>0.4867468198941331</v>
      </c>
      <c r="T41">
        <v>0.62821115077829348</v>
      </c>
      <c r="U41">
        <v>-4.4233606492387882E-2</v>
      </c>
      <c r="V41">
        <v>7.2684008576571424E-2</v>
      </c>
      <c r="W41">
        <v>-4.4233606492387882E-2</v>
      </c>
      <c r="X41">
        <v>7.2684008576571424E-2</v>
      </c>
    </row>
    <row r="42" spans="2:24" ht="15" thickBot="1" x14ac:dyDescent="0.35">
      <c r="B42" s="67">
        <v>45389</v>
      </c>
      <c r="C42" s="78">
        <v>7600</v>
      </c>
      <c r="D42" s="71">
        <f t="shared" si="1"/>
        <v>-1.9736452569967198E-5</v>
      </c>
      <c r="G42" s="68">
        <f>'Beta-UFPL'!G42</f>
        <v>70314.720000000001</v>
      </c>
      <c r="H42" s="71">
        <f t="shared" si="0"/>
        <v>2.7740855386646411E-2</v>
      </c>
      <c r="P42" s="76"/>
      <c r="Q42" s="76">
        <v>-3.1331791789047471E-2</v>
      </c>
      <c r="R42" s="76">
        <v>1.0991702729188562</v>
      </c>
      <c r="S42" s="76">
        <v>-2.85049482878077E-2</v>
      </c>
      <c r="T42" s="76">
        <v>0.97735402348239675</v>
      </c>
      <c r="U42" s="76">
        <v>-2.2299996947314562</v>
      </c>
      <c r="V42" s="76">
        <v>2.1673361111533613</v>
      </c>
      <c r="W42" s="76">
        <v>-2.2299996947314562</v>
      </c>
      <c r="X42" s="76">
        <v>2.1673361111533613</v>
      </c>
    </row>
    <row r="43" spans="2:24" x14ac:dyDescent="0.3">
      <c r="B43" s="67">
        <v>45396</v>
      </c>
      <c r="C43" s="78">
        <v>7710</v>
      </c>
      <c r="D43" s="71">
        <f t="shared" si="1"/>
        <v>1.4473684210526316E-2</v>
      </c>
      <c r="G43" s="68">
        <f>'Beta-UFPL'!G43</f>
        <v>70909.899999999994</v>
      </c>
      <c r="H43" s="71">
        <f t="shared" si="0"/>
        <v>8.4645149692694922E-3</v>
      </c>
    </row>
    <row r="44" spans="2:24" x14ac:dyDescent="0.3">
      <c r="B44" s="67">
        <v>45403</v>
      </c>
      <c r="C44" s="78">
        <v>7600</v>
      </c>
      <c r="D44" s="71">
        <f t="shared" si="1"/>
        <v>-1.4267185473411154E-2</v>
      </c>
      <c r="G44" s="68">
        <f>'Beta-UFPL'!G44</f>
        <v>72742.75</v>
      </c>
      <c r="H44" s="71">
        <f t="shared" si="0"/>
        <v>2.5847589687758774E-2</v>
      </c>
    </row>
    <row r="45" spans="2:24" x14ac:dyDescent="0.3">
      <c r="B45" s="67">
        <v>45410</v>
      </c>
      <c r="C45" s="78">
        <v>7480</v>
      </c>
      <c r="D45" s="71">
        <f t="shared" si="1"/>
        <v>-1.5789473684210527E-2</v>
      </c>
      <c r="G45" s="68">
        <f>'Beta-UFPL'!G45</f>
        <v>71902.09</v>
      </c>
      <c r="H45" s="71">
        <f t="shared" si="0"/>
        <v>-1.1556615607741025E-2</v>
      </c>
    </row>
    <row r="46" spans="2:24" x14ac:dyDescent="0.3">
      <c r="B46" s="67">
        <v>45417</v>
      </c>
      <c r="C46" s="78">
        <v>7430</v>
      </c>
      <c r="D46" s="71">
        <f t="shared" si="1"/>
        <v>-6.6844919786096255E-3</v>
      </c>
      <c r="G46" s="68">
        <f>'Beta-UFPL'!G46</f>
        <v>73085.5</v>
      </c>
      <c r="H46" s="71">
        <f t="shared" si="0"/>
        <v>1.6458631452854897E-2</v>
      </c>
    </row>
    <row r="47" spans="2:24" x14ac:dyDescent="0.3">
      <c r="B47" s="67">
        <v>45424</v>
      </c>
      <c r="C47" s="78">
        <v>7137</v>
      </c>
      <c r="D47" s="71">
        <f t="shared" si="1"/>
        <v>-3.9434724091520865E-2</v>
      </c>
      <c r="G47" s="68">
        <f>'Beta-UFPL'!G47</f>
        <v>75342.350000000006</v>
      </c>
      <c r="H47" s="71">
        <f t="shared" si="0"/>
        <v>3.0879586238036352E-2</v>
      </c>
    </row>
    <row r="48" spans="2:24" x14ac:dyDescent="0.3">
      <c r="B48" s="67">
        <v>45431</v>
      </c>
      <c r="C48" s="78">
        <v>7150</v>
      </c>
      <c r="D48" s="71">
        <f t="shared" si="1"/>
        <v>1.8214936247723133E-3</v>
      </c>
      <c r="G48" s="68">
        <f>'Beta-UFPL'!G48</f>
        <v>75983.039999999994</v>
      </c>
      <c r="H48" s="71">
        <f t="shared" si="0"/>
        <v>8.5037167011645879E-3</v>
      </c>
    </row>
    <row r="49" spans="2:8" x14ac:dyDescent="0.3">
      <c r="B49" s="67">
        <v>45438</v>
      </c>
      <c r="C49" s="78">
        <v>7000</v>
      </c>
      <c r="D49" s="71">
        <f t="shared" si="1"/>
        <v>-2.097902097902098E-2</v>
      </c>
      <c r="G49" s="68">
        <f>'Beta-UFPL'!G49</f>
        <v>75878.48</v>
      </c>
      <c r="H49" s="71">
        <f t="shared" si="0"/>
        <v>-1.3760965604955749E-3</v>
      </c>
    </row>
    <row r="50" spans="2:8" x14ac:dyDescent="0.3">
      <c r="B50" s="67">
        <v>45445</v>
      </c>
      <c r="C50" s="78">
        <v>7000</v>
      </c>
      <c r="D50" s="71">
        <f t="shared" si="1"/>
        <v>0</v>
      </c>
      <c r="G50" s="68">
        <f>'Beta-UFPL'!G50</f>
        <v>73754.02</v>
      </c>
      <c r="H50" s="71">
        <f t="shared" si="0"/>
        <v>-2.7998188682746308E-2</v>
      </c>
    </row>
    <row r="51" spans="2:8" x14ac:dyDescent="0.3">
      <c r="B51" s="67">
        <v>45452</v>
      </c>
      <c r="C51" s="78">
        <v>7100</v>
      </c>
      <c r="D51" s="71">
        <f t="shared" si="1"/>
        <v>1.4285714285714285E-2</v>
      </c>
      <c r="G51" s="68">
        <f>'Beta-UFPL'!G51</f>
        <v>76706.77</v>
      </c>
      <c r="H51" s="71">
        <f t="shared" si="0"/>
        <v>4.0035105883042037E-2</v>
      </c>
    </row>
    <row r="52" spans="2:8" x14ac:dyDescent="0.3">
      <c r="B52" s="67">
        <v>45459</v>
      </c>
      <c r="C52" s="78">
        <v>7154.2</v>
      </c>
      <c r="D52" s="71">
        <f t="shared" si="1"/>
        <v>7.6338028169013828E-3</v>
      </c>
      <c r="G52" s="68">
        <f>'Beta-UFPL'!G52</f>
        <v>78810.490000000005</v>
      </c>
      <c r="H52" s="71">
        <f t="shared" si="0"/>
        <v>2.7425480176000123E-2</v>
      </c>
    </row>
    <row r="53" spans="2:8" x14ac:dyDescent="0.3">
      <c r="B53" s="67">
        <v>45466</v>
      </c>
      <c r="C53" s="78">
        <v>7000.1</v>
      </c>
      <c r="D53" s="71">
        <f t="shared" si="1"/>
        <v>-2.1539794805848236E-2</v>
      </c>
      <c r="G53" s="68">
        <f>'Beta-UFPL'!G53</f>
        <v>78444.960000000006</v>
      </c>
      <c r="H53" s="71">
        <f t="shared" si="0"/>
        <v>-4.6380881529857103E-3</v>
      </c>
    </row>
    <row r="54" spans="2:8" x14ac:dyDescent="0.3">
      <c r="B54" s="67">
        <v>45473</v>
      </c>
      <c r="C54" s="78">
        <v>7045</v>
      </c>
      <c r="D54" s="71">
        <f t="shared" si="1"/>
        <v>6.4141940829416204E-3</v>
      </c>
      <c r="G54" s="68">
        <f>'Beta-UFPL'!G54</f>
        <v>80212.789999999994</v>
      </c>
      <c r="H54" s="71">
        <f t="shared" si="0"/>
        <v>2.2535928375768018E-2</v>
      </c>
    </row>
    <row r="55" spans="2:8" x14ac:dyDescent="0.3">
      <c r="B55" s="67">
        <v>45480</v>
      </c>
      <c r="C55" s="78">
        <v>7005</v>
      </c>
      <c r="D55" s="71">
        <f t="shared" si="1"/>
        <v>-5.6777856635911996E-3</v>
      </c>
      <c r="G55" s="68">
        <f>'Beta-UFPL'!G55</f>
        <v>79944.100000000006</v>
      </c>
      <c r="H55" s="71">
        <f t="shared" si="0"/>
        <v>-3.3497151763451664E-3</v>
      </c>
    </row>
    <row r="56" spans="2:8" x14ac:dyDescent="0.3">
      <c r="B56" s="67">
        <v>45487</v>
      </c>
      <c r="C56" s="78">
        <v>6900</v>
      </c>
      <c r="D56" s="71">
        <f t="shared" si="1"/>
        <v>-1.4989293361884369E-2</v>
      </c>
      <c r="G56" s="68">
        <f>'Beta-UFPL'!G56</f>
        <v>80117.89</v>
      </c>
      <c r="H56" s="71">
        <f t="shared" si="0"/>
        <v>2.173894008438316E-3</v>
      </c>
    </row>
    <row r="57" spans="2:8" x14ac:dyDescent="0.3">
      <c r="B57" s="67">
        <v>45494</v>
      </c>
      <c r="C57" s="78">
        <v>7029.7</v>
      </c>
      <c r="D57" s="71">
        <f t="shared" si="1"/>
        <v>1.8797101449275336E-2</v>
      </c>
      <c r="G57" s="68">
        <f>'Beta-UFPL'!G57</f>
        <v>78029.509999999995</v>
      </c>
      <c r="H57" s="71">
        <f t="shared" si="0"/>
        <v>-2.6066337992675603E-2</v>
      </c>
    </row>
    <row r="58" spans="2:8" x14ac:dyDescent="0.3">
      <c r="B58" s="67">
        <v>45501</v>
      </c>
      <c r="C58" s="78">
        <v>6900</v>
      </c>
      <c r="D58" s="71">
        <f t="shared" si="1"/>
        <v>-1.8450289486037785E-2</v>
      </c>
      <c r="G58" s="68">
        <f>'Beta-UFPL'!G58</f>
        <v>78225.98</v>
      </c>
      <c r="H58" s="71">
        <f t="shared" si="0"/>
        <v>2.5178935507861214E-3</v>
      </c>
    </row>
    <row r="59" spans="2:8" x14ac:dyDescent="0.3">
      <c r="B59" s="67">
        <v>45508</v>
      </c>
      <c r="C59" s="78">
        <v>6841.8</v>
      </c>
      <c r="D59" s="71">
        <f t="shared" si="1"/>
        <v>-8.4347826086956252E-3</v>
      </c>
      <c r="G59" s="68">
        <f>'Beta-UFPL'!G59</f>
        <v>78569.59</v>
      </c>
      <c r="H59" s="71">
        <f t="shared" si="0"/>
        <v>4.3925304611076854E-3</v>
      </c>
    </row>
    <row r="60" spans="2:8" x14ac:dyDescent="0.3">
      <c r="B60" s="67">
        <v>45515</v>
      </c>
      <c r="C60" s="78">
        <v>6975</v>
      </c>
      <c r="D60" s="71">
        <f t="shared" si="1"/>
        <v>1.9468560905024968E-2</v>
      </c>
      <c r="G60" s="68">
        <f>'Beta-UFPL'!G60</f>
        <v>78045.31</v>
      </c>
      <c r="H60" s="71">
        <f t="shared" si="0"/>
        <v>-6.6728106892246586E-3</v>
      </c>
    </row>
    <row r="61" spans="2:8" x14ac:dyDescent="0.3">
      <c r="B61" s="67">
        <v>45522</v>
      </c>
      <c r="C61" s="78">
        <v>6900</v>
      </c>
      <c r="D61" s="71">
        <f t="shared" si="1"/>
        <v>-1.0752688172043012E-2</v>
      </c>
      <c r="G61" s="68">
        <f>'Beta-UFPL'!G61</f>
        <v>78801.429999999993</v>
      </c>
      <c r="H61" s="71">
        <f t="shared" si="0"/>
        <v>9.6882182926814608E-3</v>
      </c>
    </row>
    <row r="62" spans="2:8" x14ac:dyDescent="0.3">
      <c r="B62" s="67">
        <v>45529</v>
      </c>
      <c r="C62" s="78">
        <v>17498.900000000001</v>
      </c>
      <c r="D62" s="71">
        <f t="shared" si="1"/>
        <v>1.5360724637681162</v>
      </c>
      <c r="G62" s="68">
        <f>'Beta-UFPL'!G62</f>
        <v>78488.22</v>
      </c>
      <c r="H62" s="71">
        <f t="shared" si="0"/>
        <v>-3.974674063655848E-3</v>
      </c>
    </row>
    <row r="63" spans="2:8" x14ac:dyDescent="0.3">
      <c r="B63" s="67">
        <f>B62+7</f>
        <v>45536</v>
      </c>
      <c r="C63" s="78">
        <v>6997.5</v>
      </c>
      <c r="D63" s="71">
        <f t="shared" si="1"/>
        <v>-0.60011772168536315</v>
      </c>
      <c r="G63" s="68">
        <f>'Beta-UFPL'!G63</f>
        <v>78897.73</v>
      </c>
      <c r="H63" s="71">
        <f t="shared" si="0"/>
        <v>5.2174708510397448E-3</v>
      </c>
    </row>
    <row r="64" spans="2:8" x14ac:dyDescent="0.3">
      <c r="B64" s="67">
        <f t="shared" ref="B64:B69" si="2">B63+7</f>
        <v>45543</v>
      </c>
      <c r="C64" s="78">
        <v>6984.8</v>
      </c>
      <c r="D64" s="71">
        <f t="shared" si="1"/>
        <v>-1.8149339049660332E-3</v>
      </c>
      <c r="G64" s="68">
        <f>'Beta-UFPL'!G64</f>
        <v>79333.06</v>
      </c>
      <c r="H64" s="71">
        <f t="shared" si="0"/>
        <v>5.517649240352058E-3</v>
      </c>
    </row>
    <row r="65" spans="2:8" x14ac:dyDescent="0.3">
      <c r="B65" s="67">
        <f t="shared" si="2"/>
        <v>45550</v>
      </c>
      <c r="C65" s="78">
        <v>6962.5</v>
      </c>
      <c r="D65" s="71">
        <f t="shared" si="1"/>
        <v>-3.1926468903905885E-3</v>
      </c>
      <c r="G65" s="68">
        <f>'Beta-UFPL'!G65</f>
        <v>82074.45</v>
      </c>
      <c r="H65" s="71">
        <f t="shared" si="0"/>
        <v>3.4555455191064094E-2</v>
      </c>
    </row>
    <row r="66" spans="2:8" x14ac:dyDescent="0.3">
      <c r="B66" s="67">
        <f t="shared" si="2"/>
        <v>45557</v>
      </c>
      <c r="C66" s="78">
        <v>6888.5</v>
      </c>
      <c r="D66" s="71">
        <f t="shared" si="1"/>
        <v>-1.0628366247755835E-2</v>
      </c>
      <c r="G66" s="68">
        <f>'Beta-UFPL'!G66</f>
        <v>81292.13</v>
      </c>
      <c r="H66" s="71">
        <f t="shared" si="0"/>
        <v>-9.5318335974227363E-3</v>
      </c>
    </row>
    <row r="67" spans="2:8" x14ac:dyDescent="0.3">
      <c r="B67" s="67">
        <f t="shared" si="2"/>
        <v>45564</v>
      </c>
      <c r="C67" s="78">
        <v>6798.3</v>
      </c>
      <c r="D67" s="71">
        <f t="shared" si="1"/>
        <v>-1.3094287580750499E-2</v>
      </c>
      <c r="G67" s="68">
        <f>'Beta-UFPL'!G67</f>
        <v>83531.960000000006</v>
      </c>
      <c r="H67" s="71">
        <f t="shared" si="0"/>
        <v>2.7552851672111453E-2</v>
      </c>
    </row>
    <row r="68" spans="2:8" x14ac:dyDescent="0.3">
      <c r="B68" s="67">
        <f t="shared" si="2"/>
        <v>45571</v>
      </c>
      <c r="C68" s="78">
        <v>6931.5</v>
      </c>
      <c r="D68" s="71">
        <f t="shared" si="1"/>
        <v>1.9593133577511999E-2</v>
      </c>
      <c r="G68" s="68">
        <f>'Beta-UFPL'!G68</f>
        <v>85483.4</v>
      </c>
      <c r="H68" s="71">
        <f t="shared" si="0"/>
        <v>2.3361597165922929E-2</v>
      </c>
    </row>
    <row r="69" spans="2:8" x14ac:dyDescent="0.3">
      <c r="B69" s="67">
        <f t="shared" si="2"/>
        <v>45578</v>
      </c>
      <c r="C69" s="78">
        <v>6800</v>
      </c>
      <c r="D69" s="71">
        <f t="shared" si="1"/>
        <v>-1.8971362619923538E-2</v>
      </c>
      <c r="G69" s="68">
        <f>'Beta-UFPL'!G69</f>
        <v>85201.86</v>
      </c>
      <c r="H69" s="71">
        <f t="shared" si="0"/>
        <v>-3.2935049378007147E-3</v>
      </c>
    </row>
    <row r="70" spans="2:8" x14ac:dyDescent="0.3">
      <c r="G70" s="68"/>
    </row>
  </sheetData>
  <mergeCells count="7">
    <mergeCell ref="Q10:T10"/>
    <mergeCell ref="B2:D2"/>
    <mergeCell ref="B4:E4"/>
    <mergeCell ref="G4:H4"/>
    <mergeCell ref="J4:K4"/>
    <mergeCell ref="Q6:S6"/>
    <mergeCell ref="Q8:T8"/>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1A58-084B-442C-AEEA-108CA3B0F0C5}">
  <dimension ref="B2:W69"/>
  <sheetViews>
    <sheetView showGridLines="0" workbookViewId="0">
      <selection activeCell="P7" sqref="P7"/>
    </sheetView>
  </sheetViews>
  <sheetFormatPr defaultRowHeight="14.4" x14ac:dyDescent="0.3"/>
  <cols>
    <col min="2" max="2" width="11" customWidth="1"/>
    <col min="3" max="3" width="11.77734375" customWidth="1"/>
    <col min="7" max="7" width="12" customWidth="1"/>
    <col min="10" max="10" width="17.77734375" customWidth="1"/>
    <col min="11" max="11" width="10.44140625" customWidth="1"/>
    <col min="17" max="17" width="18.5546875" customWidth="1"/>
  </cols>
  <sheetData>
    <row r="2" spans="2:19" x14ac:dyDescent="0.3">
      <c r="B2" s="416" t="s">
        <v>63</v>
      </c>
      <c r="C2" s="416"/>
      <c r="D2" s="416"/>
    </row>
    <row r="3" spans="2:19" x14ac:dyDescent="0.3">
      <c r="B3" s="61"/>
    </row>
    <row r="4" spans="2:19" x14ac:dyDescent="0.3">
      <c r="B4" s="417" t="s">
        <v>107</v>
      </c>
      <c r="C4" s="417"/>
      <c r="D4" s="417"/>
      <c r="E4" s="417"/>
      <c r="G4" s="417" t="s">
        <v>65</v>
      </c>
      <c r="H4" s="417"/>
      <c r="I4" s="63"/>
      <c r="J4" s="417" t="s">
        <v>66</v>
      </c>
      <c r="K4" s="417"/>
      <c r="L4" s="63"/>
      <c r="M4" s="63"/>
      <c r="N4" s="63"/>
    </row>
    <row r="6" spans="2:19" x14ac:dyDescent="0.3">
      <c r="B6" s="64" t="s">
        <v>67</v>
      </c>
      <c r="C6" s="64" t="s">
        <v>68</v>
      </c>
      <c r="D6" s="64" t="s">
        <v>69</v>
      </c>
      <c r="E6" s="8"/>
      <c r="F6" s="8"/>
      <c r="G6" s="64" t="s">
        <v>68</v>
      </c>
      <c r="H6" s="64" t="s">
        <v>69</v>
      </c>
      <c r="J6" t="s">
        <v>70</v>
      </c>
      <c r="K6" s="65">
        <f>P10</f>
        <v>1.1418096095612174</v>
      </c>
      <c r="O6" t="s">
        <v>71</v>
      </c>
      <c r="P6" s="65">
        <f>SLOPE(D7:D69,H7:H69)</f>
        <v>1.1418096095612167</v>
      </c>
      <c r="Q6" s="415" t="s">
        <v>72</v>
      </c>
      <c r="R6" s="415"/>
    </row>
    <row r="7" spans="2:19" x14ac:dyDescent="0.3">
      <c r="B7" s="67">
        <v>45144</v>
      </c>
      <c r="C7" s="78">
        <v>64.900000000000006</v>
      </c>
      <c r="D7" s="7"/>
      <c r="G7" s="68">
        <v>48424.4</v>
      </c>
      <c r="H7" s="7"/>
      <c r="J7" t="s">
        <v>73</v>
      </c>
      <c r="K7" s="40">
        <v>0.5</v>
      </c>
      <c r="L7" s="69"/>
      <c r="M7" s="69"/>
      <c r="N7" s="69"/>
      <c r="P7" s="65"/>
    </row>
    <row r="8" spans="2:19" x14ac:dyDescent="0.3">
      <c r="B8" s="67">
        <v>45151</v>
      </c>
      <c r="C8" s="78">
        <v>61.5</v>
      </c>
      <c r="D8" s="71">
        <f>(C8-C7)/C7</f>
        <v>-5.2388289676425351E-2</v>
      </c>
      <c r="G8" s="68">
        <v>48218.49</v>
      </c>
      <c r="H8" s="71">
        <f t="shared" ref="H8:H69" si="0">(G8-G7)/G7</f>
        <v>-4.2521951743336728E-3</v>
      </c>
      <c r="O8" t="s">
        <v>74</v>
      </c>
      <c r="P8" s="65">
        <f>_xlfn.COVARIANCE.S(D7:D69,H7:H69)/_xlfn.VAR.S(H7:H69)</f>
        <v>1.1418096095612167</v>
      </c>
      <c r="Q8" s="415" t="s">
        <v>75</v>
      </c>
      <c r="R8" s="415"/>
      <c r="S8" s="415"/>
    </row>
    <row r="9" spans="2:19" x14ac:dyDescent="0.3">
      <c r="B9" s="67">
        <v>45158</v>
      </c>
      <c r="C9" s="78">
        <v>60.2</v>
      </c>
      <c r="D9" s="71">
        <f t="shared" ref="D9:D69" si="1">(C9-C8)/C8</f>
        <v>-2.1138211382113775E-2</v>
      </c>
      <c r="G9" s="68">
        <v>47671.21</v>
      </c>
      <c r="H9" s="71">
        <f t="shared" si="0"/>
        <v>-1.1350002872342101E-2</v>
      </c>
      <c r="J9" t="s">
        <v>76</v>
      </c>
      <c r="K9">
        <v>1</v>
      </c>
      <c r="P9" s="65"/>
    </row>
    <row r="10" spans="2:19" x14ac:dyDescent="0.3">
      <c r="B10" s="67">
        <v>45165</v>
      </c>
      <c r="C10" s="78">
        <v>55.99</v>
      </c>
      <c r="D10" s="71">
        <f>(C10-C9)/C9</f>
        <v>-6.9933554817275756E-2</v>
      </c>
      <c r="G10" s="68">
        <v>45312.65</v>
      </c>
      <c r="H10" s="71">
        <f t="shared" si="0"/>
        <v>-4.947556397246887E-2</v>
      </c>
      <c r="J10" t="s">
        <v>77</v>
      </c>
      <c r="K10" s="36">
        <f>100%-K7</f>
        <v>0.5</v>
      </c>
      <c r="O10" t="s">
        <v>78</v>
      </c>
      <c r="P10" s="65">
        <f>P34</f>
        <v>1.1418096095612174</v>
      </c>
      <c r="Q10" s="415" t="s">
        <v>79</v>
      </c>
      <c r="R10" s="415"/>
    </row>
    <row r="11" spans="2:19" x14ac:dyDescent="0.3">
      <c r="B11" s="67">
        <f>B10+7</f>
        <v>45172</v>
      </c>
      <c r="C11" s="78">
        <v>56.96</v>
      </c>
      <c r="D11" s="71">
        <f t="shared" si="1"/>
        <v>1.7324522236113572E-2</v>
      </c>
      <c r="G11" s="68">
        <v>46013.48</v>
      </c>
      <c r="H11" s="71">
        <f t="shared" si="0"/>
        <v>1.5466541903861321E-2</v>
      </c>
    </row>
    <row r="12" spans="2:19" x14ac:dyDescent="0.3">
      <c r="B12" s="67">
        <v>45179</v>
      </c>
      <c r="C12" s="78">
        <v>56.88</v>
      </c>
      <c r="D12" s="71">
        <f>(C12-C9)/C9</f>
        <v>-5.5149501661129571E-2</v>
      </c>
      <c r="G12" s="68">
        <v>45753.51</v>
      </c>
      <c r="H12" s="71">
        <f t="shared" si="0"/>
        <v>-5.6498660827218709E-3</v>
      </c>
      <c r="J12" s="66" t="s">
        <v>80</v>
      </c>
      <c r="K12" s="72">
        <f>(K6*K7)+(K9*K10)</f>
        <v>1.0709048047806087</v>
      </c>
    </row>
    <row r="13" spans="2:19" x14ac:dyDescent="0.3">
      <c r="B13" s="67">
        <v>45186</v>
      </c>
      <c r="C13" s="78">
        <v>57.1</v>
      </c>
      <c r="D13" s="71">
        <f t="shared" si="1"/>
        <v>3.8677918424753666E-3</v>
      </c>
      <c r="G13" s="68">
        <v>46436.41</v>
      </c>
      <c r="H13" s="71">
        <f t="shared" si="0"/>
        <v>1.4925630842311364E-2</v>
      </c>
    </row>
    <row r="14" spans="2:19" x14ac:dyDescent="0.3">
      <c r="B14" s="67">
        <v>45193</v>
      </c>
      <c r="C14" s="78">
        <v>55.6</v>
      </c>
      <c r="D14" s="71">
        <f t="shared" si="1"/>
        <v>-2.6269702276707531E-2</v>
      </c>
      <c r="G14" s="68">
        <v>46232.59</v>
      </c>
      <c r="H14" s="71">
        <f t="shared" si="0"/>
        <v>-4.3892281939970591E-3</v>
      </c>
    </row>
    <row r="15" spans="2:19" x14ac:dyDescent="0.3">
      <c r="B15" s="67">
        <v>45200</v>
      </c>
      <c r="C15" s="78">
        <v>61.3</v>
      </c>
      <c r="D15" s="71">
        <f t="shared" si="1"/>
        <v>0.10251798561151071</v>
      </c>
      <c r="G15" s="68">
        <v>47508.67</v>
      </c>
      <c r="H15" s="71">
        <f t="shared" si="0"/>
        <v>2.7601308946784114E-2</v>
      </c>
    </row>
    <row r="16" spans="2:19" x14ac:dyDescent="0.3">
      <c r="B16" s="67">
        <v>45207</v>
      </c>
      <c r="C16" s="78">
        <v>60</v>
      </c>
      <c r="D16" s="71">
        <f t="shared" si="1"/>
        <v>-2.1207177814029317E-2</v>
      </c>
      <c r="G16" s="68">
        <v>49493.47</v>
      </c>
      <c r="H16" s="71">
        <f t="shared" si="0"/>
        <v>4.1777637639614056E-2</v>
      </c>
    </row>
    <row r="17" spans="2:23" x14ac:dyDescent="0.3">
      <c r="B17" s="67">
        <v>45214</v>
      </c>
      <c r="C17" s="78">
        <v>58.29</v>
      </c>
      <c r="D17" s="71">
        <f t="shared" si="1"/>
        <v>-2.8500000000000015E-2</v>
      </c>
      <c r="G17" s="68">
        <v>50674.52</v>
      </c>
      <c r="H17" s="71">
        <f t="shared" si="0"/>
        <v>2.3862743913489914E-2</v>
      </c>
      <c r="O17" t="s">
        <v>83</v>
      </c>
    </row>
    <row r="18" spans="2:23" ht="15" thickBot="1" x14ac:dyDescent="0.35">
      <c r="B18" s="67">
        <v>45221</v>
      </c>
      <c r="C18" s="78">
        <v>57.89</v>
      </c>
      <c r="D18" s="71">
        <f t="shared" si="1"/>
        <v>-6.8622405215302551E-3</v>
      </c>
      <c r="G18" s="68">
        <v>50958.45</v>
      </c>
      <c r="H18" s="71">
        <f t="shared" si="0"/>
        <v>5.603013111915028E-3</v>
      </c>
    </row>
    <row r="19" spans="2:23" x14ac:dyDescent="0.3">
      <c r="B19" s="67">
        <v>45228</v>
      </c>
      <c r="C19" s="78">
        <v>62.75</v>
      </c>
      <c r="D19" s="71">
        <f t="shared" si="1"/>
        <v>8.3952323371912232E-2</v>
      </c>
      <c r="G19" s="68">
        <v>53175.72</v>
      </c>
      <c r="H19" s="71">
        <f t="shared" si="0"/>
        <v>4.351133129049263E-2</v>
      </c>
      <c r="O19" s="75" t="s">
        <v>84</v>
      </c>
      <c r="P19" s="75"/>
    </row>
    <row r="20" spans="2:23" x14ac:dyDescent="0.3">
      <c r="B20" s="67">
        <v>45235</v>
      </c>
      <c r="C20" s="78">
        <v>66.5</v>
      </c>
      <c r="D20" s="71">
        <f t="shared" si="1"/>
        <v>5.9760956175298807E-2</v>
      </c>
      <c r="G20" s="68">
        <v>55399.66</v>
      </c>
      <c r="H20" s="71">
        <f t="shared" si="0"/>
        <v>4.1822470857000194E-2</v>
      </c>
      <c r="O20" t="s">
        <v>85</v>
      </c>
      <c r="P20">
        <v>0.49763825957560548</v>
      </c>
    </row>
    <row r="21" spans="2:23" x14ac:dyDescent="0.3">
      <c r="B21" s="67">
        <v>45242</v>
      </c>
      <c r="C21" s="78">
        <v>71.3</v>
      </c>
      <c r="D21" s="71">
        <f t="shared" si="1"/>
        <v>7.2180451127819512E-2</v>
      </c>
      <c r="G21" s="68">
        <v>57016.959999999999</v>
      </c>
      <c r="H21" s="71">
        <f t="shared" si="0"/>
        <v>2.9193319959003278E-2</v>
      </c>
      <c r="O21" t="s">
        <v>86</v>
      </c>
      <c r="P21">
        <v>0.2476438373934377</v>
      </c>
    </row>
    <row r="22" spans="2:23" x14ac:dyDescent="0.3">
      <c r="B22" s="67">
        <v>45249</v>
      </c>
      <c r="C22" s="78">
        <v>76</v>
      </c>
      <c r="D22" s="71">
        <f t="shared" si="1"/>
        <v>6.5918653576437627E-2</v>
      </c>
      <c r="G22" s="68">
        <v>59173.34</v>
      </c>
      <c r="H22" s="71">
        <f t="shared" si="0"/>
        <v>3.7819974968851325E-2</v>
      </c>
      <c r="O22" t="s">
        <v>87</v>
      </c>
      <c r="P22">
        <v>0.23510456801666166</v>
      </c>
    </row>
    <row r="23" spans="2:23" x14ac:dyDescent="0.3">
      <c r="B23" s="67">
        <v>45256</v>
      </c>
      <c r="C23" s="78">
        <v>87</v>
      </c>
      <c r="D23" s="71">
        <f t="shared" si="1"/>
        <v>0.14473684210526316</v>
      </c>
      <c r="G23" s="68">
        <v>61691.25</v>
      </c>
      <c r="H23" s="71">
        <f t="shared" si="0"/>
        <v>4.2551426030709161E-2</v>
      </c>
      <c r="O23" t="s">
        <v>88</v>
      </c>
      <c r="P23">
        <v>5.0267822423784692E-2</v>
      </c>
    </row>
    <row r="24" spans="2:23" ht="15" thickBot="1" x14ac:dyDescent="0.35">
      <c r="B24" s="67">
        <v>45263</v>
      </c>
      <c r="C24" s="78">
        <v>92.94</v>
      </c>
      <c r="D24" s="71">
        <f t="shared" si="1"/>
        <v>6.8275862068965493E-2</v>
      </c>
      <c r="G24" s="68">
        <v>66223.63</v>
      </c>
      <c r="H24" s="71">
        <f t="shared" si="0"/>
        <v>7.3468765829838176E-2</v>
      </c>
      <c r="O24" s="76" t="s">
        <v>89</v>
      </c>
      <c r="P24" s="76">
        <v>62</v>
      </c>
    </row>
    <row r="25" spans="2:23" x14ac:dyDescent="0.3">
      <c r="B25" s="67">
        <v>45270</v>
      </c>
      <c r="C25" s="78">
        <v>92.95</v>
      </c>
      <c r="D25" s="71">
        <f t="shared" si="1"/>
        <v>1.075962986873802E-4</v>
      </c>
      <c r="G25" s="68">
        <v>66130.02</v>
      </c>
      <c r="H25" s="71">
        <f t="shared" si="0"/>
        <v>-1.4135437758395391E-3</v>
      </c>
    </row>
    <row r="26" spans="2:23" ht="15" thickBot="1" x14ac:dyDescent="0.35">
      <c r="B26" s="67">
        <v>45277</v>
      </c>
      <c r="C26" s="78">
        <v>83.7</v>
      </c>
      <c r="D26" s="71">
        <f t="shared" si="1"/>
        <v>-9.9515868746637981E-2</v>
      </c>
      <c r="G26" s="68">
        <v>61705.09</v>
      </c>
      <c r="H26" s="71">
        <f t="shared" si="0"/>
        <v>-6.6912576164350285E-2</v>
      </c>
      <c r="O26" t="s">
        <v>90</v>
      </c>
    </row>
    <row r="27" spans="2:23" x14ac:dyDescent="0.3">
      <c r="B27" s="67">
        <v>45284</v>
      </c>
      <c r="C27" s="78">
        <v>81.99</v>
      </c>
      <c r="D27" s="71">
        <f t="shared" si="1"/>
        <v>-2.0430107526881815E-2</v>
      </c>
      <c r="G27" s="68">
        <v>62451.040000000001</v>
      </c>
      <c r="H27" s="71">
        <f t="shared" si="0"/>
        <v>1.2088954087904327E-2</v>
      </c>
      <c r="O27" s="77"/>
      <c r="P27" s="77" t="s">
        <v>91</v>
      </c>
      <c r="Q27" s="77" t="s">
        <v>92</v>
      </c>
      <c r="R27" s="77" t="s">
        <v>93</v>
      </c>
      <c r="S27" s="77" t="s">
        <v>94</v>
      </c>
      <c r="T27" s="77" t="s">
        <v>95</v>
      </c>
    </row>
    <row r="28" spans="2:23" x14ac:dyDescent="0.3">
      <c r="B28" s="67">
        <v>45291</v>
      </c>
      <c r="C28" s="78">
        <v>81.55</v>
      </c>
      <c r="D28" s="71">
        <f t="shared" si="1"/>
        <v>-5.3665081107451855E-3</v>
      </c>
      <c r="G28" s="68">
        <v>64514.9</v>
      </c>
      <c r="H28" s="71">
        <f t="shared" si="0"/>
        <v>3.3047648205698422E-2</v>
      </c>
      <c r="O28" t="s">
        <v>96</v>
      </c>
      <c r="P28">
        <v>1</v>
      </c>
      <c r="Q28">
        <v>4.9904009170343128E-2</v>
      </c>
      <c r="R28">
        <v>4.9904009170343128E-2</v>
      </c>
      <c r="S28">
        <v>19.749463062983438</v>
      </c>
      <c r="T28">
        <v>3.869354119599077E-5</v>
      </c>
    </row>
    <row r="29" spans="2:23" x14ac:dyDescent="0.3">
      <c r="B29" s="67">
        <v>45298</v>
      </c>
      <c r="C29" s="78">
        <v>78.400000000000006</v>
      </c>
      <c r="D29" s="71">
        <f t="shared" si="1"/>
        <v>-3.8626609442059985E-2</v>
      </c>
      <c r="G29" s="68">
        <v>64637.64</v>
      </c>
      <c r="H29" s="71">
        <f t="shared" si="0"/>
        <v>1.9025062427438927E-3</v>
      </c>
      <c r="O29" t="s">
        <v>97</v>
      </c>
      <c r="P29">
        <v>60</v>
      </c>
      <c r="Q29">
        <v>0.15161123827374906</v>
      </c>
      <c r="R29">
        <v>2.5268539712291508E-3</v>
      </c>
    </row>
    <row r="30" spans="2:23" ht="15" thickBot="1" x14ac:dyDescent="0.35">
      <c r="B30" s="67">
        <v>45305</v>
      </c>
      <c r="C30" s="78">
        <v>74.010000000000005</v>
      </c>
      <c r="D30" s="71">
        <f t="shared" si="1"/>
        <v>-5.5994897959183679E-2</v>
      </c>
      <c r="G30" s="68">
        <v>63282.23</v>
      </c>
      <c r="H30" s="71">
        <f t="shared" si="0"/>
        <v>-2.096936088631943E-2</v>
      </c>
      <c r="O30" s="76" t="s">
        <v>98</v>
      </c>
      <c r="P30" s="76">
        <v>61</v>
      </c>
      <c r="Q30" s="76">
        <v>0.20151524744409219</v>
      </c>
      <c r="R30" s="76"/>
      <c r="S30" s="76"/>
      <c r="T30" s="76"/>
    </row>
    <row r="31" spans="2:23" ht="15" thickBot="1" x14ac:dyDescent="0.35">
      <c r="B31" s="67">
        <v>45312</v>
      </c>
      <c r="C31" s="78">
        <v>80</v>
      </c>
      <c r="D31" s="71">
        <f t="shared" si="1"/>
        <v>8.0935008782596865E-2</v>
      </c>
      <c r="G31" s="68">
        <v>63813.06</v>
      </c>
      <c r="H31" s="71">
        <f t="shared" si="0"/>
        <v>8.3882947867038576E-3</v>
      </c>
    </row>
    <row r="32" spans="2:23" x14ac:dyDescent="0.3">
      <c r="B32" s="67">
        <v>45319</v>
      </c>
      <c r="C32" s="78">
        <v>74.39</v>
      </c>
      <c r="D32" s="71">
        <f t="shared" si="1"/>
        <v>-7.0124999999999993E-2</v>
      </c>
      <c r="G32" s="68">
        <v>63002.92</v>
      </c>
      <c r="H32" s="71">
        <f t="shared" si="0"/>
        <v>-1.2695520321388747E-2</v>
      </c>
      <c r="O32" s="77"/>
      <c r="P32" s="77" t="s">
        <v>99</v>
      </c>
      <c r="Q32" s="77" t="s">
        <v>88</v>
      </c>
      <c r="R32" s="77" t="s">
        <v>100</v>
      </c>
      <c r="S32" s="77" t="s">
        <v>101</v>
      </c>
      <c r="T32" s="77" t="s">
        <v>102</v>
      </c>
      <c r="U32" s="77" t="s">
        <v>103</v>
      </c>
      <c r="V32" s="77" t="s">
        <v>104</v>
      </c>
      <c r="W32" s="77" t="s">
        <v>105</v>
      </c>
    </row>
    <row r="33" spans="2:23" x14ac:dyDescent="0.3">
      <c r="B33" s="67">
        <v>45326</v>
      </c>
      <c r="C33" s="78">
        <v>74.400000000000006</v>
      </c>
      <c r="D33" s="71">
        <f t="shared" si="1"/>
        <v>1.3442667025144665E-4</v>
      </c>
      <c r="G33" s="68">
        <v>62943.75</v>
      </c>
      <c r="H33" s="71">
        <f t="shared" si="0"/>
        <v>-9.3916281975499317E-4</v>
      </c>
      <c r="O33" t="s">
        <v>106</v>
      </c>
      <c r="P33">
        <v>-1.3355352331962923E-2</v>
      </c>
      <c r="Q33">
        <v>6.8313472692399417E-3</v>
      </c>
      <c r="R33">
        <v>-1.9550100156815546</v>
      </c>
      <c r="S33">
        <v>5.5245007383576766E-2</v>
      </c>
      <c r="T33">
        <v>-2.7020081396046648E-2</v>
      </c>
      <c r="U33">
        <v>3.0937673212080158E-4</v>
      </c>
      <c r="V33">
        <v>-2.7020081396046648E-2</v>
      </c>
      <c r="W33">
        <v>3.0937673212080158E-4</v>
      </c>
    </row>
    <row r="34" spans="2:23" ht="15" thickBot="1" x14ac:dyDescent="0.35">
      <c r="B34" s="67">
        <f>B33+7</f>
        <v>45333</v>
      </c>
      <c r="C34" s="78">
        <v>66.900000000000006</v>
      </c>
      <c r="D34" s="71">
        <f>(C34-C33)/C33</f>
        <v>-0.10080645161290322</v>
      </c>
      <c r="G34" s="68">
        <v>59872.959999999999</v>
      </c>
      <c r="H34" s="71">
        <f t="shared" si="0"/>
        <v>-4.8786257571244183E-2</v>
      </c>
      <c r="O34" s="76"/>
      <c r="P34" s="76">
        <v>1.1418096095612174</v>
      </c>
      <c r="Q34" s="76">
        <v>0.25693072794672134</v>
      </c>
      <c r="R34" s="76">
        <v>4.4440367981131077</v>
      </c>
      <c r="S34" s="76">
        <v>3.8693541195991129E-5</v>
      </c>
      <c r="T34" s="76">
        <v>0.62787163404085211</v>
      </c>
      <c r="U34" s="76">
        <v>1.6557475850815826</v>
      </c>
      <c r="V34" s="76">
        <v>0.62787163404085211</v>
      </c>
      <c r="W34" s="76">
        <v>1.6557475850815826</v>
      </c>
    </row>
    <row r="35" spans="2:23" x14ac:dyDescent="0.3">
      <c r="B35" s="67">
        <v>45340</v>
      </c>
      <c r="C35" s="78">
        <v>67.5</v>
      </c>
      <c r="D35" s="71">
        <f>(C35-C33)/C33</f>
        <v>-9.2741935483871038E-2</v>
      </c>
      <c r="G35" s="68">
        <v>62815.82</v>
      </c>
      <c r="H35" s="71">
        <f t="shared" si="0"/>
        <v>4.9151737278397473E-2</v>
      </c>
    </row>
    <row r="36" spans="2:23" x14ac:dyDescent="0.3">
      <c r="B36" s="67">
        <v>45347</v>
      </c>
      <c r="C36" s="78">
        <v>74.599999999999994</v>
      </c>
      <c r="D36" s="71">
        <f t="shared" si="1"/>
        <v>0.1051851851851851</v>
      </c>
      <c r="G36" s="68">
        <v>65325.69</v>
      </c>
      <c r="H36" s="71">
        <f t="shared" si="0"/>
        <v>3.9956017449107609E-2</v>
      </c>
    </row>
    <row r="37" spans="2:23" x14ac:dyDescent="0.3">
      <c r="B37" s="67">
        <v>45354</v>
      </c>
      <c r="C37" s="78">
        <v>71.5</v>
      </c>
      <c r="D37" s="71">
        <f t="shared" si="1"/>
        <v>-4.1554959785522712E-2</v>
      </c>
      <c r="G37" s="68">
        <v>65793.759999999995</v>
      </c>
      <c r="H37" s="71">
        <f t="shared" si="0"/>
        <v>7.1651749870532159E-3</v>
      </c>
    </row>
    <row r="38" spans="2:23" x14ac:dyDescent="0.3">
      <c r="B38" s="67">
        <v>45361</v>
      </c>
      <c r="C38" s="78">
        <v>69.44</v>
      </c>
      <c r="D38" s="71">
        <f t="shared" si="1"/>
        <v>-2.8811188811188843E-2</v>
      </c>
      <c r="G38" s="68">
        <v>64816.47</v>
      </c>
      <c r="H38" s="71">
        <f t="shared" si="0"/>
        <v>-1.4853840242600417E-2</v>
      </c>
    </row>
    <row r="39" spans="2:23" x14ac:dyDescent="0.3">
      <c r="B39" s="67">
        <v>45368</v>
      </c>
      <c r="C39" s="78">
        <v>69.88</v>
      </c>
      <c r="D39" s="71">
        <f t="shared" si="1"/>
        <v>6.3364055299538844E-3</v>
      </c>
      <c r="G39" s="68">
        <v>65151.83</v>
      </c>
      <c r="H39" s="71">
        <f t="shared" si="0"/>
        <v>5.1739935852723939E-3</v>
      </c>
    </row>
    <row r="40" spans="2:23" x14ac:dyDescent="0.3">
      <c r="B40" s="67">
        <v>45375</v>
      </c>
      <c r="C40" s="78">
        <v>67.5</v>
      </c>
      <c r="D40" s="71">
        <f t="shared" si="1"/>
        <v>-3.4058385804235772E-2</v>
      </c>
      <c r="G40" s="68">
        <v>67005.11</v>
      </c>
      <c r="H40" s="71">
        <f t="shared" si="0"/>
        <v>2.8445555558454749E-2</v>
      </c>
    </row>
    <row r="41" spans="2:23" x14ac:dyDescent="0.3">
      <c r="B41" s="67">
        <v>45382</v>
      </c>
      <c r="C41" s="78">
        <v>69.13</v>
      </c>
      <c r="D41" s="71">
        <f t="shared" si="1"/>
        <v>2.4148148148148082E-2</v>
      </c>
      <c r="G41" s="68">
        <v>68416.78</v>
      </c>
      <c r="H41" s="71">
        <f t="shared" si="0"/>
        <v>2.1068094657258205E-2</v>
      </c>
    </row>
    <row r="42" spans="2:23" x14ac:dyDescent="0.3">
      <c r="B42" s="67">
        <v>45389</v>
      </c>
      <c r="C42" s="78">
        <v>71</v>
      </c>
      <c r="D42" s="71">
        <f t="shared" si="1"/>
        <v>2.7050484594242797E-2</v>
      </c>
      <c r="G42" s="68">
        <v>70314.720000000001</v>
      </c>
      <c r="H42" s="71">
        <f t="shared" si="0"/>
        <v>2.7740855386646411E-2</v>
      </c>
    </row>
    <row r="43" spans="2:23" x14ac:dyDescent="0.3">
      <c r="B43" s="67">
        <v>45396</v>
      </c>
      <c r="C43" s="78">
        <v>72.5</v>
      </c>
      <c r="D43" s="71">
        <f t="shared" si="1"/>
        <v>2.1126760563380281E-2</v>
      </c>
      <c r="G43" s="68">
        <v>70909.899999999994</v>
      </c>
      <c r="H43" s="71">
        <f t="shared" si="0"/>
        <v>8.4645149692694922E-3</v>
      </c>
    </row>
    <row r="44" spans="2:23" x14ac:dyDescent="0.3">
      <c r="B44" s="67">
        <v>45403</v>
      </c>
      <c r="C44" s="78">
        <v>72.7</v>
      </c>
      <c r="D44" s="71">
        <f t="shared" si="1"/>
        <v>2.7586206896552117E-3</v>
      </c>
      <c r="G44" s="68">
        <v>72742.75</v>
      </c>
      <c r="H44" s="71">
        <f t="shared" si="0"/>
        <v>2.5847589687758774E-2</v>
      </c>
    </row>
    <row r="45" spans="2:23" x14ac:dyDescent="0.3">
      <c r="B45" s="67">
        <v>45410</v>
      </c>
      <c r="C45" s="78">
        <v>75.5</v>
      </c>
      <c r="D45" s="71">
        <f t="shared" si="1"/>
        <v>3.8514442916093496E-2</v>
      </c>
      <c r="G45" s="68">
        <v>71902.09</v>
      </c>
      <c r="H45" s="71">
        <f t="shared" si="0"/>
        <v>-1.1556615607741025E-2</v>
      </c>
    </row>
    <row r="46" spans="2:23" x14ac:dyDescent="0.3">
      <c r="B46" s="67">
        <v>45417</v>
      </c>
      <c r="C46" s="78">
        <v>72.78</v>
      </c>
      <c r="D46" s="71">
        <f t="shared" si="1"/>
        <v>-3.6026490066225152E-2</v>
      </c>
      <c r="G46" s="68">
        <v>73085.5</v>
      </c>
      <c r="H46" s="71">
        <f t="shared" si="0"/>
        <v>1.6458631452854897E-2</v>
      </c>
    </row>
    <row r="47" spans="2:23" x14ac:dyDescent="0.3">
      <c r="B47" s="67">
        <v>45424</v>
      </c>
      <c r="C47" s="78">
        <v>71.77</v>
      </c>
      <c r="D47" s="71">
        <f t="shared" si="1"/>
        <v>-1.3877438856828869E-2</v>
      </c>
      <c r="G47" s="68">
        <v>75342.350000000006</v>
      </c>
      <c r="H47" s="71">
        <f t="shared" si="0"/>
        <v>3.0879586238036352E-2</v>
      </c>
    </row>
    <row r="48" spans="2:23" x14ac:dyDescent="0.3">
      <c r="B48" s="67">
        <v>45431</v>
      </c>
      <c r="C48" s="78">
        <v>74.010000000000005</v>
      </c>
      <c r="D48" s="71">
        <f t="shared" si="1"/>
        <v>3.1210812317124276E-2</v>
      </c>
      <c r="G48" s="68">
        <v>75983.039999999994</v>
      </c>
      <c r="H48" s="71">
        <f t="shared" si="0"/>
        <v>8.5037167011645879E-3</v>
      </c>
    </row>
    <row r="49" spans="2:18" x14ac:dyDescent="0.3">
      <c r="B49" s="67">
        <v>45438</v>
      </c>
      <c r="C49" s="78">
        <v>78.709999999999994</v>
      </c>
      <c r="D49" s="71">
        <f t="shared" si="1"/>
        <v>6.3504931765977407E-2</v>
      </c>
      <c r="G49" s="68">
        <v>75878.48</v>
      </c>
      <c r="H49" s="71">
        <f t="shared" si="0"/>
        <v>-1.3760965604955749E-3</v>
      </c>
    </row>
    <row r="50" spans="2:18" x14ac:dyDescent="0.3">
      <c r="B50" s="67">
        <v>45445</v>
      </c>
      <c r="C50" s="78">
        <v>73.900000000000006</v>
      </c>
      <c r="D50" s="71">
        <f t="shared" si="1"/>
        <v>-6.1110405285224094E-2</v>
      </c>
      <c r="G50" s="68">
        <v>73754.02</v>
      </c>
      <c r="H50" s="71">
        <f t="shared" si="0"/>
        <v>-2.7998188682746308E-2</v>
      </c>
    </row>
    <row r="51" spans="2:18" x14ac:dyDescent="0.3">
      <c r="B51" s="67">
        <v>45452</v>
      </c>
      <c r="C51" s="78">
        <v>73.2</v>
      </c>
      <c r="D51" s="71">
        <f t="shared" si="1"/>
        <v>-9.4722598105548422E-3</v>
      </c>
      <c r="G51" s="68">
        <v>76706.77</v>
      </c>
      <c r="H51" s="71">
        <f t="shared" si="0"/>
        <v>4.0035105883042037E-2</v>
      </c>
    </row>
    <row r="52" spans="2:18" x14ac:dyDescent="0.3">
      <c r="B52" s="67">
        <v>45459</v>
      </c>
      <c r="C52" s="78">
        <v>74</v>
      </c>
      <c r="D52" s="71">
        <f t="shared" si="1"/>
        <v>1.092896174863384E-2</v>
      </c>
      <c r="G52" s="68">
        <v>78810.490000000005</v>
      </c>
      <c r="H52" s="71">
        <f t="shared" si="0"/>
        <v>2.7425480176000123E-2</v>
      </c>
    </row>
    <row r="53" spans="2:18" x14ac:dyDescent="0.3">
      <c r="B53" s="67">
        <v>45466</v>
      </c>
      <c r="C53" s="78">
        <v>70.02</v>
      </c>
      <c r="D53" s="71">
        <f t="shared" si="1"/>
        <v>-5.3783783783783838E-2</v>
      </c>
      <c r="G53" s="68">
        <v>78444.960000000006</v>
      </c>
      <c r="H53" s="71">
        <f t="shared" si="0"/>
        <v>-4.6380881529857103E-3</v>
      </c>
      <c r="Q53" s="80"/>
      <c r="R53" s="80"/>
    </row>
    <row r="54" spans="2:18" x14ac:dyDescent="0.3">
      <c r="B54" s="67">
        <v>45473</v>
      </c>
      <c r="C54" s="78">
        <v>67.489999999999995</v>
      </c>
      <c r="D54" s="71">
        <f t="shared" si="1"/>
        <v>-3.6132533561839493E-2</v>
      </c>
      <c r="G54" s="68">
        <v>80212.789999999994</v>
      </c>
      <c r="H54" s="71">
        <f t="shared" si="0"/>
        <v>2.2535928375768018E-2</v>
      </c>
      <c r="Q54" s="81"/>
      <c r="R54" s="80"/>
    </row>
    <row r="55" spans="2:18" x14ac:dyDescent="0.3">
      <c r="B55" s="67">
        <v>45480</v>
      </c>
      <c r="C55" s="78">
        <v>67.37</v>
      </c>
      <c r="D55" s="71">
        <f t="shared" si="1"/>
        <v>-1.778041191287455E-3</v>
      </c>
      <c r="G55" s="68">
        <v>79944.100000000006</v>
      </c>
      <c r="H55" s="71">
        <f t="shared" si="0"/>
        <v>-3.3497151763451664E-3</v>
      </c>
      <c r="Q55" s="81"/>
      <c r="R55" s="80"/>
    </row>
    <row r="56" spans="2:18" x14ac:dyDescent="0.3">
      <c r="B56" s="67">
        <v>45487</v>
      </c>
      <c r="C56" s="78">
        <v>67.19</v>
      </c>
      <c r="D56" s="71">
        <f t="shared" si="1"/>
        <v>-2.6718123793974587E-3</v>
      </c>
      <c r="G56" s="68">
        <v>80117.89</v>
      </c>
      <c r="H56" s="71">
        <f t="shared" si="0"/>
        <v>2.173894008438316E-3</v>
      </c>
      <c r="Q56" s="81"/>
      <c r="R56" s="80"/>
    </row>
    <row r="57" spans="2:18" x14ac:dyDescent="0.3">
      <c r="B57" s="67">
        <v>45494</v>
      </c>
      <c r="C57" s="78">
        <v>62.05</v>
      </c>
      <c r="D57" s="71">
        <f t="shared" si="1"/>
        <v>-7.6499479089150182E-2</v>
      </c>
      <c r="G57" s="68">
        <v>78029.509999999995</v>
      </c>
      <c r="H57" s="71">
        <f t="shared" si="0"/>
        <v>-2.6066337992675603E-2</v>
      </c>
      <c r="Q57" s="81"/>
      <c r="R57" s="80"/>
    </row>
    <row r="58" spans="2:18" x14ac:dyDescent="0.3">
      <c r="B58" s="67">
        <v>45501</v>
      </c>
      <c r="C58" s="78">
        <v>62.03</v>
      </c>
      <c r="D58" s="71">
        <f t="shared" si="1"/>
        <v>-3.2232070910549591E-4</v>
      </c>
      <c r="G58" s="68">
        <v>78225.98</v>
      </c>
      <c r="H58" s="71">
        <f t="shared" si="0"/>
        <v>2.5178935507861214E-3</v>
      </c>
      <c r="Q58" s="81"/>
      <c r="R58" s="80"/>
    </row>
    <row r="59" spans="2:18" x14ac:dyDescent="0.3">
      <c r="B59" s="67">
        <v>45508</v>
      </c>
      <c r="C59" s="78">
        <v>62.74</v>
      </c>
      <c r="D59" s="71">
        <f t="shared" si="1"/>
        <v>1.1446074480090293E-2</v>
      </c>
      <c r="G59" s="68">
        <v>78569.59</v>
      </c>
      <c r="H59" s="71">
        <f t="shared" si="0"/>
        <v>4.3925304611076854E-3</v>
      </c>
      <c r="N59" s="80"/>
      <c r="Q59" s="81"/>
      <c r="R59" s="80"/>
    </row>
    <row r="60" spans="2:18" x14ac:dyDescent="0.3">
      <c r="B60" s="67">
        <v>45515</v>
      </c>
      <c r="C60" s="78">
        <v>60.91</v>
      </c>
      <c r="D60" s="71">
        <f t="shared" si="1"/>
        <v>-2.9167994899585676E-2</v>
      </c>
      <c r="G60" s="68">
        <v>78045.31</v>
      </c>
      <c r="H60" s="71">
        <f t="shared" si="0"/>
        <v>-6.6728106892246586E-3</v>
      </c>
      <c r="N60" s="80"/>
      <c r="Q60" s="81"/>
      <c r="R60" s="80"/>
    </row>
    <row r="61" spans="2:18" x14ac:dyDescent="0.3">
      <c r="B61" s="67">
        <v>45522</v>
      </c>
      <c r="C61" s="78">
        <v>59.18</v>
      </c>
      <c r="D61" s="71">
        <f t="shared" si="1"/>
        <v>-2.8402561155803595E-2</v>
      </c>
      <c r="G61" s="68">
        <v>78801.429999999993</v>
      </c>
      <c r="H61" s="71">
        <f t="shared" si="0"/>
        <v>9.6882182926814608E-3</v>
      </c>
      <c r="N61" s="80"/>
      <c r="Q61" s="81"/>
      <c r="R61" s="80"/>
    </row>
    <row r="62" spans="2:18" x14ac:dyDescent="0.3">
      <c r="B62" s="67">
        <v>45529</v>
      </c>
      <c r="C62" s="78">
        <v>58.73</v>
      </c>
      <c r="D62" s="71">
        <f t="shared" si="1"/>
        <v>-7.6039202433254962E-3</v>
      </c>
      <c r="G62" s="68">
        <v>78488.22</v>
      </c>
      <c r="H62" s="71">
        <f t="shared" si="0"/>
        <v>-3.974674063655848E-3</v>
      </c>
      <c r="N62" s="80"/>
    </row>
    <row r="63" spans="2:18" x14ac:dyDescent="0.3">
      <c r="B63" s="82">
        <v>45536</v>
      </c>
      <c r="C63" s="78">
        <v>69.28</v>
      </c>
      <c r="D63" s="71">
        <f t="shared" si="1"/>
        <v>0.17963562063681263</v>
      </c>
      <c r="G63" s="2">
        <v>78897.73</v>
      </c>
      <c r="H63" s="71">
        <f t="shared" si="0"/>
        <v>5.2174708510397448E-3</v>
      </c>
      <c r="N63" s="83"/>
    </row>
    <row r="64" spans="2:18" x14ac:dyDescent="0.3">
      <c r="B64" s="82">
        <v>45543</v>
      </c>
      <c r="C64" s="84">
        <v>62</v>
      </c>
      <c r="D64" s="71">
        <f t="shared" si="1"/>
        <v>-0.105080831408776</v>
      </c>
      <c r="G64" s="2">
        <v>79333.06</v>
      </c>
      <c r="H64" s="71">
        <f t="shared" si="0"/>
        <v>5.517649240352058E-3</v>
      </c>
    </row>
    <row r="65" spans="2:8" x14ac:dyDescent="0.3">
      <c r="B65" s="82">
        <v>45550</v>
      </c>
      <c r="C65" s="78">
        <v>61.01</v>
      </c>
      <c r="D65" s="71">
        <f t="shared" si="1"/>
        <v>-1.5967741935483903E-2</v>
      </c>
      <c r="G65" s="2">
        <v>82074.45</v>
      </c>
      <c r="H65" s="71">
        <f t="shared" si="0"/>
        <v>3.4555455191064094E-2</v>
      </c>
    </row>
    <row r="66" spans="2:8" x14ac:dyDescent="0.3">
      <c r="B66" s="82">
        <v>45557</v>
      </c>
      <c r="C66" s="78">
        <v>61.75</v>
      </c>
      <c r="D66" s="71">
        <f t="shared" si="1"/>
        <v>1.2129159154237044E-2</v>
      </c>
      <c r="G66" s="2">
        <v>81292.13</v>
      </c>
      <c r="H66" s="71">
        <f t="shared" si="0"/>
        <v>-9.5318335974227363E-3</v>
      </c>
    </row>
    <row r="67" spans="2:8" x14ac:dyDescent="0.3">
      <c r="B67" s="82">
        <v>45564</v>
      </c>
      <c r="C67" s="78">
        <v>58.5</v>
      </c>
      <c r="D67" s="71">
        <f t="shared" si="1"/>
        <v>-5.2631578947368418E-2</v>
      </c>
      <c r="G67" s="2">
        <v>83531.960000000006</v>
      </c>
      <c r="H67" s="71">
        <f t="shared" si="0"/>
        <v>2.7552851672111453E-2</v>
      </c>
    </row>
    <row r="68" spans="2:8" x14ac:dyDescent="0.3">
      <c r="B68" s="82">
        <v>45571</v>
      </c>
      <c r="C68" s="78">
        <v>59</v>
      </c>
      <c r="D68" s="71">
        <f t="shared" si="1"/>
        <v>8.5470085470085479E-3</v>
      </c>
      <c r="G68" s="2">
        <v>85483.4</v>
      </c>
      <c r="H68" s="71">
        <f t="shared" si="0"/>
        <v>2.3361597165922929E-2</v>
      </c>
    </row>
    <row r="69" spans="2:8" x14ac:dyDescent="0.3">
      <c r="B69" s="82">
        <v>45578</v>
      </c>
      <c r="C69" s="78">
        <v>58.98</v>
      </c>
      <c r="D69" s="71">
        <f t="shared" si="1"/>
        <v>-3.3898305084751061E-4</v>
      </c>
      <c r="G69" s="2">
        <v>85201.86</v>
      </c>
      <c r="H69" s="71">
        <f t="shared" si="0"/>
        <v>-3.2935049378007147E-3</v>
      </c>
    </row>
  </sheetData>
  <mergeCells count="7">
    <mergeCell ref="Q10:R10"/>
    <mergeCell ref="B2:D2"/>
    <mergeCell ref="B4:E4"/>
    <mergeCell ref="G4:H4"/>
    <mergeCell ref="J4:K4"/>
    <mergeCell ref="Q6:R6"/>
    <mergeCell ref="Q8:S8"/>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2A510-8C6A-4487-8FB7-8CDC8FB3506F}">
  <dimension ref="B2:X71"/>
  <sheetViews>
    <sheetView showGridLines="0" workbookViewId="0">
      <selection activeCell="K12" sqref="K12"/>
    </sheetView>
  </sheetViews>
  <sheetFormatPr defaultRowHeight="14.4" x14ac:dyDescent="0.3"/>
  <cols>
    <col min="2" max="2" width="11" customWidth="1"/>
    <col min="3" max="3" width="11.77734375" customWidth="1"/>
    <col min="7" max="7" width="12" customWidth="1"/>
    <col min="10" max="10" width="17.77734375" customWidth="1"/>
    <col min="11" max="11" width="15.5546875" customWidth="1"/>
  </cols>
  <sheetData>
    <row r="2" spans="2:20" x14ac:dyDescent="0.3">
      <c r="B2" s="416" t="s">
        <v>63</v>
      </c>
      <c r="C2" s="416"/>
      <c r="D2" s="416"/>
    </row>
    <row r="3" spans="2:20" x14ac:dyDescent="0.3">
      <c r="B3" s="61"/>
    </row>
    <row r="4" spans="2:20" x14ac:dyDescent="0.3">
      <c r="B4" s="417" t="s">
        <v>108</v>
      </c>
      <c r="C4" s="417"/>
      <c r="D4" s="417"/>
      <c r="E4" s="417"/>
      <c r="G4" s="417" t="s">
        <v>65</v>
      </c>
      <c r="H4" s="417"/>
      <c r="I4" s="63"/>
      <c r="J4" s="417" t="s">
        <v>66</v>
      </c>
      <c r="K4" s="417"/>
      <c r="L4" s="63"/>
      <c r="M4" s="63"/>
      <c r="N4" s="63"/>
    </row>
    <row r="6" spans="2:20" x14ac:dyDescent="0.3">
      <c r="B6" s="64" t="s">
        <v>67</v>
      </c>
      <c r="C6" s="64" t="s">
        <v>68</v>
      </c>
      <c r="D6" s="64" t="s">
        <v>69</v>
      </c>
      <c r="E6" s="8"/>
      <c r="F6" s="8"/>
      <c r="G6" s="64" t="s">
        <v>68</v>
      </c>
      <c r="H6" s="64" t="s">
        <v>69</v>
      </c>
      <c r="J6" t="s">
        <v>70</v>
      </c>
      <c r="K6" s="65">
        <f>P10</f>
        <v>0.62561337265489403</v>
      </c>
      <c r="O6" t="s">
        <v>71</v>
      </c>
      <c r="P6" s="65">
        <f>SLOPE(D7:D69,H7:H69)</f>
        <v>0.62561337265489392</v>
      </c>
      <c r="Q6" s="415" t="s">
        <v>72</v>
      </c>
      <c r="R6" s="415"/>
      <c r="S6" s="415"/>
    </row>
    <row r="7" spans="2:20" x14ac:dyDescent="0.3">
      <c r="B7" s="67">
        <v>45144</v>
      </c>
      <c r="C7" s="68">
        <v>666.59500000000003</v>
      </c>
      <c r="D7" s="7"/>
      <c r="G7" s="68">
        <f>'Beta-UFPL'!G7</f>
        <v>48424.4</v>
      </c>
      <c r="H7" s="7"/>
      <c r="J7" t="s">
        <v>73</v>
      </c>
      <c r="K7" s="40">
        <v>0.5</v>
      </c>
      <c r="L7" s="69"/>
      <c r="M7" s="69"/>
      <c r="N7" s="69"/>
      <c r="P7" s="65"/>
    </row>
    <row r="8" spans="2:20" x14ac:dyDescent="0.3">
      <c r="B8" s="67">
        <v>45151</v>
      </c>
      <c r="C8" s="68">
        <v>642.5</v>
      </c>
      <c r="D8" s="71">
        <f>(C8-C7)/C7</f>
        <v>-3.614638573646671E-2</v>
      </c>
      <c r="G8" s="68">
        <f>'Beta-UFPL'!G8</f>
        <v>48218.49</v>
      </c>
      <c r="H8" s="71">
        <f t="shared" ref="H8:H69" si="0">(G8-G7)/G7</f>
        <v>-4.2521951743336728E-3</v>
      </c>
      <c r="O8" t="s">
        <v>74</v>
      </c>
      <c r="P8" s="65">
        <f>_xlfn.COVARIANCE.S(D7:D69,H7:H69)/_xlfn.VAR.S(H7:H69)</f>
        <v>0.62561337265489403</v>
      </c>
      <c r="Q8" s="415" t="s">
        <v>75</v>
      </c>
      <c r="R8" s="415"/>
      <c r="S8" s="415"/>
      <c r="T8" s="415"/>
    </row>
    <row r="9" spans="2:20" x14ac:dyDescent="0.3">
      <c r="B9" s="67">
        <v>45158</v>
      </c>
      <c r="C9" s="68">
        <v>655.5</v>
      </c>
      <c r="D9" s="71">
        <f t="shared" ref="D9:D69" si="1">(C9-C8)/C8</f>
        <v>2.0233463035019456E-2</v>
      </c>
      <c r="G9" s="68">
        <f>'Beta-UFPL'!G9</f>
        <v>47671.21</v>
      </c>
      <c r="H9" s="71">
        <f t="shared" si="0"/>
        <v>-1.1350002872342101E-2</v>
      </c>
      <c r="J9" t="s">
        <v>76</v>
      </c>
      <c r="K9">
        <v>1</v>
      </c>
      <c r="P9" s="65"/>
    </row>
    <row r="10" spans="2:20" x14ac:dyDescent="0.3">
      <c r="B10" s="67">
        <v>45165</v>
      </c>
      <c r="C10" s="68">
        <v>678.25</v>
      </c>
      <c r="D10" s="71">
        <f>(C10-C9)/C9</f>
        <v>3.4706331045003813E-2</v>
      </c>
      <c r="G10" s="68">
        <f>'Beta-UFPL'!G10</f>
        <v>45312.65</v>
      </c>
      <c r="H10" s="71">
        <f t="shared" si="0"/>
        <v>-4.947556397246887E-2</v>
      </c>
      <c r="J10" t="s">
        <v>77</v>
      </c>
      <c r="K10" s="36">
        <f>100%-K7</f>
        <v>0.5</v>
      </c>
      <c r="O10" t="s">
        <v>78</v>
      </c>
      <c r="P10" s="65">
        <f>Q42</f>
        <v>0.62561337265489403</v>
      </c>
      <c r="Q10" s="415" t="s">
        <v>79</v>
      </c>
      <c r="R10" s="415"/>
      <c r="S10" s="415"/>
      <c r="T10" s="415"/>
    </row>
    <row r="11" spans="2:20" x14ac:dyDescent="0.3">
      <c r="B11" s="67">
        <f>B10+7</f>
        <v>45172</v>
      </c>
      <c r="C11" s="68">
        <v>681.55</v>
      </c>
      <c r="D11" s="71">
        <f t="shared" si="1"/>
        <v>4.8654625875414002E-3</v>
      </c>
      <c r="G11" s="68">
        <f>'Beta-UFPL'!G11</f>
        <v>46013.48</v>
      </c>
      <c r="H11" s="71">
        <f t="shared" si="0"/>
        <v>1.5466541903861321E-2</v>
      </c>
    </row>
    <row r="12" spans="2:20" x14ac:dyDescent="0.3">
      <c r="B12" s="67">
        <v>45179</v>
      </c>
      <c r="C12" s="68">
        <v>670</v>
      </c>
      <c r="D12" s="71">
        <f>(C12-C9)/C9</f>
        <v>2.212051868802441E-2</v>
      </c>
      <c r="G12" s="68">
        <f>'Beta-UFPL'!G12</f>
        <v>45753.51</v>
      </c>
      <c r="H12" s="71">
        <f t="shared" si="0"/>
        <v>-5.6498660827218709E-3</v>
      </c>
      <c r="J12" s="66" t="s">
        <v>80</v>
      </c>
      <c r="K12" s="72">
        <f>(K6*K7)+(K9*K10)</f>
        <v>0.81280668632744701</v>
      </c>
    </row>
    <row r="13" spans="2:20" x14ac:dyDescent="0.3">
      <c r="B13" s="67">
        <v>45186</v>
      </c>
      <c r="C13" s="68">
        <v>690.69</v>
      </c>
      <c r="D13" s="71">
        <f t="shared" si="1"/>
        <v>3.0880597014925456E-2</v>
      </c>
      <c r="G13" s="68">
        <f>'Beta-UFPL'!G13</f>
        <v>46436.41</v>
      </c>
      <c r="H13" s="71">
        <f t="shared" si="0"/>
        <v>1.4925630842311364E-2</v>
      </c>
    </row>
    <row r="14" spans="2:20" x14ac:dyDescent="0.3">
      <c r="B14" s="67">
        <v>45193</v>
      </c>
      <c r="C14" s="68">
        <v>650</v>
      </c>
      <c r="D14" s="71">
        <f t="shared" si="1"/>
        <v>-5.8912102390363333E-2</v>
      </c>
      <c r="G14" s="68">
        <f>'Beta-UFPL'!G14</f>
        <v>46232.59</v>
      </c>
      <c r="H14" s="71">
        <f t="shared" si="0"/>
        <v>-4.3892281939970591E-3</v>
      </c>
    </row>
    <row r="15" spans="2:20" x14ac:dyDescent="0.3">
      <c r="B15" s="67">
        <v>45200</v>
      </c>
      <c r="C15" s="68">
        <v>698.75</v>
      </c>
      <c r="D15" s="71">
        <f t="shared" si="1"/>
        <v>7.4999999999999997E-2</v>
      </c>
      <c r="G15" s="68">
        <f>'Beta-UFPL'!G15</f>
        <v>47508.67</v>
      </c>
      <c r="H15" s="71">
        <f t="shared" si="0"/>
        <v>2.7601308946784114E-2</v>
      </c>
    </row>
    <row r="16" spans="2:20" x14ac:dyDescent="0.3">
      <c r="B16" s="67">
        <v>45207</v>
      </c>
      <c r="C16" s="68">
        <v>674.375</v>
      </c>
      <c r="D16" s="71">
        <f t="shared" si="1"/>
        <v>-3.4883720930232558E-2</v>
      </c>
      <c r="G16" s="68">
        <f>'Beta-UFPL'!G16</f>
        <v>49493.47</v>
      </c>
      <c r="H16" s="71">
        <f t="shared" si="0"/>
        <v>4.1777637639614056E-2</v>
      </c>
      <c r="K16" s="2"/>
    </row>
    <row r="17" spans="2:17" x14ac:dyDescent="0.3">
      <c r="B17" s="67">
        <v>45214</v>
      </c>
      <c r="C17" s="68">
        <v>687.1875</v>
      </c>
      <c r="D17" s="71">
        <f t="shared" si="1"/>
        <v>1.8999073215940687E-2</v>
      </c>
      <c r="G17" s="68">
        <f>'Beta-UFPL'!G17</f>
        <v>50674.52</v>
      </c>
      <c r="H17" s="71">
        <f t="shared" si="0"/>
        <v>2.3862743913489914E-2</v>
      </c>
    </row>
    <row r="18" spans="2:17" x14ac:dyDescent="0.3">
      <c r="B18" s="67">
        <v>45221</v>
      </c>
      <c r="C18" s="68">
        <v>700</v>
      </c>
      <c r="D18" s="71">
        <f t="shared" si="1"/>
        <v>1.8644838562983174E-2</v>
      </c>
      <c r="G18" s="68">
        <f>'Beta-UFPL'!G18</f>
        <v>50958.45</v>
      </c>
      <c r="H18" s="71">
        <f t="shared" si="0"/>
        <v>5.603013111915028E-3</v>
      </c>
      <c r="K18" s="56"/>
    </row>
    <row r="19" spans="2:17" x14ac:dyDescent="0.3">
      <c r="B19" s="67">
        <v>45228</v>
      </c>
      <c r="C19" s="68">
        <v>700</v>
      </c>
      <c r="D19" s="71">
        <f t="shared" si="1"/>
        <v>0</v>
      </c>
      <c r="G19" s="68">
        <f>'Beta-UFPL'!G19</f>
        <v>53175.72</v>
      </c>
      <c r="H19" s="71">
        <f t="shared" si="0"/>
        <v>4.351133129049263E-2</v>
      </c>
    </row>
    <row r="20" spans="2:17" x14ac:dyDescent="0.3">
      <c r="B20" s="67">
        <v>45235</v>
      </c>
      <c r="C20" s="68">
        <v>725</v>
      </c>
      <c r="D20" s="71">
        <f t="shared" si="1"/>
        <v>3.5714285714285712E-2</v>
      </c>
      <c r="G20" s="68">
        <f>'Beta-UFPL'!G20</f>
        <v>55399.66</v>
      </c>
      <c r="H20" s="71">
        <f t="shared" si="0"/>
        <v>4.1822470857000194E-2</v>
      </c>
    </row>
    <row r="21" spans="2:17" x14ac:dyDescent="0.3">
      <c r="B21" s="67">
        <v>45242</v>
      </c>
      <c r="C21" s="68">
        <v>750</v>
      </c>
      <c r="D21" s="71">
        <f t="shared" si="1"/>
        <v>3.4482758620689655E-2</v>
      </c>
      <c r="G21" s="68">
        <f>'Beta-UFPL'!G21</f>
        <v>57016.959999999999</v>
      </c>
      <c r="H21" s="71">
        <f t="shared" si="0"/>
        <v>2.9193319959003278E-2</v>
      </c>
    </row>
    <row r="22" spans="2:17" x14ac:dyDescent="0.3">
      <c r="B22" s="67">
        <v>45249</v>
      </c>
      <c r="C22" s="68">
        <v>1001.6</v>
      </c>
      <c r="D22" s="71">
        <f t="shared" si="1"/>
        <v>0.33546666666666669</v>
      </c>
      <c r="G22" s="68">
        <f>'Beta-UFPL'!G22</f>
        <v>59173.34</v>
      </c>
      <c r="H22" s="71">
        <f t="shared" si="0"/>
        <v>3.7819974968851325E-2</v>
      </c>
      <c r="O22" s="74"/>
      <c r="P22" s="74"/>
      <c r="Q22" s="74"/>
    </row>
    <row r="23" spans="2:17" x14ac:dyDescent="0.3">
      <c r="B23" s="67">
        <v>45256</v>
      </c>
      <c r="C23" s="68">
        <v>1337.06</v>
      </c>
      <c r="D23" s="71">
        <f t="shared" si="1"/>
        <v>0.33492412140575073</v>
      </c>
      <c r="G23" s="68">
        <f>'Beta-UFPL'!G23</f>
        <v>61691.25</v>
      </c>
      <c r="H23" s="71">
        <f t="shared" si="0"/>
        <v>4.2551426030709161E-2</v>
      </c>
    </row>
    <row r="24" spans="2:17" x14ac:dyDescent="0.3">
      <c r="B24" s="67">
        <v>45263</v>
      </c>
      <c r="C24" s="68">
        <v>1300</v>
      </c>
      <c r="D24" s="71">
        <f t="shared" si="1"/>
        <v>-2.7717529505033391E-2</v>
      </c>
      <c r="G24" s="68">
        <f>'Beta-UFPL'!G24</f>
        <v>66223.63</v>
      </c>
      <c r="H24" s="71">
        <f t="shared" si="0"/>
        <v>7.3468765829838176E-2</v>
      </c>
    </row>
    <row r="25" spans="2:17" x14ac:dyDescent="0.3">
      <c r="B25" s="67">
        <v>45270</v>
      </c>
      <c r="C25" s="68">
        <v>1300</v>
      </c>
      <c r="D25" s="71">
        <f t="shared" si="1"/>
        <v>0</v>
      </c>
      <c r="G25" s="68">
        <f>'Beta-UFPL'!G25</f>
        <v>66130.02</v>
      </c>
      <c r="H25" s="71">
        <f t="shared" si="0"/>
        <v>-1.4135437758395391E-3</v>
      </c>
      <c r="P25" t="s">
        <v>83</v>
      </c>
    </row>
    <row r="26" spans="2:17" ht="15" thickBot="1" x14ac:dyDescent="0.35">
      <c r="B26" s="67">
        <v>45277</v>
      </c>
      <c r="C26" s="68">
        <v>1300</v>
      </c>
      <c r="D26" s="71">
        <f t="shared" si="1"/>
        <v>0</v>
      </c>
      <c r="G26" s="68">
        <f>'Beta-UFPL'!G26</f>
        <v>61705.09</v>
      </c>
      <c r="H26" s="71">
        <f t="shared" si="0"/>
        <v>-6.6912576164350285E-2</v>
      </c>
    </row>
    <row r="27" spans="2:17" x14ac:dyDescent="0.3">
      <c r="B27" s="67">
        <v>45284</v>
      </c>
      <c r="C27" s="68">
        <v>1285</v>
      </c>
      <c r="D27" s="71">
        <f t="shared" si="1"/>
        <v>-1.1538461538461539E-2</v>
      </c>
      <c r="G27" s="68">
        <f>'Beta-UFPL'!G27</f>
        <v>62451.040000000001</v>
      </c>
      <c r="H27" s="71">
        <f t="shared" si="0"/>
        <v>1.2088954087904327E-2</v>
      </c>
      <c r="P27" s="75" t="s">
        <v>84</v>
      </c>
      <c r="Q27" s="75"/>
    </row>
    <row r="28" spans="2:17" x14ac:dyDescent="0.3">
      <c r="B28" s="67">
        <v>45291</v>
      </c>
      <c r="C28" s="68">
        <v>1300</v>
      </c>
      <c r="D28" s="71">
        <f t="shared" si="1"/>
        <v>1.1673151750972763E-2</v>
      </c>
      <c r="G28" s="68">
        <f>'Beta-UFPL'!G28</f>
        <v>64514.9</v>
      </c>
      <c r="H28" s="71">
        <f t="shared" si="0"/>
        <v>3.3047648205698422E-2</v>
      </c>
      <c r="P28" t="s">
        <v>85</v>
      </c>
      <c r="Q28">
        <v>0.18001694704183274</v>
      </c>
    </row>
    <row r="29" spans="2:17" x14ac:dyDescent="0.3">
      <c r="B29" s="67">
        <v>45298</v>
      </c>
      <c r="C29" s="68">
        <v>1275</v>
      </c>
      <c r="D29" s="71">
        <f t="shared" si="1"/>
        <v>-1.9230769230769232E-2</v>
      </c>
      <c r="G29" s="68">
        <f>'Beta-UFPL'!G29</f>
        <v>64637.64</v>
      </c>
      <c r="H29" s="71">
        <f t="shared" si="0"/>
        <v>1.9025062427438927E-3</v>
      </c>
      <c r="P29" t="s">
        <v>86</v>
      </c>
      <c r="Q29">
        <v>3.2406101222262014E-2</v>
      </c>
    </row>
    <row r="30" spans="2:17" x14ac:dyDescent="0.3">
      <c r="B30" s="67">
        <v>45305</v>
      </c>
      <c r="C30" s="68">
        <v>1260</v>
      </c>
      <c r="D30" s="71">
        <f t="shared" si="1"/>
        <v>-1.1764705882352941E-2</v>
      </c>
      <c r="G30" s="68">
        <f>'Beta-UFPL'!G30</f>
        <v>63282.23</v>
      </c>
      <c r="H30" s="71">
        <f t="shared" si="0"/>
        <v>-2.096936088631943E-2</v>
      </c>
      <c r="O30" s="79"/>
      <c r="P30" t="s">
        <v>87</v>
      </c>
      <c r="Q30">
        <v>1.627953624263305E-2</v>
      </c>
    </row>
    <row r="31" spans="2:17" x14ac:dyDescent="0.3">
      <c r="B31" s="67">
        <v>45312</v>
      </c>
      <c r="C31" s="68">
        <v>1250</v>
      </c>
      <c r="D31" s="71">
        <f t="shared" si="1"/>
        <v>-7.9365079365079361E-3</v>
      </c>
      <c r="G31" s="68">
        <f>'Beta-UFPL'!G31</f>
        <v>63813.06</v>
      </c>
      <c r="H31" s="71">
        <f t="shared" si="0"/>
        <v>8.3882947867038576E-3</v>
      </c>
      <c r="P31" t="s">
        <v>88</v>
      </c>
      <c r="Q31">
        <v>8.6345079060773225E-2</v>
      </c>
    </row>
    <row r="32" spans="2:17" ht="15" thickBot="1" x14ac:dyDescent="0.35">
      <c r="B32" s="67">
        <v>45319</v>
      </c>
      <c r="C32" s="68">
        <v>1240</v>
      </c>
      <c r="D32" s="71">
        <f t="shared" si="1"/>
        <v>-8.0000000000000002E-3</v>
      </c>
      <c r="G32" s="68">
        <f>'Beta-UFPL'!G32</f>
        <v>63002.92</v>
      </c>
      <c r="H32" s="71">
        <f t="shared" si="0"/>
        <v>-1.2695520321388747E-2</v>
      </c>
      <c r="P32" s="76" t="s">
        <v>89</v>
      </c>
      <c r="Q32" s="76">
        <v>62</v>
      </c>
    </row>
    <row r="33" spans="2:24" x14ac:dyDescent="0.3">
      <c r="B33" s="67">
        <v>45326</v>
      </c>
      <c r="C33" s="68">
        <v>1370.63</v>
      </c>
      <c r="D33" s="71">
        <f t="shared" si="1"/>
        <v>0.10534677419354847</v>
      </c>
      <c r="G33" s="68">
        <f>'Beta-UFPL'!G33</f>
        <v>62943.75</v>
      </c>
      <c r="H33" s="71">
        <f t="shared" si="0"/>
        <v>-9.3916281975499317E-4</v>
      </c>
    </row>
    <row r="34" spans="2:24" ht="15" thickBot="1" x14ac:dyDescent="0.35">
      <c r="B34" s="67">
        <f>B33+7</f>
        <v>45333</v>
      </c>
      <c r="C34" s="68">
        <v>1155</v>
      </c>
      <c r="D34" s="71">
        <f>(C34-C33)/C33</f>
        <v>-0.15732181551549293</v>
      </c>
      <c r="G34" s="68">
        <f>'Beta-UFPL'!G34</f>
        <v>59872.959999999999</v>
      </c>
      <c r="H34" s="71">
        <f t="shared" si="0"/>
        <v>-4.8786257571244183E-2</v>
      </c>
      <c r="P34" t="s">
        <v>90</v>
      </c>
    </row>
    <row r="35" spans="2:24" x14ac:dyDescent="0.3">
      <c r="B35" s="67">
        <v>45340</v>
      </c>
      <c r="C35" s="68">
        <v>1200</v>
      </c>
      <c r="D35" s="71">
        <f>(C35-C33)/C33</f>
        <v>-0.12449019793817448</v>
      </c>
      <c r="G35" s="68">
        <f>'Beta-UFPL'!G35</f>
        <v>62815.82</v>
      </c>
      <c r="H35" s="71">
        <f t="shared" si="0"/>
        <v>4.9151737278397473E-2</v>
      </c>
      <c r="O35" s="79"/>
      <c r="P35" s="77"/>
      <c r="Q35" s="77" t="s">
        <v>91</v>
      </c>
      <c r="R35" s="77" t="s">
        <v>92</v>
      </c>
      <c r="S35" s="77" t="s">
        <v>93</v>
      </c>
      <c r="T35" s="77" t="s">
        <v>94</v>
      </c>
      <c r="U35" s="77" t="s">
        <v>95</v>
      </c>
    </row>
    <row r="36" spans="2:24" x14ac:dyDescent="0.3">
      <c r="B36" s="67">
        <v>45347</v>
      </c>
      <c r="C36" s="68">
        <v>1150</v>
      </c>
      <c r="D36" s="71">
        <f t="shared" si="1"/>
        <v>-4.1666666666666664E-2</v>
      </c>
      <c r="G36" s="68">
        <f>'Beta-UFPL'!G36</f>
        <v>65325.69</v>
      </c>
      <c r="H36" s="71">
        <f t="shared" si="0"/>
        <v>3.9956017449107609E-2</v>
      </c>
      <c r="P36" t="s">
        <v>96</v>
      </c>
      <c r="Q36">
        <v>1</v>
      </c>
      <c r="R36">
        <v>1.4981665504627373E-2</v>
      </c>
      <c r="S36">
        <v>1.4981665504627373E-2</v>
      </c>
      <c r="T36">
        <v>2.0094856693410725</v>
      </c>
      <c r="U36">
        <v>0.16149071662899375</v>
      </c>
    </row>
    <row r="37" spans="2:24" x14ac:dyDescent="0.3">
      <c r="B37" s="67">
        <v>45354</v>
      </c>
      <c r="C37" s="68">
        <v>1130</v>
      </c>
      <c r="D37" s="71">
        <f t="shared" si="1"/>
        <v>-1.7391304347826087E-2</v>
      </c>
      <c r="G37" s="68">
        <f>'Beta-UFPL'!G37</f>
        <v>65793.759999999995</v>
      </c>
      <c r="H37" s="71">
        <f t="shared" si="0"/>
        <v>7.1651749870532159E-3</v>
      </c>
      <c r="P37" t="s">
        <v>97</v>
      </c>
      <c r="Q37">
        <v>60</v>
      </c>
      <c r="R37">
        <v>0.44732836068067078</v>
      </c>
      <c r="S37">
        <v>7.4554726780111796E-3</v>
      </c>
    </row>
    <row r="38" spans="2:24" ht="15" thickBot="1" x14ac:dyDescent="0.35">
      <c r="B38" s="67">
        <v>45361</v>
      </c>
      <c r="C38" s="68">
        <v>1110</v>
      </c>
      <c r="D38" s="71">
        <f t="shared" si="1"/>
        <v>-1.7699115044247787E-2</v>
      </c>
      <c r="G38" s="68">
        <f>'Beta-UFPL'!G38</f>
        <v>64816.47</v>
      </c>
      <c r="H38" s="71">
        <f t="shared" si="0"/>
        <v>-1.4853840242600417E-2</v>
      </c>
      <c r="P38" s="76" t="s">
        <v>98</v>
      </c>
      <c r="Q38" s="76">
        <v>61</v>
      </c>
      <c r="R38" s="76">
        <v>0.46231002618529815</v>
      </c>
      <c r="S38" s="76"/>
      <c r="T38" s="76"/>
      <c r="U38" s="76"/>
    </row>
    <row r="39" spans="2:24" ht="15" thickBot="1" x14ac:dyDescent="0.35">
      <c r="B39" s="67">
        <v>45368</v>
      </c>
      <c r="C39" s="68">
        <v>1050</v>
      </c>
      <c r="D39" s="71">
        <f t="shared" si="1"/>
        <v>-5.4054054054054057E-2</v>
      </c>
      <c r="G39" s="68">
        <f>'Beta-UFPL'!G39</f>
        <v>65151.83</v>
      </c>
      <c r="H39" s="71">
        <f t="shared" si="0"/>
        <v>5.1739935852723939E-3</v>
      </c>
    </row>
    <row r="40" spans="2:24" x14ac:dyDescent="0.3">
      <c r="B40" s="67">
        <v>45375</v>
      </c>
      <c r="C40" s="68">
        <v>1050</v>
      </c>
      <c r="D40" s="71">
        <f t="shared" si="1"/>
        <v>0</v>
      </c>
      <c r="G40" s="68">
        <f>'Beta-UFPL'!G40</f>
        <v>67005.11</v>
      </c>
      <c r="H40" s="71">
        <f t="shared" si="0"/>
        <v>2.8445555558454749E-2</v>
      </c>
      <c r="P40" s="77"/>
      <c r="Q40" s="77" t="s">
        <v>99</v>
      </c>
      <c r="R40" s="77" t="s">
        <v>88</v>
      </c>
      <c r="S40" s="77" t="s">
        <v>100</v>
      </c>
      <c r="T40" s="77" t="s">
        <v>101</v>
      </c>
      <c r="U40" s="77" t="s">
        <v>102</v>
      </c>
      <c r="V40" s="77" t="s">
        <v>103</v>
      </c>
      <c r="W40" s="77" t="s">
        <v>104</v>
      </c>
      <c r="X40" s="77" t="s">
        <v>105</v>
      </c>
    </row>
    <row r="41" spans="2:24" x14ac:dyDescent="0.3">
      <c r="B41" s="67">
        <v>45382</v>
      </c>
      <c r="C41" s="68">
        <v>1050</v>
      </c>
      <c r="D41" s="71">
        <f t="shared" si="1"/>
        <v>0</v>
      </c>
      <c r="G41" s="68">
        <f>'Beta-UFPL'!G41</f>
        <v>68416.78</v>
      </c>
      <c r="H41" s="71">
        <f t="shared" si="0"/>
        <v>2.1068094657258205E-2</v>
      </c>
      <c r="P41" t="s">
        <v>106</v>
      </c>
      <c r="Q41">
        <v>1.0025087272788603E-2</v>
      </c>
      <c r="R41">
        <v>1.1734210706032602E-2</v>
      </c>
      <c r="S41">
        <v>0.85434696239387176</v>
      </c>
      <c r="T41">
        <v>0.39631114824800717</v>
      </c>
      <c r="U41">
        <v>-1.3446828845544833E-2</v>
      </c>
      <c r="V41">
        <v>3.3497003391122035E-2</v>
      </c>
      <c r="W41">
        <v>-1.3446828845544833E-2</v>
      </c>
      <c r="X41">
        <v>3.3497003391122035E-2</v>
      </c>
    </row>
    <row r="42" spans="2:24" ht="15" thickBot="1" x14ac:dyDescent="0.35">
      <c r="B42" s="67">
        <v>45389</v>
      </c>
      <c r="C42" s="68">
        <v>1070</v>
      </c>
      <c r="D42" s="71">
        <f t="shared" si="1"/>
        <v>1.9047619047619049E-2</v>
      </c>
      <c r="G42" s="68">
        <f>'Beta-UFPL'!G42</f>
        <v>70314.720000000001</v>
      </c>
      <c r="H42" s="71">
        <f t="shared" si="0"/>
        <v>2.7740855386646411E-2</v>
      </c>
      <c r="P42" s="76"/>
      <c r="Q42" s="76">
        <v>0.62561337265489403</v>
      </c>
      <c r="R42" s="76">
        <v>0.4413301183145098</v>
      </c>
      <c r="S42" s="76">
        <v>1.417563285832798</v>
      </c>
      <c r="T42" s="76">
        <v>0.16149071662899298</v>
      </c>
      <c r="U42" s="76">
        <v>-0.25717830179891599</v>
      </c>
      <c r="V42" s="76">
        <v>1.508405047108704</v>
      </c>
      <c r="W42" s="76">
        <v>-0.25717830179891599</v>
      </c>
      <c r="X42" s="76">
        <v>1.508405047108704</v>
      </c>
    </row>
    <row r="43" spans="2:24" x14ac:dyDescent="0.3">
      <c r="B43" s="67">
        <v>45396</v>
      </c>
      <c r="C43" s="68">
        <v>1075</v>
      </c>
      <c r="D43" s="71">
        <f t="shared" si="1"/>
        <v>4.6728971962616819E-3</v>
      </c>
      <c r="G43" s="68">
        <f>'Beta-UFPL'!G43</f>
        <v>70909.899999999994</v>
      </c>
      <c r="H43" s="71">
        <f t="shared" si="0"/>
        <v>8.4645149692694922E-3</v>
      </c>
    </row>
    <row r="44" spans="2:24" x14ac:dyDescent="0.3">
      <c r="B44" s="67">
        <v>45403</v>
      </c>
      <c r="C44" s="68">
        <v>1063.02</v>
      </c>
      <c r="D44" s="71">
        <f t="shared" si="1"/>
        <v>-1.1144186046511646E-2</v>
      </c>
      <c r="G44" s="68">
        <f>'Beta-UFPL'!G44</f>
        <v>72742.75</v>
      </c>
      <c r="H44" s="71">
        <f t="shared" si="0"/>
        <v>2.5847589687758774E-2</v>
      </c>
    </row>
    <row r="45" spans="2:24" x14ac:dyDescent="0.3">
      <c r="B45" s="67">
        <v>45410</v>
      </c>
      <c r="C45" s="68">
        <v>1230</v>
      </c>
      <c r="D45" s="71">
        <f t="shared" si="1"/>
        <v>0.15708076988203423</v>
      </c>
      <c r="G45" s="68">
        <f>'Beta-UFPL'!G45</f>
        <v>71902.09</v>
      </c>
      <c r="H45" s="71">
        <f t="shared" si="0"/>
        <v>-1.1556615607741025E-2</v>
      </c>
    </row>
    <row r="46" spans="2:24" x14ac:dyDescent="0.3">
      <c r="B46" s="67">
        <v>45417</v>
      </c>
      <c r="C46" s="68">
        <v>1250.0999999999999</v>
      </c>
      <c r="D46" s="71">
        <f t="shared" si="1"/>
        <v>1.6341463414634074E-2</v>
      </c>
      <c r="G46" s="68">
        <f>'Beta-UFPL'!G46</f>
        <v>73085.5</v>
      </c>
      <c r="H46" s="71">
        <f t="shared" si="0"/>
        <v>1.6458631452854897E-2</v>
      </c>
    </row>
    <row r="47" spans="2:24" x14ac:dyDescent="0.3">
      <c r="B47" s="67">
        <v>45424</v>
      </c>
      <c r="C47" s="68">
        <v>1550</v>
      </c>
      <c r="D47" s="71">
        <f t="shared" si="1"/>
        <v>0.23990080793536525</v>
      </c>
      <c r="G47" s="68">
        <f>'Beta-UFPL'!G47</f>
        <v>75342.350000000006</v>
      </c>
      <c r="H47" s="71">
        <f t="shared" si="0"/>
        <v>3.0879586238036352E-2</v>
      </c>
    </row>
    <row r="48" spans="2:24" x14ac:dyDescent="0.3">
      <c r="B48" s="67">
        <v>45431</v>
      </c>
      <c r="C48" s="68">
        <v>1700</v>
      </c>
      <c r="D48" s="71">
        <f t="shared" si="1"/>
        <v>9.6774193548387094E-2</v>
      </c>
      <c r="G48" s="68">
        <f>'Beta-UFPL'!G48</f>
        <v>75983.039999999994</v>
      </c>
      <c r="H48" s="71">
        <f t="shared" si="0"/>
        <v>8.5037167011645879E-3</v>
      </c>
    </row>
    <row r="49" spans="2:8" x14ac:dyDescent="0.3">
      <c r="B49" s="67">
        <v>45438</v>
      </c>
      <c r="C49" s="68">
        <v>1599</v>
      </c>
      <c r="D49" s="71">
        <f t="shared" si="1"/>
        <v>-5.9411764705882351E-2</v>
      </c>
      <c r="G49" s="68">
        <f>'Beta-UFPL'!G49</f>
        <v>75878.48</v>
      </c>
      <c r="H49" s="71">
        <f t="shared" si="0"/>
        <v>-1.3760965604955749E-3</v>
      </c>
    </row>
    <row r="50" spans="2:8" x14ac:dyDescent="0.3">
      <c r="B50" s="67">
        <v>45445</v>
      </c>
      <c r="C50" s="68">
        <v>1554</v>
      </c>
      <c r="D50" s="71">
        <f t="shared" si="1"/>
        <v>-2.8142589118198873E-2</v>
      </c>
      <c r="G50" s="68">
        <f>'Beta-UFPL'!G50</f>
        <v>73754.02</v>
      </c>
      <c r="H50" s="71">
        <f t="shared" si="0"/>
        <v>-2.7998188682746308E-2</v>
      </c>
    </row>
    <row r="51" spans="2:8" x14ac:dyDescent="0.3">
      <c r="B51" s="67">
        <v>45452</v>
      </c>
      <c r="C51" s="68">
        <v>1469.99</v>
      </c>
      <c r="D51" s="71">
        <f t="shared" si="1"/>
        <v>-5.4060489060489055E-2</v>
      </c>
      <c r="G51" s="68">
        <f>'Beta-UFPL'!G51</f>
        <v>76706.77</v>
      </c>
      <c r="H51" s="71">
        <f t="shared" si="0"/>
        <v>4.0035105883042037E-2</v>
      </c>
    </row>
    <row r="52" spans="2:8" x14ac:dyDescent="0.3">
      <c r="B52" s="67">
        <v>45459</v>
      </c>
      <c r="C52" s="68">
        <v>1500</v>
      </c>
      <c r="D52" s="71">
        <f t="shared" si="1"/>
        <v>2.0415104864658938E-2</v>
      </c>
      <c r="G52" s="68">
        <f>'Beta-UFPL'!G52</f>
        <v>78810.490000000005</v>
      </c>
      <c r="H52" s="71">
        <f t="shared" si="0"/>
        <v>2.7425480176000123E-2</v>
      </c>
    </row>
    <row r="53" spans="2:8" x14ac:dyDescent="0.3">
      <c r="B53" s="67">
        <v>45466</v>
      </c>
      <c r="C53" s="68">
        <v>1482.14</v>
      </c>
      <c r="D53" s="71">
        <f t="shared" si="1"/>
        <v>-1.19066666666666E-2</v>
      </c>
      <c r="G53" s="68">
        <f>'Beta-UFPL'!G53</f>
        <v>78444.960000000006</v>
      </c>
      <c r="H53" s="71">
        <f t="shared" si="0"/>
        <v>-4.6380881529857103E-3</v>
      </c>
    </row>
    <row r="54" spans="2:8" x14ac:dyDescent="0.3">
      <c r="B54" s="67">
        <v>45473</v>
      </c>
      <c r="C54" s="68">
        <v>1441.49</v>
      </c>
      <c r="D54" s="71">
        <f t="shared" si="1"/>
        <v>-2.7426558894571424E-2</v>
      </c>
      <c r="G54" s="68">
        <f>'Beta-UFPL'!G54</f>
        <v>80212.789999999994</v>
      </c>
      <c r="H54" s="71">
        <f t="shared" si="0"/>
        <v>2.2535928375768018E-2</v>
      </c>
    </row>
    <row r="55" spans="2:8" x14ac:dyDescent="0.3">
      <c r="B55" s="67">
        <v>45480</v>
      </c>
      <c r="C55" s="68">
        <v>1603.31</v>
      </c>
      <c r="D55" s="71">
        <f t="shared" si="1"/>
        <v>0.11225884328021696</v>
      </c>
      <c r="G55" s="68">
        <f>'Beta-UFPL'!G55</f>
        <v>79944.100000000006</v>
      </c>
      <c r="H55" s="71">
        <f t="shared" si="0"/>
        <v>-3.3497151763451664E-3</v>
      </c>
    </row>
    <row r="56" spans="2:8" x14ac:dyDescent="0.3">
      <c r="B56" s="67">
        <v>45487</v>
      </c>
      <c r="C56" s="68">
        <v>1631.5</v>
      </c>
      <c r="D56" s="71">
        <f t="shared" si="1"/>
        <v>1.7582376458701098E-2</v>
      </c>
      <c r="G56" s="68">
        <f>'Beta-UFPL'!G56</f>
        <v>80117.89</v>
      </c>
      <c r="H56" s="71">
        <f t="shared" si="0"/>
        <v>2.173894008438316E-3</v>
      </c>
    </row>
    <row r="57" spans="2:8" x14ac:dyDescent="0.3">
      <c r="B57" s="67">
        <v>45494</v>
      </c>
      <c r="C57" s="68">
        <v>1495.96</v>
      </c>
      <c r="D57" s="71">
        <f t="shared" si="1"/>
        <v>-8.3076923076923048E-2</v>
      </c>
      <c r="G57" s="68">
        <f>'Beta-UFPL'!G57</f>
        <v>78029.509999999995</v>
      </c>
      <c r="H57" s="71">
        <f t="shared" si="0"/>
        <v>-2.6066337992675603E-2</v>
      </c>
    </row>
    <row r="58" spans="2:8" x14ac:dyDescent="0.3">
      <c r="B58" s="67">
        <v>45501</v>
      </c>
      <c r="C58" s="68">
        <v>1351.1</v>
      </c>
      <c r="D58" s="71">
        <f t="shared" si="1"/>
        <v>-9.6834139950266129E-2</v>
      </c>
      <c r="G58" s="68">
        <f>'Beta-UFPL'!G58</f>
        <v>78225.98</v>
      </c>
      <c r="H58" s="71">
        <f t="shared" si="0"/>
        <v>2.5178935507861214E-3</v>
      </c>
    </row>
    <row r="59" spans="2:8" x14ac:dyDescent="0.3">
      <c r="B59" s="67">
        <v>45508</v>
      </c>
      <c r="C59" s="68">
        <v>1538.57</v>
      </c>
      <c r="D59" s="71">
        <f t="shared" si="1"/>
        <v>0.13875360817111987</v>
      </c>
      <c r="G59" s="68">
        <f>'Beta-UFPL'!G59</f>
        <v>78569.59</v>
      </c>
      <c r="H59" s="71">
        <f t="shared" si="0"/>
        <v>4.3925304611076854E-3</v>
      </c>
    </row>
    <row r="60" spans="2:8" x14ac:dyDescent="0.3">
      <c r="B60" s="67">
        <v>45515</v>
      </c>
      <c r="C60" s="68">
        <v>1539.47</v>
      </c>
      <c r="D60" s="71">
        <f t="shared" si="1"/>
        <v>5.8495876040745045E-4</v>
      </c>
      <c r="G60" s="68">
        <f>'Beta-UFPL'!G60</f>
        <v>78045.31</v>
      </c>
      <c r="H60" s="71">
        <f t="shared" si="0"/>
        <v>-6.6728106892246586E-3</v>
      </c>
    </row>
    <row r="61" spans="2:8" x14ac:dyDescent="0.3">
      <c r="B61" s="67">
        <v>45522</v>
      </c>
      <c r="C61" s="68">
        <v>1583.76</v>
      </c>
      <c r="D61" s="71">
        <f t="shared" si="1"/>
        <v>2.8769641499996727E-2</v>
      </c>
      <c r="G61" s="68">
        <f>'Beta-UFPL'!G61</f>
        <v>78801.429999999993</v>
      </c>
      <c r="H61" s="71">
        <f t="shared" si="0"/>
        <v>9.6882182926814608E-3</v>
      </c>
    </row>
    <row r="62" spans="2:8" x14ac:dyDescent="0.3">
      <c r="B62" s="67">
        <v>45529</v>
      </c>
      <c r="C62" s="68">
        <v>1620.23</v>
      </c>
      <c r="D62" s="71">
        <f t="shared" si="1"/>
        <v>2.3027478910946121E-2</v>
      </c>
      <c r="G62" s="68">
        <f>'Beta-UFPL'!G62</f>
        <v>78488.22</v>
      </c>
      <c r="H62" s="71">
        <f t="shared" si="0"/>
        <v>-3.974674063655848E-3</v>
      </c>
    </row>
    <row r="63" spans="2:8" x14ac:dyDescent="0.3">
      <c r="B63" s="67">
        <v>45536</v>
      </c>
      <c r="C63" s="68">
        <v>1594.94</v>
      </c>
      <c r="D63" s="71">
        <f t="shared" si="1"/>
        <v>-1.5608895033421158E-2</v>
      </c>
      <c r="G63" s="68">
        <f>'Beta-UFPL'!G63</f>
        <v>78897.73</v>
      </c>
      <c r="H63" s="71">
        <f t="shared" si="0"/>
        <v>5.2174708510397448E-3</v>
      </c>
    </row>
    <row r="64" spans="2:8" x14ac:dyDescent="0.3">
      <c r="B64" s="67">
        <v>45543</v>
      </c>
      <c r="C64" s="68">
        <v>1700</v>
      </c>
      <c r="D64" s="71">
        <f t="shared" si="1"/>
        <v>6.5870816457045372E-2</v>
      </c>
      <c r="G64" s="68">
        <f>'Beta-UFPL'!G64</f>
        <v>79333.06</v>
      </c>
      <c r="H64" s="71">
        <f t="shared" si="0"/>
        <v>5.517649240352058E-3</v>
      </c>
    </row>
    <row r="65" spans="2:8" x14ac:dyDescent="0.3">
      <c r="B65" s="67">
        <v>45550</v>
      </c>
      <c r="C65" s="2">
        <v>1625.94</v>
      </c>
      <c r="D65" s="71">
        <f t="shared" si="1"/>
        <v>-4.3564705882352908E-2</v>
      </c>
      <c r="G65" s="68">
        <f>'Beta-UFPL'!G65</f>
        <v>82074.45</v>
      </c>
      <c r="H65" s="71">
        <f t="shared" si="0"/>
        <v>3.4555455191064094E-2</v>
      </c>
    </row>
    <row r="66" spans="2:8" x14ac:dyDescent="0.3">
      <c r="B66" s="67">
        <v>45557</v>
      </c>
      <c r="C66" s="2">
        <v>1813.39</v>
      </c>
      <c r="D66" s="71">
        <f t="shared" si="1"/>
        <v>0.11528715696766181</v>
      </c>
      <c r="G66" s="68">
        <f>'Beta-UFPL'!G66</f>
        <v>81292.13</v>
      </c>
      <c r="H66" s="71">
        <f t="shared" si="0"/>
        <v>-9.5318335974227363E-3</v>
      </c>
    </row>
    <row r="67" spans="2:8" x14ac:dyDescent="0.3">
      <c r="B67" s="67">
        <v>45564</v>
      </c>
      <c r="C67" s="2">
        <v>1792.57</v>
      </c>
      <c r="D67" s="71">
        <f t="shared" si="1"/>
        <v>-1.148125885771961E-2</v>
      </c>
      <c r="G67" s="68">
        <f>'Beta-UFPL'!G67</f>
        <v>83531.960000000006</v>
      </c>
      <c r="H67" s="71">
        <f t="shared" si="0"/>
        <v>2.7552851672111453E-2</v>
      </c>
    </row>
    <row r="68" spans="2:8" x14ac:dyDescent="0.3">
      <c r="B68" s="67">
        <v>45571</v>
      </c>
      <c r="C68" s="2">
        <v>1795.5</v>
      </c>
      <c r="D68" s="71">
        <f t="shared" si="1"/>
        <v>1.6345247326464594E-3</v>
      </c>
      <c r="G68" s="68">
        <f>'Beta-UFPL'!G68</f>
        <v>85483.4</v>
      </c>
      <c r="H68" s="71">
        <f t="shared" si="0"/>
        <v>2.3361597165922929E-2</v>
      </c>
    </row>
    <row r="69" spans="2:8" x14ac:dyDescent="0.3">
      <c r="B69" s="67">
        <v>45578</v>
      </c>
      <c r="C69" s="2">
        <v>1650</v>
      </c>
      <c r="D69" s="71">
        <f t="shared" si="1"/>
        <v>-8.1035923141186295E-2</v>
      </c>
      <c r="G69" s="68">
        <f>'Beta-UFPL'!G69</f>
        <v>85201.86</v>
      </c>
      <c r="H69" s="71">
        <f t="shared" si="0"/>
        <v>-3.2935049378007147E-3</v>
      </c>
    </row>
    <row r="71" spans="2:8" x14ac:dyDescent="0.3">
      <c r="C71" s="42"/>
    </row>
  </sheetData>
  <mergeCells count="7">
    <mergeCell ref="Q10:T10"/>
    <mergeCell ref="B2:D2"/>
    <mergeCell ref="B4:E4"/>
    <mergeCell ref="G4:H4"/>
    <mergeCell ref="J4:K4"/>
    <mergeCell ref="Q6:S6"/>
    <mergeCell ref="Q8:T8"/>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9A9E-AABB-4BC0-909D-E7BE93342E91}">
  <dimension ref="B2:X69"/>
  <sheetViews>
    <sheetView showGridLines="0" workbookViewId="0">
      <selection activeCell="C26" activeCellId="1" sqref="B1 C26"/>
    </sheetView>
  </sheetViews>
  <sheetFormatPr defaultRowHeight="14.4" x14ac:dyDescent="0.3"/>
  <cols>
    <col min="2" max="2" width="11" customWidth="1"/>
    <col min="3" max="3" width="11.77734375" customWidth="1"/>
    <col min="7" max="7" width="12" customWidth="1"/>
    <col min="10" max="10" width="17.77734375" customWidth="1"/>
    <col min="11" max="11" width="10.44140625" customWidth="1"/>
  </cols>
  <sheetData>
    <row r="2" spans="2:20" x14ac:dyDescent="0.3">
      <c r="B2" s="416" t="s">
        <v>63</v>
      </c>
      <c r="C2" s="416"/>
      <c r="D2" s="416"/>
    </row>
    <row r="3" spans="2:20" x14ac:dyDescent="0.3">
      <c r="B3" s="61"/>
    </row>
    <row r="4" spans="2:20" x14ac:dyDescent="0.3">
      <c r="B4" s="417" t="s">
        <v>20</v>
      </c>
      <c r="C4" s="417"/>
      <c r="D4" s="417"/>
      <c r="E4" s="417"/>
      <c r="G4" s="417" t="s">
        <v>65</v>
      </c>
      <c r="H4" s="417"/>
      <c r="I4" s="63"/>
      <c r="J4" s="417" t="s">
        <v>66</v>
      </c>
      <c r="K4" s="417"/>
      <c r="L4" s="63"/>
      <c r="M4" s="63"/>
      <c r="N4" s="63"/>
    </row>
    <row r="6" spans="2:20" x14ac:dyDescent="0.3">
      <c r="B6" s="64" t="s">
        <v>67</v>
      </c>
      <c r="C6" s="64" t="s">
        <v>68</v>
      </c>
      <c r="D6" s="64" t="s">
        <v>69</v>
      </c>
      <c r="E6" s="8"/>
      <c r="F6" s="8"/>
      <c r="G6" s="64" t="s">
        <v>68</v>
      </c>
      <c r="H6" s="64" t="s">
        <v>69</v>
      </c>
      <c r="J6" t="s">
        <v>70</v>
      </c>
      <c r="K6" s="65">
        <f>P10</f>
        <v>0.92239610231669533</v>
      </c>
      <c r="O6" t="s">
        <v>71</v>
      </c>
      <c r="P6" s="65">
        <f>SLOPE(D7:D69,H7:H69)</f>
        <v>0.922396102316695</v>
      </c>
      <c r="Q6" s="415" t="s">
        <v>72</v>
      </c>
      <c r="R6" s="415"/>
      <c r="S6" s="415"/>
    </row>
    <row r="7" spans="2:20" x14ac:dyDescent="0.3">
      <c r="B7" s="67">
        <v>45144</v>
      </c>
      <c r="C7" s="78">
        <v>116.5</v>
      </c>
      <c r="D7" s="7"/>
      <c r="G7" s="68">
        <f>'Beta-UFPL'!G7</f>
        <v>48424.4</v>
      </c>
      <c r="H7" s="7"/>
      <c r="J7" t="s">
        <v>73</v>
      </c>
      <c r="K7" s="40">
        <v>0.5</v>
      </c>
      <c r="L7" s="69"/>
      <c r="M7" s="69"/>
      <c r="N7" s="69"/>
      <c r="P7" s="65"/>
    </row>
    <row r="8" spans="2:20" x14ac:dyDescent="0.3">
      <c r="B8" s="67">
        <v>45151</v>
      </c>
      <c r="C8" s="78">
        <v>114</v>
      </c>
      <c r="D8" s="71">
        <f>(C8-C7)/C7</f>
        <v>-2.1459227467811159E-2</v>
      </c>
      <c r="G8" s="68">
        <f>'Beta-UFPL'!G8</f>
        <v>48218.49</v>
      </c>
      <c r="H8" s="71">
        <f t="shared" ref="H8:H69" si="0">(G8-G7)/G7</f>
        <v>-4.2521951743336728E-3</v>
      </c>
      <c r="O8" t="s">
        <v>74</v>
      </c>
      <c r="P8" s="65">
        <f>_xlfn.COVARIANCE.S(D7:D69,H7:H69)/_xlfn.VAR.S(H7:H69)</f>
        <v>0.922396102316695</v>
      </c>
      <c r="Q8" s="415" t="s">
        <v>75</v>
      </c>
      <c r="R8" s="415"/>
      <c r="S8" s="415"/>
      <c r="T8" s="415"/>
    </row>
    <row r="9" spans="2:20" x14ac:dyDescent="0.3">
      <c r="B9" s="67">
        <v>45158</v>
      </c>
      <c r="C9" s="78">
        <v>112.5</v>
      </c>
      <c r="D9" s="71">
        <f t="shared" ref="D9:D69" si="1">(C9-C8)/C8</f>
        <v>-1.3157894736842105E-2</v>
      </c>
      <c r="G9" s="68">
        <f>'Beta-UFPL'!G9</f>
        <v>47671.21</v>
      </c>
      <c r="H9" s="71">
        <f t="shared" si="0"/>
        <v>-1.1350002872342101E-2</v>
      </c>
      <c r="J9" t="s">
        <v>76</v>
      </c>
      <c r="K9">
        <v>1</v>
      </c>
      <c r="P9" s="65"/>
    </row>
    <row r="10" spans="2:20" x14ac:dyDescent="0.3">
      <c r="B10" s="67">
        <v>45165</v>
      </c>
      <c r="C10" s="78">
        <v>106.79</v>
      </c>
      <c r="D10" s="71">
        <f>(C10-C9)/C9</f>
        <v>-5.0755555555555498E-2</v>
      </c>
      <c r="G10" s="68">
        <f>'Beta-UFPL'!G10</f>
        <v>45312.65</v>
      </c>
      <c r="H10" s="71">
        <f t="shared" si="0"/>
        <v>-4.947556397246887E-2</v>
      </c>
      <c r="J10" t="s">
        <v>77</v>
      </c>
      <c r="K10" s="36">
        <f>100%-K7</f>
        <v>0.5</v>
      </c>
      <c r="O10" t="s">
        <v>78</v>
      </c>
      <c r="P10" s="65">
        <f>Q42</f>
        <v>0.92239610231669533</v>
      </c>
      <c r="Q10" s="415" t="s">
        <v>79</v>
      </c>
      <c r="R10" s="415"/>
      <c r="S10" s="415"/>
      <c r="T10" s="415"/>
    </row>
    <row r="11" spans="2:20" x14ac:dyDescent="0.3">
      <c r="B11" s="67">
        <f>B10+7</f>
        <v>45172</v>
      </c>
      <c r="C11" s="78">
        <v>104.5</v>
      </c>
      <c r="D11" s="71">
        <f t="shared" si="1"/>
        <v>-2.1443955426538121E-2</v>
      </c>
      <c r="G11" s="68">
        <f>'Beta-UFPL'!G11</f>
        <v>46013.48</v>
      </c>
      <c r="H11" s="71">
        <f t="shared" si="0"/>
        <v>1.5466541903861321E-2</v>
      </c>
    </row>
    <row r="12" spans="2:20" x14ac:dyDescent="0.3">
      <c r="B12" s="67">
        <v>45179</v>
      </c>
      <c r="C12" s="78">
        <v>101.5</v>
      </c>
      <c r="D12" s="71">
        <f>(C12-C9)/C9</f>
        <v>-9.7777777777777783E-2</v>
      </c>
      <c r="G12" s="68">
        <f>'Beta-UFPL'!G12</f>
        <v>45753.51</v>
      </c>
      <c r="H12" s="71">
        <f t="shared" si="0"/>
        <v>-5.6498660827218709E-3</v>
      </c>
      <c r="J12" s="66" t="s">
        <v>80</v>
      </c>
      <c r="K12" s="72">
        <f>(K6*K7)+(K9*K10)</f>
        <v>0.96119805115834767</v>
      </c>
    </row>
    <row r="13" spans="2:20" x14ac:dyDescent="0.3">
      <c r="B13" s="67">
        <v>45186</v>
      </c>
      <c r="C13" s="78">
        <v>102.15</v>
      </c>
      <c r="D13" s="71">
        <f t="shared" si="1"/>
        <v>6.4039408866995631E-3</v>
      </c>
      <c r="G13" s="68">
        <f>'Beta-UFPL'!G13</f>
        <v>46436.41</v>
      </c>
      <c r="H13" s="71">
        <f t="shared" si="0"/>
        <v>1.4925630842311364E-2</v>
      </c>
    </row>
    <row r="14" spans="2:20" x14ac:dyDescent="0.3">
      <c r="B14" s="67">
        <v>45193</v>
      </c>
      <c r="C14" s="78">
        <v>108.5</v>
      </c>
      <c r="D14" s="71">
        <f t="shared" si="1"/>
        <v>6.2163485070974002E-2</v>
      </c>
      <c r="G14" s="68">
        <f>'Beta-UFPL'!G14</f>
        <v>46232.59</v>
      </c>
      <c r="H14" s="71">
        <f t="shared" si="0"/>
        <v>-4.3892281939970591E-3</v>
      </c>
    </row>
    <row r="15" spans="2:20" x14ac:dyDescent="0.3">
      <c r="B15" s="67">
        <v>45200</v>
      </c>
      <c r="C15" s="78">
        <v>108</v>
      </c>
      <c r="D15" s="71">
        <f t="shared" si="1"/>
        <v>-4.608294930875576E-3</v>
      </c>
      <c r="G15" s="68">
        <f>'Beta-UFPL'!G15</f>
        <v>47508.67</v>
      </c>
      <c r="H15" s="71">
        <f t="shared" si="0"/>
        <v>2.7601308946784114E-2</v>
      </c>
    </row>
    <row r="16" spans="2:20" x14ac:dyDescent="0.3">
      <c r="B16" s="67">
        <v>45207</v>
      </c>
      <c r="C16" s="78">
        <v>108.5</v>
      </c>
      <c r="D16" s="71">
        <f t="shared" si="1"/>
        <v>4.6296296296296294E-3</v>
      </c>
      <c r="G16" s="68">
        <f>'Beta-UFPL'!G16</f>
        <v>49493.47</v>
      </c>
      <c r="H16" s="71">
        <f t="shared" si="0"/>
        <v>4.1777637639614056E-2</v>
      </c>
    </row>
    <row r="17" spans="2:17" x14ac:dyDescent="0.3">
      <c r="B17" s="67">
        <v>45214</v>
      </c>
      <c r="C17" s="78">
        <v>111.25</v>
      </c>
      <c r="D17" s="71">
        <f t="shared" si="1"/>
        <v>2.5345622119815669E-2</v>
      </c>
      <c r="G17" s="68">
        <f>'Beta-UFPL'!G17</f>
        <v>50674.52</v>
      </c>
      <c r="H17" s="71">
        <f t="shared" si="0"/>
        <v>2.3862743913489914E-2</v>
      </c>
    </row>
    <row r="18" spans="2:17" x14ac:dyDescent="0.3">
      <c r="B18" s="67">
        <v>45221</v>
      </c>
      <c r="C18" s="78">
        <v>106.3</v>
      </c>
      <c r="D18" s="71">
        <f t="shared" si="1"/>
        <v>-4.4494382022471933E-2</v>
      </c>
      <c r="G18" s="68">
        <f>'Beta-UFPL'!G18</f>
        <v>50958.45</v>
      </c>
      <c r="H18" s="71">
        <f t="shared" si="0"/>
        <v>5.603013111915028E-3</v>
      </c>
    </row>
    <row r="19" spans="2:17" x14ac:dyDescent="0.3">
      <c r="B19" s="67">
        <v>45228</v>
      </c>
      <c r="C19" s="78">
        <v>112.5</v>
      </c>
      <c r="D19" s="71">
        <f t="shared" si="1"/>
        <v>5.8325493885230506E-2</v>
      </c>
      <c r="G19" s="68">
        <f>'Beta-UFPL'!G19</f>
        <v>53175.72</v>
      </c>
      <c r="H19" s="71">
        <f t="shared" si="0"/>
        <v>4.351133129049263E-2</v>
      </c>
    </row>
    <row r="20" spans="2:17" x14ac:dyDescent="0.3">
      <c r="B20" s="67">
        <v>45235</v>
      </c>
      <c r="C20" s="78">
        <v>124.49</v>
      </c>
      <c r="D20" s="71">
        <f t="shared" si="1"/>
        <v>0.10657777777777773</v>
      </c>
      <c r="G20" s="68">
        <f>'Beta-UFPL'!G20</f>
        <v>55399.66</v>
      </c>
      <c r="H20" s="71">
        <f t="shared" si="0"/>
        <v>4.1822470857000194E-2</v>
      </c>
    </row>
    <row r="21" spans="2:17" x14ac:dyDescent="0.3">
      <c r="B21" s="67">
        <v>45242</v>
      </c>
      <c r="C21" s="78">
        <v>123</v>
      </c>
      <c r="D21" s="71">
        <f t="shared" si="1"/>
        <v>-1.1968832837978914E-2</v>
      </c>
      <c r="G21" s="68">
        <f>'Beta-UFPL'!G21</f>
        <v>57016.959999999999</v>
      </c>
      <c r="H21" s="71">
        <f t="shared" si="0"/>
        <v>2.9193319959003278E-2</v>
      </c>
    </row>
    <row r="22" spans="2:17" x14ac:dyDescent="0.3">
      <c r="B22" s="67">
        <v>45249</v>
      </c>
      <c r="C22" s="78">
        <v>133</v>
      </c>
      <c r="D22" s="71">
        <f t="shared" si="1"/>
        <v>8.1300813008130079E-2</v>
      </c>
      <c r="G22" s="68">
        <f>'Beta-UFPL'!G22</f>
        <v>59173.34</v>
      </c>
      <c r="H22" s="71">
        <f t="shared" si="0"/>
        <v>3.7819974968851325E-2</v>
      </c>
      <c r="O22" s="74"/>
      <c r="P22" s="74"/>
      <c r="Q22" s="74"/>
    </row>
    <row r="23" spans="2:17" x14ac:dyDescent="0.3">
      <c r="B23" s="67">
        <v>45256</v>
      </c>
      <c r="C23" s="78">
        <v>136.11000000000001</v>
      </c>
      <c r="D23" s="71">
        <f t="shared" si="1"/>
        <v>2.3383458646616645E-2</v>
      </c>
      <c r="G23" s="68">
        <f>'Beta-UFPL'!G23</f>
        <v>61691.25</v>
      </c>
      <c r="H23" s="71">
        <f t="shared" si="0"/>
        <v>4.2551426030709161E-2</v>
      </c>
    </row>
    <row r="24" spans="2:17" x14ac:dyDescent="0.3">
      <c r="B24" s="67">
        <v>45263</v>
      </c>
      <c r="C24" s="78">
        <v>148</v>
      </c>
      <c r="D24" s="71">
        <f t="shared" si="1"/>
        <v>8.7355815149511309E-2</v>
      </c>
      <c r="G24" s="68">
        <f>'Beta-UFPL'!G24</f>
        <v>66223.63</v>
      </c>
      <c r="H24" s="71">
        <f t="shared" si="0"/>
        <v>7.3468765829838176E-2</v>
      </c>
    </row>
    <row r="25" spans="2:17" x14ac:dyDescent="0.3">
      <c r="B25" s="67">
        <v>45270</v>
      </c>
      <c r="C25" s="78">
        <v>149.97999999999999</v>
      </c>
      <c r="D25" s="71">
        <f t="shared" si="1"/>
        <v>1.3378378378378309E-2</v>
      </c>
      <c r="G25" s="68">
        <f>'Beta-UFPL'!G25</f>
        <v>66130.02</v>
      </c>
      <c r="H25" s="71">
        <f t="shared" si="0"/>
        <v>-1.4135437758395391E-3</v>
      </c>
      <c r="P25" t="s">
        <v>83</v>
      </c>
    </row>
    <row r="26" spans="2:17" ht="15" thickBot="1" x14ac:dyDescent="0.35">
      <c r="B26" s="67">
        <v>45277</v>
      </c>
      <c r="C26" s="78">
        <v>136</v>
      </c>
      <c r="D26" s="71">
        <f t="shared" si="1"/>
        <v>-9.3212428323776436E-2</v>
      </c>
      <c r="G26" s="68">
        <f>'Beta-UFPL'!G26</f>
        <v>61705.09</v>
      </c>
      <c r="H26" s="71">
        <f t="shared" si="0"/>
        <v>-6.6912576164350285E-2</v>
      </c>
    </row>
    <row r="27" spans="2:17" x14ac:dyDescent="0.3">
      <c r="B27" s="67">
        <v>45284</v>
      </c>
      <c r="C27" s="78">
        <v>145</v>
      </c>
      <c r="D27" s="71">
        <f t="shared" si="1"/>
        <v>6.6176470588235295E-2</v>
      </c>
      <c r="G27" s="68">
        <f>'Beta-UFPL'!G27</f>
        <v>62451.040000000001</v>
      </c>
      <c r="H27" s="71">
        <f t="shared" si="0"/>
        <v>1.2088954087904327E-2</v>
      </c>
      <c r="P27" s="75" t="s">
        <v>84</v>
      </c>
      <c r="Q27" s="75"/>
    </row>
    <row r="28" spans="2:17" x14ac:dyDescent="0.3">
      <c r="B28" s="67">
        <v>45291</v>
      </c>
      <c r="C28" s="78">
        <v>150.5</v>
      </c>
      <c r="D28" s="71">
        <f t="shared" si="1"/>
        <v>3.793103448275862E-2</v>
      </c>
      <c r="G28" s="68">
        <f>'Beta-UFPL'!G28</f>
        <v>64514.9</v>
      </c>
      <c r="H28" s="71">
        <f t="shared" si="0"/>
        <v>3.3047648205698422E-2</v>
      </c>
      <c r="P28" t="s">
        <v>85</v>
      </c>
      <c r="Q28">
        <v>0.55103321773464475</v>
      </c>
    </row>
    <row r="29" spans="2:17" x14ac:dyDescent="0.3">
      <c r="B29" s="67">
        <v>45298</v>
      </c>
      <c r="C29" s="78">
        <v>160</v>
      </c>
      <c r="D29" s="71">
        <f t="shared" si="1"/>
        <v>6.3122923588039864E-2</v>
      </c>
      <c r="G29" s="68">
        <f>'Beta-UFPL'!G29</f>
        <v>64637.64</v>
      </c>
      <c r="H29" s="71">
        <f t="shared" si="0"/>
        <v>1.9025062427438927E-3</v>
      </c>
      <c r="P29" t="s">
        <v>86</v>
      </c>
      <c r="Q29">
        <v>0.30363760704699638</v>
      </c>
    </row>
    <row r="30" spans="2:17" x14ac:dyDescent="0.3">
      <c r="B30" s="67">
        <v>45305</v>
      </c>
      <c r="C30" s="78">
        <v>160</v>
      </c>
      <c r="D30" s="71">
        <f t="shared" si="1"/>
        <v>0</v>
      </c>
      <c r="G30" s="68">
        <f>'Beta-UFPL'!G30</f>
        <v>63282.23</v>
      </c>
      <c r="H30" s="71">
        <f t="shared" si="0"/>
        <v>-2.096936088631943E-2</v>
      </c>
      <c r="O30" s="79"/>
      <c r="P30" t="s">
        <v>87</v>
      </c>
      <c r="Q30">
        <v>0.29203156716444634</v>
      </c>
    </row>
    <row r="31" spans="2:17" x14ac:dyDescent="0.3">
      <c r="B31" s="67">
        <v>45312</v>
      </c>
      <c r="C31" s="78">
        <v>161.99</v>
      </c>
      <c r="D31" s="71">
        <f t="shared" si="1"/>
        <v>1.2437500000000056E-2</v>
      </c>
      <c r="G31" s="68">
        <f>'Beta-UFPL'!G31</f>
        <v>63813.06</v>
      </c>
      <c r="H31" s="71">
        <f t="shared" si="0"/>
        <v>8.3882947867038576E-3</v>
      </c>
      <c r="P31" t="s">
        <v>88</v>
      </c>
      <c r="Q31">
        <v>3.5282206156647226E-2</v>
      </c>
    </row>
    <row r="32" spans="2:17" ht="15" thickBot="1" x14ac:dyDescent="0.35">
      <c r="B32" s="67">
        <v>45319</v>
      </c>
      <c r="C32" s="78">
        <v>161</v>
      </c>
      <c r="D32" s="71">
        <f t="shared" si="1"/>
        <v>-6.1114883634792831E-3</v>
      </c>
      <c r="G32" s="68">
        <f>'Beta-UFPL'!G32</f>
        <v>63002.92</v>
      </c>
      <c r="H32" s="71">
        <f t="shared" si="0"/>
        <v>-1.2695520321388747E-2</v>
      </c>
      <c r="P32" s="76" t="s">
        <v>89</v>
      </c>
      <c r="Q32" s="76">
        <v>62</v>
      </c>
    </row>
    <row r="33" spans="2:24" x14ac:dyDescent="0.3">
      <c r="B33" s="67">
        <v>45326</v>
      </c>
      <c r="C33" s="78">
        <v>152.75</v>
      </c>
      <c r="D33" s="71">
        <f t="shared" si="1"/>
        <v>-5.124223602484472E-2</v>
      </c>
      <c r="G33" s="68">
        <f>'Beta-UFPL'!G33</f>
        <v>62943.75</v>
      </c>
      <c r="H33" s="71">
        <f t="shared" si="0"/>
        <v>-9.3916281975499317E-4</v>
      </c>
    </row>
    <row r="34" spans="2:24" ht="15" thickBot="1" x14ac:dyDescent="0.35">
      <c r="B34" s="67">
        <f>B33+7</f>
        <v>45333</v>
      </c>
      <c r="C34" s="78">
        <v>157.03</v>
      </c>
      <c r="D34" s="71">
        <f>(C34-C33)/C33</f>
        <v>2.8019639934533561E-2</v>
      </c>
      <c r="G34" s="68">
        <f>'Beta-UFPL'!G34</f>
        <v>59872.959999999999</v>
      </c>
      <c r="H34" s="71">
        <f t="shared" si="0"/>
        <v>-4.8786257571244183E-2</v>
      </c>
      <c r="P34" t="s">
        <v>90</v>
      </c>
    </row>
    <row r="35" spans="2:24" x14ac:dyDescent="0.3">
      <c r="B35" s="67">
        <v>45340</v>
      </c>
      <c r="C35" s="78">
        <v>160.1</v>
      </c>
      <c r="D35" s="71">
        <f>(C35-C33)/C33</f>
        <v>4.8117839607201271E-2</v>
      </c>
      <c r="G35" s="68">
        <f>'Beta-UFPL'!G35</f>
        <v>62815.82</v>
      </c>
      <c r="H35" s="71">
        <f t="shared" si="0"/>
        <v>4.9151737278397473E-2</v>
      </c>
      <c r="O35" s="79"/>
      <c r="P35" s="77"/>
      <c r="Q35" s="77" t="s">
        <v>91</v>
      </c>
      <c r="R35" s="77" t="s">
        <v>92</v>
      </c>
      <c r="S35" s="77" t="s">
        <v>93</v>
      </c>
      <c r="T35" s="77" t="s">
        <v>94</v>
      </c>
      <c r="U35" s="77" t="s">
        <v>95</v>
      </c>
    </row>
    <row r="36" spans="2:24" x14ac:dyDescent="0.3">
      <c r="B36" s="67">
        <v>45347</v>
      </c>
      <c r="C36" s="78">
        <v>155.9</v>
      </c>
      <c r="D36" s="71">
        <f t="shared" si="1"/>
        <v>-2.6233603997501492E-2</v>
      </c>
      <c r="G36" s="68">
        <f>'Beta-UFPL'!G36</f>
        <v>65325.69</v>
      </c>
      <c r="H36" s="71">
        <f t="shared" si="0"/>
        <v>3.9956017449107609E-2</v>
      </c>
      <c r="P36" t="s">
        <v>96</v>
      </c>
      <c r="Q36">
        <v>1</v>
      </c>
      <c r="R36">
        <v>3.2567390979103522E-2</v>
      </c>
      <c r="S36">
        <v>3.2567390979103522E-2</v>
      </c>
      <c r="T36">
        <v>26.162033744474918</v>
      </c>
      <c r="U36">
        <v>3.4681948113504057E-6</v>
      </c>
    </row>
    <row r="37" spans="2:24" x14ac:dyDescent="0.3">
      <c r="B37" s="67">
        <v>45354</v>
      </c>
      <c r="C37" s="78">
        <v>154.75</v>
      </c>
      <c r="D37" s="71">
        <f t="shared" si="1"/>
        <v>-7.3765234124439109E-3</v>
      </c>
      <c r="G37" s="68">
        <f>'Beta-UFPL'!G37</f>
        <v>65793.759999999995</v>
      </c>
      <c r="H37" s="71">
        <f t="shared" si="0"/>
        <v>7.1651749870532159E-3</v>
      </c>
      <c r="P37" t="s">
        <v>97</v>
      </c>
      <c r="Q37">
        <v>60</v>
      </c>
      <c r="R37">
        <v>7.4690044276809323E-2</v>
      </c>
      <c r="S37">
        <v>1.2448340712801554E-3</v>
      </c>
    </row>
    <row r="38" spans="2:24" ht="15" thickBot="1" x14ac:dyDescent="0.35">
      <c r="B38" s="67">
        <v>45361</v>
      </c>
      <c r="C38" s="78">
        <v>154</v>
      </c>
      <c r="D38" s="71">
        <f t="shared" si="1"/>
        <v>-4.8465266558966073E-3</v>
      </c>
      <c r="G38" s="68">
        <f>'Beta-UFPL'!G38</f>
        <v>64816.47</v>
      </c>
      <c r="H38" s="71">
        <f t="shared" si="0"/>
        <v>-1.4853840242600417E-2</v>
      </c>
      <c r="P38" s="76" t="s">
        <v>98</v>
      </c>
      <c r="Q38" s="76">
        <v>61</v>
      </c>
      <c r="R38" s="76">
        <v>0.10725743525591284</v>
      </c>
      <c r="S38" s="76"/>
      <c r="T38" s="76"/>
      <c r="U38" s="76"/>
    </row>
    <row r="39" spans="2:24" ht="15" thickBot="1" x14ac:dyDescent="0.35">
      <c r="B39" s="67">
        <v>45368</v>
      </c>
      <c r="C39" s="78">
        <v>157</v>
      </c>
      <c r="D39" s="71">
        <f t="shared" si="1"/>
        <v>1.948051948051948E-2</v>
      </c>
      <c r="G39" s="68">
        <f>'Beta-UFPL'!G39</f>
        <v>65151.83</v>
      </c>
      <c r="H39" s="71">
        <f t="shared" si="0"/>
        <v>5.1739935852723939E-3</v>
      </c>
    </row>
    <row r="40" spans="2:24" x14ac:dyDescent="0.3">
      <c r="B40" s="67">
        <v>45375</v>
      </c>
      <c r="C40" s="78">
        <v>160.1</v>
      </c>
      <c r="D40" s="71">
        <f t="shared" si="1"/>
        <v>1.974522292993627E-2</v>
      </c>
      <c r="G40" s="68">
        <f>'Beta-UFPL'!G40</f>
        <v>67005.11</v>
      </c>
      <c r="H40" s="71">
        <f t="shared" si="0"/>
        <v>2.8445555558454749E-2</v>
      </c>
      <c r="P40" s="77"/>
      <c r="Q40" s="77" t="s">
        <v>99</v>
      </c>
      <c r="R40" s="77" t="s">
        <v>88</v>
      </c>
      <c r="S40" s="77" t="s">
        <v>100</v>
      </c>
      <c r="T40" s="77" t="s">
        <v>101</v>
      </c>
      <c r="U40" s="77" t="s">
        <v>102</v>
      </c>
      <c r="V40" s="77" t="s">
        <v>103</v>
      </c>
      <c r="W40" s="77" t="s">
        <v>104</v>
      </c>
      <c r="X40" s="77" t="s">
        <v>105</v>
      </c>
    </row>
    <row r="41" spans="2:24" x14ac:dyDescent="0.3">
      <c r="B41" s="67">
        <v>45382</v>
      </c>
      <c r="C41" s="78">
        <v>163.99</v>
      </c>
      <c r="D41" s="71">
        <f t="shared" si="1"/>
        <v>2.4297314178638445E-2</v>
      </c>
      <c r="G41" s="68">
        <f>'Beta-UFPL'!G41</f>
        <v>68416.78</v>
      </c>
      <c r="H41" s="71">
        <f t="shared" si="0"/>
        <v>2.1068094657258205E-2</v>
      </c>
      <c r="P41" t="s">
        <v>106</v>
      </c>
      <c r="Q41">
        <v>-2.5021184329109998E-3</v>
      </c>
      <c r="R41">
        <v>4.7948168641363193E-3</v>
      </c>
      <c r="S41">
        <v>-0.52183816479541423</v>
      </c>
      <c r="T41">
        <v>0.60370419377550744</v>
      </c>
      <c r="U41">
        <v>-1.2093180163200127E-2</v>
      </c>
      <c r="V41">
        <v>7.0889432973781277E-3</v>
      </c>
      <c r="W41">
        <v>-1.2093180163200127E-2</v>
      </c>
      <c r="X41">
        <v>7.0889432973781277E-3</v>
      </c>
    </row>
    <row r="42" spans="2:24" ht="15" thickBot="1" x14ac:dyDescent="0.35">
      <c r="B42" s="67">
        <v>45389</v>
      </c>
      <c r="C42" s="78">
        <v>163.5</v>
      </c>
      <c r="D42" s="71">
        <f t="shared" si="1"/>
        <v>-2.9879870723825176E-3</v>
      </c>
      <c r="G42" s="68">
        <f>'Beta-UFPL'!G42</f>
        <v>70314.720000000001</v>
      </c>
      <c r="H42" s="71">
        <f t="shared" si="0"/>
        <v>2.7740855386646411E-2</v>
      </c>
      <c r="P42" s="76"/>
      <c r="Q42" s="76">
        <v>0.92239610231669533</v>
      </c>
      <c r="R42" s="76">
        <v>0.18033569934599825</v>
      </c>
      <c r="S42" s="76">
        <v>5.114883551409056</v>
      </c>
      <c r="T42" s="76">
        <v>3.4681948113504057E-6</v>
      </c>
      <c r="U42" s="76">
        <v>0.56167099568347645</v>
      </c>
      <c r="V42" s="76">
        <v>1.2831212089499142</v>
      </c>
      <c r="W42" s="76">
        <v>0.56167099568347645</v>
      </c>
      <c r="X42" s="76">
        <v>1.2831212089499142</v>
      </c>
    </row>
    <row r="43" spans="2:24" x14ac:dyDescent="0.3">
      <c r="B43" s="67">
        <v>45396</v>
      </c>
      <c r="C43" s="78">
        <v>163.75</v>
      </c>
      <c r="D43" s="71">
        <f t="shared" si="1"/>
        <v>1.5290519877675841E-3</v>
      </c>
      <c r="G43" s="68">
        <f>'Beta-UFPL'!G43</f>
        <v>70909.899999999994</v>
      </c>
      <c r="H43" s="71">
        <f t="shared" si="0"/>
        <v>8.4645149692694922E-3</v>
      </c>
    </row>
    <row r="44" spans="2:24" x14ac:dyDescent="0.3">
      <c r="B44" s="67">
        <v>45403</v>
      </c>
      <c r="C44" s="78">
        <v>173.11</v>
      </c>
      <c r="D44" s="71">
        <f t="shared" si="1"/>
        <v>5.7160305343511533E-2</v>
      </c>
      <c r="G44" s="68">
        <f>'Beta-UFPL'!G44</f>
        <v>72742.75</v>
      </c>
      <c r="H44" s="71">
        <f t="shared" si="0"/>
        <v>2.5847589687758774E-2</v>
      </c>
    </row>
    <row r="45" spans="2:24" x14ac:dyDescent="0.3">
      <c r="B45" s="67">
        <v>45410</v>
      </c>
      <c r="C45" s="78">
        <v>170</v>
      </c>
      <c r="D45" s="71">
        <f t="shared" si="1"/>
        <v>-1.7965455490728515E-2</v>
      </c>
      <c r="G45" s="68">
        <f>'Beta-UFPL'!G45</f>
        <v>71902.09</v>
      </c>
      <c r="H45" s="71">
        <f t="shared" si="0"/>
        <v>-1.1556615607741025E-2</v>
      </c>
    </row>
    <row r="46" spans="2:24" x14ac:dyDescent="0.3">
      <c r="B46" s="67">
        <v>45417</v>
      </c>
      <c r="C46" s="78">
        <v>170.5</v>
      </c>
      <c r="D46" s="71">
        <f t="shared" si="1"/>
        <v>2.9411764705882353E-3</v>
      </c>
      <c r="G46" s="68">
        <f>'Beta-UFPL'!G46</f>
        <v>73085.5</v>
      </c>
      <c r="H46" s="71">
        <f t="shared" si="0"/>
        <v>1.6458631452854897E-2</v>
      </c>
    </row>
    <row r="47" spans="2:24" x14ac:dyDescent="0.3">
      <c r="B47" s="67">
        <v>45424</v>
      </c>
      <c r="C47" s="78">
        <v>176</v>
      </c>
      <c r="D47" s="71">
        <f t="shared" si="1"/>
        <v>3.2258064516129031E-2</v>
      </c>
      <c r="G47" s="68">
        <f>'Beta-UFPL'!G47</f>
        <v>75342.350000000006</v>
      </c>
      <c r="H47" s="71">
        <f t="shared" si="0"/>
        <v>3.0879586238036352E-2</v>
      </c>
    </row>
    <row r="48" spans="2:24" x14ac:dyDescent="0.3">
      <c r="B48" s="67">
        <v>45431</v>
      </c>
      <c r="C48" s="78">
        <v>171.12</v>
      </c>
      <c r="D48" s="71">
        <f t="shared" si="1"/>
        <v>-2.7727272727272701E-2</v>
      </c>
      <c r="G48" s="68">
        <f>'Beta-UFPL'!G48</f>
        <v>75983.039999999994</v>
      </c>
      <c r="H48" s="71">
        <f t="shared" si="0"/>
        <v>8.5037167011645879E-3</v>
      </c>
    </row>
    <row r="49" spans="2:8" x14ac:dyDescent="0.3">
      <c r="B49" s="67">
        <v>45438</v>
      </c>
      <c r="C49" s="78">
        <v>169.9</v>
      </c>
      <c r="D49" s="71">
        <f t="shared" si="1"/>
        <v>-7.1294997662459027E-3</v>
      </c>
      <c r="G49" s="68">
        <f>'Beta-UFPL'!G49</f>
        <v>75878.48</v>
      </c>
      <c r="H49" s="71">
        <f t="shared" si="0"/>
        <v>-1.3760965604955749E-3</v>
      </c>
    </row>
    <row r="50" spans="2:8" x14ac:dyDescent="0.3">
      <c r="B50" s="67">
        <v>45445</v>
      </c>
      <c r="C50" s="78">
        <v>163.5</v>
      </c>
      <c r="D50" s="71">
        <f t="shared" si="1"/>
        <v>-3.7669217186580374E-2</v>
      </c>
      <c r="G50" s="68">
        <f>'Beta-UFPL'!G50</f>
        <v>73754.02</v>
      </c>
      <c r="H50" s="71">
        <f t="shared" si="0"/>
        <v>-2.7998188682746308E-2</v>
      </c>
    </row>
    <row r="51" spans="2:8" x14ac:dyDescent="0.3">
      <c r="B51" s="67">
        <v>45452</v>
      </c>
      <c r="C51" s="78">
        <v>175</v>
      </c>
      <c r="D51" s="71">
        <f t="shared" si="1"/>
        <v>7.0336391437308868E-2</v>
      </c>
      <c r="G51" s="68">
        <f>'Beta-UFPL'!G51</f>
        <v>76706.77</v>
      </c>
      <c r="H51" s="71">
        <f t="shared" si="0"/>
        <v>4.0035105883042037E-2</v>
      </c>
    </row>
    <row r="52" spans="2:8" x14ac:dyDescent="0.3">
      <c r="B52" s="67">
        <v>45459</v>
      </c>
      <c r="C52" s="78">
        <v>173</v>
      </c>
      <c r="D52" s="71">
        <f t="shared" si="1"/>
        <v>-1.1428571428571429E-2</v>
      </c>
      <c r="G52" s="68">
        <f>'Beta-UFPL'!G52</f>
        <v>78810.490000000005</v>
      </c>
      <c r="H52" s="71">
        <f t="shared" si="0"/>
        <v>2.7425480176000123E-2</v>
      </c>
    </row>
    <row r="53" spans="2:8" x14ac:dyDescent="0.3">
      <c r="B53" s="67">
        <v>45466</v>
      </c>
      <c r="C53" s="78">
        <v>174.71</v>
      </c>
      <c r="D53" s="71">
        <f t="shared" si="1"/>
        <v>9.8843930635838604E-3</v>
      </c>
      <c r="G53" s="68">
        <f>'Beta-UFPL'!G53</f>
        <v>78444.960000000006</v>
      </c>
      <c r="H53" s="71">
        <f t="shared" si="0"/>
        <v>-4.6380881529857103E-3</v>
      </c>
    </row>
    <row r="54" spans="2:8" x14ac:dyDescent="0.3">
      <c r="B54" s="67">
        <v>45473</v>
      </c>
      <c r="C54" s="78">
        <v>188.91</v>
      </c>
      <c r="D54" s="71">
        <f t="shared" si="1"/>
        <v>8.1277545647072222E-2</v>
      </c>
      <c r="G54" s="68">
        <f>'Beta-UFPL'!G54</f>
        <v>80212.789999999994</v>
      </c>
      <c r="H54" s="71">
        <f t="shared" si="0"/>
        <v>2.2535928375768018E-2</v>
      </c>
    </row>
    <row r="55" spans="2:8" x14ac:dyDescent="0.3">
      <c r="B55" s="67">
        <v>45480</v>
      </c>
      <c r="C55" s="78">
        <v>193.33</v>
      </c>
      <c r="D55" s="71">
        <f t="shared" si="1"/>
        <v>2.339738499814735E-2</v>
      </c>
      <c r="G55" s="68">
        <f>'Beta-UFPL'!G55</f>
        <v>79944.100000000006</v>
      </c>
      <c r="H55" s="71">
        <f t="shared" si="0"/>
        <v>-3.3497151763451664E-3</v>
      </c>
    </row>
    <row r="56" spans="2:8" x14ac:dyDescent="0.3">
      <c r="B56" s="67">
        <v>45487</v>
      </c>
      <c r="C56" s="78">
        <v>191.35</v>
      </c>
      <c r="D56" s="71">
        <f t="shared" si="1"/>
        <v>-1.024155588889473E-2</v>
      </c>
      <c r="G56" s="68">
        <f>'Beta-UFPL'!G56</f>
        <v>80117.89</v>
      </c>
      <c r="H56" s="71">
        <f t="shared" si="0"/>
        <v>2.173894008438316E-3</v>
      </c>
    </row>
    <row r="57" spans="2:8" x14ac:dyDescent="0.3">
      <c r="B57" s="67">
        <v>45494</v>
      </c>
      <c r="C57" s="78">
        <v>182.91</v>
      </c>
      <c r="D57" s="71">
        <f t="shared" si="1"/>
        <v>-4.4107656127515014E-2</v>
      </c>
      <c r="G57" s="68">
        <f>'Beta-UFPL'!G57</f>
        <v>78029.509999999995</v>
      </c>
      <c r="H57" s="71">
        <f t="shared" si="0"/>
        <v>-2.6066337992675603E-2</v>
      </c>
    </row>
    <row r="58" spans="2:8" x14ac:dyDescent="0.3">
      <c r="B58" s="67">
        <v>45501</v>
      </c>
      <c r="C58" s="78">
        <v>186.41</v>
      </c>
      <c r="D58" s="71">
        <f t="shared" si="1"/>
        <v>1.9135093761959435E-2</v>
      </c>
      <c r="G58" s="68">
        <f>'Beta-UFPL'!G58</f>
        <v>78225.98</v>
      </c>
      <c r="H58" s="71">
        <f t="shared" si="0"/>
        <v>2.5178935507861214E-3</v>
      </c>
    </row>
    <row r="59" spans="2:8" x14ac:dyDescent="0.3">
      <c r="B59" s="67">
        <v>45508</v>
      </c>
      <c r="C59" s="78">
        <v>194.47</v>
      </c>
      <c r="D59" s="71">
        <f t="shared" si="1"/>
        <v>4.3238023711174307E-2</v>
      </c>
      <c r="G59" s="68">
        <f>'Beta-UFPL'!G59</f>
        <v>78569.59</v>
      </c>
      <c r="H59" s="71">
        <f t="shared" si="0"/>
        <v>4.3925304611076854E-3</v>
      </c>
    </row>
    <row r="60" spans="2:8" x14ac:dyDescent="0.3">
      <c r="B60" s="67">
        <v>45515</v>
      </c>
      <c r="C60" s="78">
        <v>200.13</v>
      </c>
      <c r="D60" s="71">
        <f t="shared" si="1"/>
        <v>2.9104746233352172E-2</v>
      </c>
      <c r="G60" s="68">
        <f>'Beta-UFPL'!G60</f>
        <v>78045.31</v>
      </c>
      <c r="H60" s="71">
        <f t="shared" si="0"/>
        <v>-6.6728106892246586E-3</v>
      </c>
    </row>
    <row r="61" spans="2:8" x14ac:dyDescent="0.3">
      <c r="B61" s="67">
        <v>45522</v>
      </c>
      <c r="C61" s="78">
        <v>189.1</v>
      </c>
      <c r="D61" s="71">
        <f t="shared" si="1"/>
        <v>-5.5114175785739274E-2</v>
      </c>
      <c r="G61" s="68">
        <f>'Beta-UFPL'!G61</f>
        <v>78801.429999999993</v>
      </c>
      <c r="H61" s="71">
        <f t="shared" si="0"/>
        <v>9.6882182926814608E-3</v>
      </c>
    </row>
    <row r="62" spans="2:8" x14ac:dyDescent="0.3">
      <c r="B62" s="67">
        <v>45529</v>
      </c>
      <c r="C62" s="78">
        <v>186.12</v>
      </c>
      <c r="D62" s="71">
        <f t="shared" si="1"/>
        <v>-1.5758857747223638E-2</v>
      </c>
      <c r="G62" s="68">
        <f>'Beta-UFPL'!G62</f>
        <v>78488.22</v>
      </c>
      <c r="H62" s="71">
        <f t="shared" si="0"/>
        <v>-3.974674063655848E-3</v>
      </c>
    </row>
    <row r="63" spans="2:8" x14ac:dyDescent="0.3">
      <c r="B63" s="67">
        <f>B62+7</f>
        <v>45536</v>
      </c>
      <c r="C63" s="78">
        <v>174.11</v>
      </c>
      <c r="D63" s="71">
        <f t="shared" si="1"/>
        <v>-6.4528261336771919E-2</v>
      </c>
      <c r="G63" s="68">
        <f>'Beta-UFPL'!G63</f>
        <v>78897.73</v>
      </c>
      <c r="H63" s="71">
        <f t="shared" si="0"/>
        <v>5.2174708510397448E-3</v>
      </c>
    </row>
    <row r="64" spans="2:8" x14ac:dyDescent="0.3">
      <c r="B64" s="67">
        <f t="shared" ref="B64:B69" si="2">B63+7</f>
        <v>45543</v>
      </c>
      <c r="C64" s="78">
        <v>174.53</v>
      </c>
      <c r="D64" s="71">
        <f t="shared" si="1"/>
        <v>2.4122681063694644E-3</v>
      </c>
      <c r="G64" s="68">
        <f>'Beta-UFPL'!G64</f>
        <v>79333.06</v>
      </c>
      <c r="H64" s="71">
        <f t="shared" si="0"/>
        <v>5.517649240352058E-3</v>
      </c>
    </row>
    <row r="65" spans="2:8" x14ac:dyDescent="0.3">
      <c r="B65" s="67">
        <f t="shared" si="2"/>
        <v>45550</v>
      </c>
      <c r="C65" s="78">
        <v>177.88</v>
      </c>
      <c r="D65" s="71">
        <f t="shared" si="1"/>
        <v>1.9194407838193973E-2</v>
      </c>
      <c r="G65" s="68">
        <f>'Beta-UFPL'!G65</f>
        <v>82074.45</v>
      </c>
      <c r="H65" s="71">
        <f t="shared" si="0"/>
        <v>3.4555455191064094E-2</v>
      </c>
    </row>
    <row r="66" spans="2:8" x14ac:dyDescent="0.3">
      <c r="B66" s="67">
        <f t="shared" si="2"/>
        <v>45557</v>
      </c>
      <c r="C66" s="78">
        <v>172.9</v>
      </c>
      <c r="D66" s="71">
        <f t="shared" si="1"/>
        <v>-2.7996402068810378E-2</v>
      </c>
      <c r="G66" s="68">
        <f>'Beta-UFPL'!G66</f>
        <v>81292.13</v>
      </c>
      <c r="H66" s="71">
        <f t="shared" si="0"/>
        <v>-9.5318335974227363E-3</v>
      </c>
    </row>
    <row r="67" spans="2:8" x14ac:dyDescent="0.3">
      <c r="B67" s="67">
        <f t="shared" si="2"/>
        <v>45564</v>
      </c>
      <c r="C67" s="78">
        <v>174.52</v>
      </c>
      <c r="D67" s="71">
        <f t="shared" si="1"/>
        <v>9.3695777906304487E-3</v>
      </c>
      <c r="G67" s="68">
        <f>'Beta-UFPL'!G67</f>
        <v>83531.960000000006</v>
      </c>
      <c r="H67" s="71">
        <f t="shared" si="0"/>
        <v>2.7552851672111453E-2</v>
      </c>
    </row>
    <row r="68" spans="2:8" x14ac:dyDescent="0.3">
      <c r="B68" s="67">
        <f t="shared" si="2"/>
        <v>45571</v>
      </c>
      <c r="C68" s="78">
        <v>171.22</v>
      </c>
      <c r="D68" s="71">
        <f t="shared" si="1"/>
        <v>-1.890900756360309E-2</v>
      </c>
      <c r="G68" s="68">
        <f>'Beta-UFPL'!G68</f>
        <v>85483.4</v>
      </c>
      <c r="H68" s="71">
        <f t="shared" si="0"/>
        <v>2.3361597165922929E-2</v>
      </c>
    </row>
    <row r="69" spans="2:8" x14ac:dyDescent="0.3">
      <c r="B69" s="67">
        <f t="shared" si="2"/>
        <v>45578</v>
      </c>
      <c r="C69" s="78">
        <v>170</v>
      </c>
      <c r="D69" s="71">
        <f t="shared" si="1"/>
        <v>-7.1253358252540526E-3</v>
      </c>
      <c r="G69" s="68">
        <f>'Beta-UFPL'!G69</f>
        <v>85201.86</v>
      </c>
      <c r="H69" s="71">
        <f t="shared" si="0"/>
        <v>-3.2935049378007147E-3</v>
      </c>
    </row>
  </sheetData>
  <mergeCells count="7">
    <mergeCell ref="Q10:T10"/>
    <mergeCell ref="B2:D2"/>
    <mergeCell ref="B4:E4"/>
    <mergeCell ref="G4:H4"/>
    <mergeCell ref="J4:K4"/>
    <mergeCell ref="Q6:S6"/>
    <mergeCell ref="Q8:T8"/>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BF04-3BBB-49C4-9A81-5793A1B1863D}">
  <dimension ref="B2:M60"/>
  <sheetViews>
    <sheetView showGridLines="0" topLeftCell="A6" workbookViewId="0">
      <selection activeCell="C30" sqref="C30"/>
    </sheetView>
  </sheetViews>
  <sheetFormatPr defaultRowHeight="14.4" x14ac:dyDescent="0.3"/>
  <cols>
    <col min="1" max="1" width="1.88671875" style="86" customWidth="1"/>
    <col min="2" max="2" width="65.6640625" style="86" customWidth="1"/>
    <col min="3" max="3" width="20" style="86" customWidth="1"/>
    <col min="4" max="4" width="22.109375" style="86" customWidth="1"/>
    <col min="5" max="9" width="18.77734375" style="86" customWidth="1"/>
    <col min="10" max="10" width="13.5546875" style="86" bestFit="1" customWidth="1"/>
    <col min="11" max="11" width="21.6640625" style="86" customWidth="1"/>
    <col min="12" max="12" width="16.109375" style="86" bestFit="1" customWidth="1"/>
    <col min="13" max="13" width="13.6640625" style="86" bestFit="1" customWidth="1"/>
    <col min="14" max="16384" width="8.88671875" style="86"/>
  </cols>
  <sheetData>
    <row r="2" spans="2:13" ht="52.2" customHeight="1" x14ac:dyDescent="0.3">
      <c r="B2" s="420" t="s">
        <v>108</v>
      </c>
      <c r="C2" s="420"/>
    </row>
    <row r="3" spans="2:13" ht="17.399999999999999" customHeight="1" x14ac:dyDescent="0.3">
      <c r="B3" s="420" t="s">
        <v>307</v>
      </c>
      <c r="C3" s="420"/>
      <c r="D3" s="87"/>
    </row>
    <row r="4" spans="2:13" ht="13.5" customHeight="1" x14ac:dyDescent="0.3">
      <c r="B4" s="88"/>
      <c r="C4" s="87"/>
      <c r="D4" s="87"/>
    </row>
    <row r="5" spans="2:13" ht="19.2" customHeight="1" x14ac:dyDescent="0.3">
      <c r="B5" s="85" t="s">
        <v>308</v>
      </c>
      <c r="C5" s="87"/>
      <c r="D5" s="300"/>
      <c r="E5" s="301"/>
      <c r="F5" s="115"/>
      <c r="H5" s="302"/>
      <c r="I5" s="302"/>
      <c r="J5" s="303"/>
      <c r="K5" s="115"/>
      <c r="L5" s="302"/>
      <c r="M5" s="115"/>
    </row>
    <row r="6" spans="2:13" ht="13.5" customHeight="1" x14ac:dyDescent="0.3">
      <c r="B6" s="106"/>
      <c r="C6" s="87"/>
      <c r="D6" s="87"/>
    </row>
    <row r="7" spans="2:13" ht="14.4" customHeight="1" x14ac:dyDescent="0.3">
      <c r="B7" s="89"/>
      <c r="C7" s="91">
        <v>2024</v>
      </c>
      <c r="D7" s="91">
        <f>C7-1</f>
        <v>2023</v>
      </c>
      <c r="E7" s="91">
        <f t="shared" ref="E7:G7" si="0">D7-1</f>
        <v>2022</v>
      </c>
      <c r="F7" s="91">
        <f t="shared" si="0"/>
        <v>2021</v>
      </c>
      <c r="G7" s="91">
        <f t="shared" si="0"/>
        <v>2020</v>
      </c>
      <c r="H7" s="91">
        <v>2019</v>
      </c>
      <c r="I7" s="91"/>
      <c r="J7" s="90"/>
      <c r="K7" s="90"/>
    </row>
    <row r="8" spans="2:13" ht="10.199999999999999" customHeight="1" x14ac:dyDescent="0.3">
      <c r="B8" s="89"/>
      <c r="C8" s="90"/>
      <c r="D8" s="90"/>
    </row>
    <row r="9" spans="2:13" ht="19.95" customHeight="1" x14ac:dyDescent="0.3">
      <c r="B9" s="131" t="s">
        <v>309</v>
      </c>
      <c r="C9" s="304">
        <v>811364</v>
      </c>
      <c r="D9" s="304">
        <v>1530218</v>
      </c>
      <c r="E9" s="304">
        <v>242333</v>
      </c>
      <c r="F9" s="304">
        <v>143566</v>
      </c>
      <c r="G9" s="304">
        <v>51195</v>
      </c>
      <c r="H9" s="111">
        <f>32394264/1000</f>
        <v>32394.263999999999</v>
      </c>
      <c r="I9" s="111"/>
    </row>
    <row r="10" spans="2:13" ht="19.95" customHeight="1" x14ac:dyDescent="0.3">
      <c r="B10" s="131" t="s">
        <v>310</v>
      </c>
      <c r="C10" s="304">
        <v>12639533</v>
      </c>
      <c r="D10" s="304">
        <v>15884922</v>
      </c>
      <c r="E10" s="304">
        <v>8337858</v>
      </c>
      <c r="F10" s="304">
        <v>7570435</v>
      </c>
      <c r="G10" s="304">
        <v>6251658</v>
      </c>
      <c r="H10" s="111">
        <f>5111616128/1000</f>
        <v>5111616.1279999996</v>
      </c>
      <c r="I10" s="111"/>
    </row>
    <row r="11" spans="2:13" ht="19.95" customHeight="1" x14ac:dyDescent="0.3">
      <c r="B11" s="99" t="s">
        <v>311</v>
      </c>
      <c r="C11" s="304">
        <v>48694561</v>
      </c>
      <c r="D11" s="304">
        <v>35437631</v>
      </c>
      <c r="E11" s="304">
        <v>19041579</v>
      </c>
      <c r="F11" s="304">
        <v>14771622</v>
      </c>
      <c r="G11" s="304">
        <v>12565528</v>
      </c>
      <c r="H11" s="305">
        <f>10863987406/1000</f>
        <v>10863987.405999999</v>
      </c>
      <c r="I11" s="305"/>
    </row>
    <row r="12" spans="2:13" ht="19.95" customHeight="1" x14ac:dyDescent="0.3">
      <c r="B12" s="131" t="s">
        <v>312</v>
      </c>
      <c r="C12" s="304">
        <v>9556241</v>
      </c>
      <c r="D12" s="304">
        <v>8751141</v>
      </c>
      <c r="E12" s="304">
        <v>7145569</v>
      </c>
      <c r="F12" s="304">
        <v>5277725</v>
      </c>
      <c r="G12" s="304">
        <v>5276304</v>
      </c>
      <c r="H12" s="101">
        <f>3212049382/1000</f>
        <v>3212049.3820000002</v>
      </c>
      <c r="I12" s="101"/>
    </row>
    <row r="13" spans="2:13" ht="19.95" customHeight="1" thickBot="1" x14ac:dyDescent="0.35">
      <c r="B13" s="131" t="s">
        <v>313</v>
      </c>
      <c r="C13" s="304">
        <v>42222103</v>
      </c>
      <c r="D13" s="306">
        <v>37617965</v>
      </c>
      <c r="E13" s="306">
        <v>32302425</v>
      </c>
      <c r="F13" s="306">
        <v>26218359</v>
      </c>
      <c r="G13" s="306">
        <v>24942407</v>
      </c>
      <c r="H13" s="307">
        <f>16100508128/1000</f>
        <v>16100508.128</v>
      </c>
      <c r="I13" s="307"/>
    </row>
    <row r="14" spans="2:13" ht="19.95" customHeight="1" thickBot="1" x14ac:dyDescent="0.35">
      <c r="B14" s="99" t="s">
        <v>314</v>
      </c>
      <c r="C14" s="96">
        <v>90916664</v>
      </c>
      <c r="D14" s="96">
        <v>73055596</v>
      </c>
      <c r="E14" s="96">
        <v>51344005</v>
      </c>
      <c r="F14" s="96">
        <v>40989981</v>
      </c>
      <c r="G14" s="96">
        <v>37507935</v>
      </c>
      <c r="H14" s="96">
        <f>26964495534/1000</f>
        <v>26964495.534000002</v>
      </c>
      <c r="I14" s="308"/>
    </row>
    <row r="15" spans="2:13" ht="19.95" customHeight="1" thickTop="1" x14ac:dyDescent="0.3">
      <c r="B15" s="99"/>
      <c r="C15" s="308"/>
      <c r="D15" s="308"/>
      <c r="E15" s="308"/>
      <c r="F15" s="308"/>
      <c r="G15" s="308"/>
      <c r="H15" s="308"/>
      <c r="I15" s="308"/>
    </row>
    <row r="16" spans="2:13" ht="19.95" customHeight="1" x14ac:dyDescent="0.3">
      <c r="B16" s="131" t="s">
        <v>315</v>
      </c>
      <c r="C16" s="304">
        <v>43512773</v>
      </c>
      <c r="D16" s="304">
        <v>29673447</v>
      </c>
      <c r="E16" s="304">
        <v>16713721</v>
      </c>
      <c r="F16" s="304">
        <v>14513805</v>
      </c>
      <c r="G16" s="304">
        <v>11933946</v>
      </c>
      <c r="H16" s="95">
        <f>10766730877/1000</f>
        <v>10766730.877</v>
      </c>
      <c r="I16" s="95"/>
    </row>
    <row r="17" spans="2:9" ht="19.95" customHeight="1" x14ac:dyDescent="0.3">
      <c r="B17" s="309" t="s">
        <v>316</v>
      </c>
      <c r="C17" s="304">
        <v>23195005</v>
      </c>
      <c r="D17" s="304">
        <v>25666415</v>
      </c>
      <c r="E17" s="304">
        <v>22050702</v>
      </c>
      <c r="F17" s="304">
        <v>15201439</v>
      </c>
      <c r="G17" s="304">
        <v>15674204</v>
      </c>
      <c r="H17" s="93">
        <f>8823517997/1000</f>
        <v>8823517.9969999995</v>
      </c>
      <c r="I17" s="93"/>
    </row>
    <row r="18" spans="2:9" ht="19.95" customHeight="1" x14ac:dyDescent="0.3">
      <c r="B18" s="99" t="s">
        <v>112</v>
      </c>
      <c r="C18" s="310">
        <v>66707778</v>
      </c>
      <c r="D18" s="310">
        <v>55339862</v>
      </c>
      <c r="E18" s="311">
        <v>38764423</v>
      </c>
      <c r="F18" s="311">
        <v>29715244</v>
      </c>
      <c r="G18" s="311">
        <v>27608150</v>
      </c>
      <c r="H18" s="312">
        <f>19590248874/1000</f>
        <v>19590248.874000002</v>
      </c>
      <c r="I18" s="312"/>
    </row>
    <row r="19" spans="2:9" ht="19.95" customHeight="1" x14ac:dyDescent="0.3">
      <c r="B19" s="131" t="s">
        <v>317</v>
      </c>
      <c r="C19" s="310">
        <v>663569</v>
      </c>
      <c r="D19" s="310">
        <v>663569</v>
      </c>
      <c r="E19" s="311">
        <v>663569</v>
      </c>
      <c r="F19" s="311">
        <v>663569</v>
      </c>
      <c r="G19" s="311">
        <v>663569</v>
      </c>
      <c r="H19" s="311">
        <f>638047500/1000</f>
        <v>638047.5</v>
      </c>
      <c r="I19" s="311"/>
    </row>
    <row r="20" spans="2:9" ht="19.95" customHeight="1" x14ac:dyDescent="0.3">
      <c r="B20" s="99" t="s">
        <v>10</v>
      </c>
      <c r="C20" s="304">
        <v>24208886</v>
      </c>
      <c r="D20" s="304">
        <v>17715733</v>
      </c>
      <c r="E20" s="304">
        <v>12579581</v>
      </c>
      <c r="F20" s="304">
        <v>11274737</v>
      </c>
      <c r="G20" s="304">
        <v>9899785</v>
      </c>
      <c r="H20" s="101">
        <f>7374246660/1000</f>
        <v>7374246.6600000001</v>
      </c>
      <c r="I20" s="101"/>
    </row>
    <row r="21" spans="2:9" ht="13.5" customHeight="1" thickBot="1" x14ac:dyDescent="0.35">
      <c r="B21" s="92"/>
      <c r="C21" s="93"/>
      <c r="D21" s="111"/>
      <c r="E21" s="101"/>
      <c r="F21" s="101"/>
      <c r="G21" s="101"/>
      <c r="H21" s="101"/>
      <c r="I21" s="101"/>
    </row>
    <row r="22" spans="2:9" ht="13.5" customHeight="1" thickBot="1" x14ac:dyDescent="0.35">
      <c r="B22" s="99" t="s">
        <v>318</v>
      </c>
      <c r="C22" s="96">
        <f>C20+C18</f>
        <v>90916664</v>
      </c>
      <c r="D22" s="96">
        <f t="shared" ref="D22:H22" si="1">D20+D18</f>
        <v>73055595</v>
      </c>
      <c r="E22" s="96">
        <f t="shared" si="1"/>
        <v>51344004</v>
      </c>
      <c r="F22" s="96">
        <f t="shared" si="1"/>
        <v>40989981</v>
      </c>
      <c r="G22" s="96">
        <f t="shared" si="1"/>
        <v>37507935</v>
      </c>
      <c r="H22" s="96">
        <f t="shared" si="1"/>
        <v>26964495.534000002</v>
      </c>
      <c r="I22" s="308"/>
    </row>
    <row r="23" spans="2:9" ht="13.5" customHeight="1" thickTop="1" x14ac:dyDescent="0.3">
      <c r="B23" s="99"/>
      <c r="C23" s="93"/>
      <c r="D23" s="111"/>
      <c r="E23" s="101"/>
      <c r="F23" s="101"/>
      <c r="G23" s="101"/>
      <c r="H23" s="101"/>
      <c r="I23" s="101"/>
    </row>
    <row r="24" spans="2:9" ht="13.5" customHeight="1" x14ac:dyDescent="0.3">
      <c r="B24" s="99"/>
      <c r="C24" s="93"/>
      <c r="D24" s="111"/>
      <c r="E24" s="101"/>
      <c r="F24" s="101"/>
      <c r="G24" s="101"/>
      <c r="H24" s="101"/>
      <c r="I24" s="101"/>
    </row>
    <row r="25" spans="2:9" ht="13.5" customHeight="1" x14ac:dyDescent="0.3">
      <c r="B25" s="313" t="s">
        <v>319</v>
      </c>
      <c r="C25" s="93"/>
      <c r="D25" s="111"/>
      <c r="E25" s="101"/>
      <c r="F25" s="101"/>
      <c r="G25" s="101"/>
      <c r="H25" s="101"/>
      <c r="I25" s="101"/>
    </row>
    <row r="26" spans="2:9" ht="13.5" customHeight="1" x14ac:dyDescent="0.3">
      <c r="B26" s="99" t="s">
        <v>320</v>
      </c>
      <c r="C26" s="101">
        <f>21374623488*(1/1000)</f>
        <v>21374623.488000002</v>
      </c>
      <c r="D26" s="101">
        <f>15376236485*(1/1000)</f>
        <v>15376236.484999999</v>
      </c>
      <c r="E26" s="101">
        <f>9940389165*(1/1000)</f>
        <v>9940389.165000001</v>
      </c>
      <c r="F26" s="101">
        <f>8417555738*(1/1000)</f>
        <v>8417555.7379999999</v>
      </c>
      <c r="G26" s="101">
        <f>6805286458*(1/1000)</f>
        <v>6805286.4580000006</v>
      </c>
      <c r="H26" s="101">
        <f>6094677327*(1/1000)</f>
        <v>6094677.3270000005</v>
      </c>
      <c r="I26" s="101"/>
    </row>
    <row r="27" spans="2:9" ht="13.5" customHeight="1" x14ac:dyDescent="0.3">
      <c r="B27" s="99"/>
      <c r="C27" s="93"/>
      <c r="D27" s="111"/>
      <c r="E27" s="101"/>
      <c r="F27" s="101"/>
      <c r="G27" s="101"/>
      <c r="H27" s="101"/>
      <c r="I27" s="101"/>
    </row>
    <row r="28" spans="2:9" ht="13.5" customHeight="1" x14ac:dyDescent="0.3">
      <c r="B28" s="314" t="s">
        <v>321</v>
      </c>
      <c r="C28" s="315">
        <f>C14-C16</f>
        <v>47403891</v>
      </c>
      <c r="D28" s="315">
        <f t="shared" ref="D28:H28" si="2">D14-D16</f>
        <v>43382149</v>
      </c>
      <c r="E28" s="315">
        <f t="shared" si="2"/>
        <v>34630284</v>
      </c>
      <c r="F28" s="315">
        <f t="shared" si="2"/>
        <v>26476176</v>
      </c>
      <c r="G28" s="315">
        <f t="shared" si="2"/>
        <v>25573989</v>
      </c>
      <c r="H28" s="315">
        <f t="shared" si="2"/>
        <v>16197764.657000002</v>
      </c>
      <c r="I28" s="315"/>
    </row>
    <row r="29" spans="2:9" ht="13.5" customHeight="1" x14ac:dyDescent="0.3">
      <c r="B29" s="314"/>
      <c r="C29" s="315"/>
      <c r="D29" s="315"/>
      <c r="E29" s="315"/>
      <c r="F29" s="315"/>
      <c r="G29" s="315"/>
      <c r="H29" s="315"/>
      <c r="I29" s="315"/>
    </row>
    <row r="30" spans="2:9" ht="13.5" customHeight="1" x14ac:dyDescent="0.3">
      <c r="B30" s="314" t="s">
        <v>322</v>
      </c>
      <c r="C30" s="111">
        <v>60224000</v>
      </c>
      <c r="D30" s="111">
        <v>47163000</v>
      </c>
      <c r="E30" s="111">
        <v>33731000</v>
      </c>
      <c r="F30" s="111">
        <v>23224000</v>
      </c>
      <c r="G30" s="111">
        <v>21876000</v>
      </c>
      <c r="H30" s="316" t="s">
        <v>128</v>
      </c>
      <c r="I30" s="316"/>
    </row>
    <row r="31" spans="2:9" ht="13.5" customHeight="1" x14ac:dyDescent="0.3">
      <c r="B31" s="99"/>
      <c r="C31" s="93"/>
      <c r="D31" s="111"/>
      <c r="E31" s="101"/>
      <c r="F31" s="101"/>
      <c r="G31" s="101"/>
      <c r="H31" s="101"/>
      <c r="I31" s="101"/>
    </row>
    <row r="32" spans="2:9" ht="13.5" customHeight="1" x14ac:dyDescent="0.3">
      <c r="B32" s="99" t="s">
        <v>323</v>
      </c>
      <c r="C32" s="93">
        <f>(C10+D10)/2</f>
        <v>14262227.5</v>
      </c>
      <c r="D32" s="93">
        <f t="shared" ref="D32:G32" si="3">(D10+E10)/2</f>
        <v>12111390</v>
      </c>
      <c r="E32" s="93">
        <f t="shared" si="3"/>
        <v>7954146.5</v>
      </c>
      <c r="F32" s="93">
        <f t="shared" si="3"/>
        <v>6911046.5</v>
      </c>
      <c r="G32" s="93">
        <f t="shared" si="3"/>
        <v>5681637.0639999993</v>
      </c>
      <c r="H32" s="93">
        <f>(H10+J10)/2</f>
        <v>2555808.0639999998</v>
      </c>
      <c r="I32" s="93"/>
    </row>
    <row r="33" spans="2:12" ht="13.5" customHeight="1" x14ac:dyDescent="0.3">
      <c r="B33" s="99"/>
      <c r="C33" s="93"/>
      <c r="D33" s="93"/>
      <c r="E33" s="93"/>
      <c r="F33" s="93"/>
      <c r="G33" s="93"/>
      <c r="H33" s="93"/>
      <c r="I33" s="93"/>
    </row>
    <row r="34" spans="2:12" ht="13.5" customHeight="1" x14ac:dyDescent="0.3">
      <c r="B34" s="99" t="s">
        <v>324</v>
      </c>
      <c r="C34" s="93">
        <f>((K48+K49)/2)/1000</f>
        <v>11819791.867000001</v>
      </c>
      <c r="D34" s="93">
        <f>((K49+K50)/2)/1000</f>
        <v>8125303.2779999999</v>
      </c>
      <c r="E34" s="93">
        <f>((K50+K51)/2)/1000</f>
        <v>4545878.5925000003</v>
      </c>
      <c r="F34" s="93">
        <f>((K51+K52)/2)/1000</f>
        <v>3345327.4479999999</v>
      </c>
      <c r="G34" s="93">
        <f>((K52+K53)/2)/1000</f>
        <v>3045658.5285</v>
      </c>
      <c r="H34" s="93">
        <f>((K53+K54)/2)/1000</f>
        <v>2156259.1145000001</v>
      </c>
      <c r="I34" s="93"/>
    </row>
    <row r="35" spans="2:12" ht="13.5" customHeight="1" x14ac:dyDescent="0.3">
      <c r="B35" s="99"/>
      <c r="C35" s="123"/>
      <c r="D35" s="111"/>
      <c r="E35" s="101"/>
      <c r="F35" s="101"/>
      <c r="G35" s="101"/>
      <c r="H35" s="101"/>
      <c r="I35" s="101"/>
    </row>
    <row r="36" spans="2:12" ht="13.5" customHeight="1" x14ac:dyDescent="0.3">
      <c r="B36" s="99" t="s">
        <v>325</v>
      </c>
      <c r="C36" s="93">
        <f>((L48+L49)/2)/1000</f>
        <v>9469597.3699999992</v>
      </c>
      <c r="D36" s="93">
        <f>((L49+L50)/2)/1000</f>
        <v>5921935.8684999999</v>
      </c>
      <c r="E36" s="93">
        <f>((L50+L51)/2)/1000</f>
        <v>3734219.7215</v>
      </c>
      <c r="F36" s="93">
        <f>((L51+L52)/2)/1000</f>
        <v>3715032.3675000002</v>
      </c>
      <c r="G36" s="93">
        <f>((L52+L52)/2)/1000</f>
        <v>3436484.784</v>
      </c>
      <c r="H36" s="93">
        <f>((L53+L54)/2)/1000</f>
        <v>1737915.6465</v>
      </c>
      <c r="I36" s="101"/>
    </row>
    <row r="37" spans="2:12" ht="13.5" customHeight="1" x14ac:dyDescent="0.3">
      <c r="B37" s="99"/>
      <c r="C37" s="123"/>
      <c r="D37" s="111"/>
      <c r="E37" s="101"/>
      <c r="F37" s="101"/>
      <c r="G37" s="101"/>
      <c r="H37" s="101"/>
      <c r="I37" s="101"/>
    </row>
    <row r="38" spans="2:12" ht="13.5" customHeight="1" x14ac:dyDescent="0.3">
      <c r="B38" s="99" t="s">
        <v>326</v>
      </c>
      <c r="C38" s="93">
        <f>(C14+D14)/2</f>
        <v>81986130</v>
      </c>
      <c r="D38" s="93">
        <f t="shared" ref="D38:H38" si="4">(D14+E14)/2</f>
        <v>62199800.5</v>
      </c>
      <c r="E38" s="93">
        <f t="shared" si="4"/>
        <v>46166993</v>
      </c>
      <c r="F38" s="93">
        <f t="shared" si="4"/>
        <v>39248958</v>
      </c>
      <c r="G38" s="93">
        <f t="shared" si="4"/>
        <v>32236215.267000001</v>
      </c>
      <c r="H38" s="93">
        <f t="shared" si="4"/>
        <v>13482247.767000001</v>
      </c>
      <c r="I38" s="101"/>
    </row>
    <row r="39" spans="2:12" ht="13.5" customHeight="1" x14ac:dyDescent="0.3">
      <c r="B39" s="99"/>
      <c r="C39" s="93"/>
      <c r="D39" s="93"/>
      <c r="E39" s="93"/>
      <c r="F39" s="93"/>
      <c r="G39" s="93"/>
      <c r="H39" s="93"/>
      <c r="I39" s="101"/>
    </row>
    <row r="40" spans="2:12" ht="13.5" customHeight="1" x14ac:dyDescent="0.3">
      <c r="B40" s="99" t="s">
        <v>327</v>
      </c>
      <c r="C40" s="93">
        <f>(C13+D13)/2</f>
        <v>39920034</v>
      </c>
      <c r="D40" s="93">
        <f t="shared" ref="D40:H40" si="5">(D13+E13)/2</f>
        <v>34960195</v>
      </c>
      <c r="E40" s="93">
        <f t="shared" si="5"/>
        <v>29260392</v>
      </c>
      <c r="F40" s="93">
        <f t="shared" si="5"/>
        <v>25580383</v>
      </c>
      <c r="G40" s="93">
        <f t="shared" si="5"/>
        <v>20521457.563999999</v>
      </c>
      <c r="H40" s="93">
        <f t="shared" si="5"/>
        <v>8050254.0640000002</v>
      </c>
      <c r="I40" s="101"/>
    </row>
    <row r="41" spans="2:12" ht="13.5" customHeight="1" x14ac:dyDescent="0.3">
      <c r="B41" s="99"/>
      <c r="C41" s="123"/>
      <c r="D41" s="111"/>
      <c r="E41" s="101"/>
      <c r="F41" s="101"/>
      <c r="G41" s="101"/>
      <c r="H41" s="101"/>
      <c r="I41" s="101"/>
    </row>
    <row r="42" spans="2:12" ht="13.5" customHeight="1" x14ac:dyDescent="0.3">
      <c r="B42" s="99" t="s">
        <v>328</v>
      </c>
      <c r="C42" s="93">
        <f>(C20+D20)/2</f>
        <v>20962309.5</v>
      </c>
      <c r="D42" s="93">
        <f t="shared" ref="D42:H42" si="6">(D20+E20)/2</f>
        <v>15147657</v>
      </c>
      <c r="E42" s="93">
        <f t="shared" si="6"/>
        <v>11927159</v>
      </c>
      <c r="F42" s="93">
        <f t="shared" si="6"/>
        <v>10587261</v>
      </c>
      <c r="G42" s="93">
        <f t="shared" si="6"/>
        <v>8637015.8300000001</v>
      </c>
      <c r="H42" s="93">
        <f t="shared" si="6"/>
        <v>3687123.33</v>
      </c>
      <c r="I42" s="101"/>
    </row>
    <row r="43" spans="2:12" ht="13.5" customHeight="1" x14ac:dyDescent="0.3">
      <c r="B43" s="99"/>
      <c r="C43" s="123"/>
      <c r="D43" s="111"/>
      <c r="E43" s="101"/>
      <c r="F43" s="101"/>
      <c r="G43" s="101"/>
      <c r="H43" s="101"/>
      <c r="I43" s="101"/>
    </row>
    <row r="44" spans="2:12" ht="13.5" customHeight="1" x14ac:dyDescent="0.3">
      <c r="B44" s="317" t="s">
        <v>81</v>
      </c>
      <c r="C44" s="114"/>
      <c r="D44" s="111"/>
      <c r="E44" s="312"/>
      <c r="F44" s="101"/>
      <c r="G44" s="101"/>
      <c r="H44" s="101"/>
      <c r="I44" s="101"/>
    </row>
    <row r="45" spans="2:12" ht="13.5" customHeight="1" x14ac:dyDescent="0.3">
      <c r="B45" s="421" t="s">
        <v>329</v>
      </c>
      <c r="C45" s="421"/>
      <c r="D45" s="421"/>
      <c r="E45" s="421"/>
      <c r="F45" s="421"/>
      <c r="G45" s="101"/>
      <c r="H45" s="101"/>
      <c r="I45" s="101"/>
    </row>
    <row r="46" spans="2:12" ht="13.5" customHeight="1" x14ac:dyDescent="0.3">
      <c r="B46" s="421"/>
      <c r="C46" s="421"/>
      <c r="D46" s="421"/>
      <c r="E46" s="421"/>
      <c r="F46" s="421"/>
      <c r="G46" s="319"/>
      <c r="H46" s="319"/>
      <c r="I46" s="319"/>
    </row>
    <row r="47" spans="2:12" ht="13.5" customHeight="1" x14ac:dyDescent="0.3">
      <c r="B47" s="421"/>
      <c r="C47" s="421"/>
      <c r="D47" s="421"/>
      <c r="E47" s="421"/>
      <c r="F47" s="421"/>
      <c r="G47" s="101"/>
      <c r="J47" s="320" t="s">
        <v>59</v>
      </c>
      <c r="K47" s="320" t="s">
        <v>330</v>
      </c>
      <c r="L47" s="321" t="s">
        <v>331</v>
      </c>
    </row>
    <row r="48" spans="2:12" ht="13.5" customHeight="1" x14ac:dyDescent="0.3">
      <c r="B48" s="421"/>
      <c r="C48" s="421"/>
      <c r="D48" s="421"/>
      <c r="E48" s="421"/>
      <c r="F48" s="421"/>
      <c r="G48" s="101"/>
      <c r="J48" s="143">
        <v>2024</v>
      </c>
      <c r="K48" s="101">
        <v>13135064556</v>
      </c>
      <c r="L48" s="303">
        <v>10570182495</v>
      </c>
    </row>
    <row r="49" spans="2:12" ht="13.5" customHeight="1" x14ac:dyDescent="0.3">
      <c r="B49" s="421"/>
      <c r="C49" s="421"/>
      <c r="D49" s="421"/>
      <c r="E49" s="421"/>
      <c r="F49" s="421"/>
      <c r="G49" s="101"/>
      <c r="J49" s="143">
        <v>2023</v>
      </c>
      <c r="K49" s="101">
        <v>10504519178</v>
      </c>
      <c r="L49" s="303">
        <v>8369012245</v>
      </c>
    </row>
    <row r="50" spans="2:12" ht="13.5" customHeight="1" x14ac:dyDescent="0.3">
      <c r="B50" s="318"/>
      <c r="C50" s="318"/>
      <c r="D50" s="318"/>
      <c r="E50" s="318"/>
      <c r="F50" s="318"/>
      <c r="G50" s="101"/>
      <c r="J50" s="143">
        <v>2022</v>
      </c>
      <c r="K50" s="101">
        <v>5746087378</v>
      </c>
      <c r="L50" s="303">
        <v>3474859492</v>
      </c>
    </row>
    <row r="51" spans="2:12" ht="13.5" customHeight="1" x14ac:dyDescent="0.3">
      <c r="B51" s="317" t="s">
        <v>176</v>
      </c>
      <c r="C51" s="111"/>
      <c r="D51" s="111"/>
      <c r="E51" s="101"/>
      <c r="F51" s="101"/>
      <c r="G51" s="101"/>
      <c r="J51" s="143">
        <v>2021</v>
      </c>
      <c r="K51" s="101">
        <v>3345669807</v>
      </c>
      <c r="L51" s="86">
        <v>3993579951</v>
      </c>
    </row>
    <row r="52" spans="2:12" ht="13.5" customHeight="1" x14ac:dyDescent="0.3">
      <c r="B52" s="421" t="s">
        <v>332</v>
      </c>
      <c r="C52" s="421"/>
      <c r="D52" s="421"/>
      <c r="E52" s="421"/>
      <c r="F52" s="421"/>
      <c r="G52" s="101"/>
      <c r="J52" s="143">
        <v>2020</v>
      </c>
      <c r="K52" s="101">
        <v>3344985089</v>
      </c>
      <c r="L52" s="86">
        <v>3436484784</v>
      </c>
    </row>
    <row r="53" spans="2:12" ht="13.5" customHeight="1" x14ac:dyDescent="0.3">
      <c r="B53" s="421"/>
      <c r="C53" s="421"/>
      <c r="D53" s="421"/>
      <c r="E53" s="421"/>
      <c r="F53" s="421"/>
      <c r="J53" s="143">
        <v>2019</v>
      </c>
      <c r="K53" s="101">
        <v>2746331968</v>
      </c>
      <c r="L53" s="303">
        <v>2051217937</v>
      </c>
    </row>
    <row r="54" spans="2:12" x14ac:dyDescent="0.3">
      <c r="B54" s="421"/>
      <c r="C54" s="421"/>
      <c r="D54" s="421"/>
      <c r="E54" s="421"/>
      <c r="F54" s="421"/>
      <c r="J54" s="143">
        <v>2018</v>
      </c>
      <c r="K54" s="302">
        <v>1566186261</v>
      </c>
      <c r="L54" s="303">
        <v>1424613356</v>
      </c>
    </row>
    <row r="55" spans="2:12" x14ac:dyDescent="0.3">
      <c r="B55" s="421"/>
      <c r="C55" s="421"/>
      <c r="D55" s="421"/>
      <c r="E55" s="421"/>
      <c r="F55" s="421"/>
    </row>
    <row r="56" spans="2:12" x14ac:dyDescent="0.3">
      <c r="B56" s="421"/>
      <c r="C56" s="421"/>
      <c r="D56" s="421"/>
      <c r="E56" s="421"/>
      <c r="F56" s="421"/>
    </row>
    <row r="57" spans="2:12" x14ac:dyDescent="0.3">
      <c r="B57" s="421"/>
      <c r="C57" s="421"/>
      <c r="D57" s="421"/>
      <c r="E57" s="421"/>
      <c r="F57" s="421"/>
    </row>
    <row r="58" spans="2:12" x14ac:dyDescent="0.3">
      <c r="B58" s="421"/>
      <c r="C58" s="421"/>
      <c r="D58" s="421"/>
      <c r="E58" s="421"/>
      <c r="F58" s="421"/>
    </row>
    <row r="59" spans="2:12" x14ac:dyDescent="0.3">
      <c r="B59" s="421"/>
      <c r="C59" s="421"/>
      <c r="D59" s="421"/>
      <c r="E59" s="421"/>
      <c r="F59" s="421"/>
    </row>
    <row r="60" spans="2:12" x14ac:dyDescent="0.3">
      <c r="B60" s="421"/>
      <c r="C60" s="421"/>
      <c r="D60" s="421"/>
      <c r="E60" s="421"/>
      <c r="F60" s="421"/>
    </row>
  </sheetData>
  <mergeCells count="4">
    <mergeCell ref="B2:C2"/>
    <mergeCell ref="B3:C3"/>
    <mergeCell ref="B45:F49"/>
    <mergeCell ref="B52:F6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9BF23-8D04-43C9-BD72-7422D8407C15}">
  <dimension ref="B2:N52"/>
  <sheetViews>
    <sheetView showGridLines="0" topLeftCell="A4" workbookViewId="0">
      <selection activeCell="C55" sqref="C55"/>
    </sheetView>
  </sheetViews>
  <sheetFormatPr defaultRowHeight="14.4" x14ac:dyDescent="0.3"/>
  <cols>
    <col min="1" max="1" width="1.88671875" style="86" customWidth="1"/>
    <col min="2" max="2" width="62.6640625" style="86" customWidth="1"/>
    <col min="3" max="3" width="17.109375" style="86" customWidth="1"/>
    <col min="4" max="4" width="20.44140625" style="86" customWidth="1"/>
    <col min="5" max="5" width="18.33203125" style="86" bestFit="1" customWidth="1"/>
    <col min="6" max="6" width="17.21875" style="86" bestFit="1" customWidth="1"/>
    <col min="7" max="8" width="18.77734375" style="86" customWidth="1"/>
    <col min="9" max="10" width="12.5546875" style="86" bestFit="1" customWidth="1"/>
    <col min="11" max="11" width="11.109375" style="86" bestFit="1" customWidth="1"/>
    <col min="12" max="12" width="11.6640625" style="86" bestFit="1" customWidth="1"/>
    <col min="13" max="13" width="8.88671875" style="86"/>
    <col min="14" max="14" width="11" style="86" bestFit="1" customWidth="1"/>
    <col min="15" max="16384" width="8.88671875" style="86"/>
  </cols>
  <sheetData>
    <row r="2" spans="2:8" ht="18" x14ac:dyDescent="0.3">
      <c r="B2" s="420" t="str">
        <f>BS!B2</f>
        <v>Ismail Industries Limited</v>
      </c>
      <c r="C2" s="420"/>
    </row>
    <row r="3" spans="2:8" ht="36" customHeight="1" x14ac:dyDescent="0.3">
      <c r="B3" s="420" t="s">
        <v>333</v>
      </c>
      <c r="C3" s="420"/>
    </row>
    <row r="4" spans="2:8" ht="18" x14ac:dyDescent="0.3">
      <c r="B4" s="88"/>
    </row>
    <row r="5" spans="2:8" ht="18" x14ac:dyDescent="0.3">
      <c r="B5" s="85" t="s">
        <v>308</v>
      </c>
      <c r="D5" s="115"/>
    </row>
    <row r="6" spans="2:8" ht="18" x14ac:dyDescent="0.3">
      <c r="B6" s="106"/>
    </row>
    <row r="7" spans="2:8" ht="18" x14ac:dyDescent="0.3">
      <c r="B7" s="106"/>
      <c r="C7" s="107">
        <v>2024</v>
      </c>
      <c r="D7" s="107">
        <f>C7-1</f>
        <v>2023</v>
      </c>
      <c r="E7" s="107">
        <f t="shared" ref="E7:G7" si="0">D7-1</f>
        <v>2022</v>
      </c>
      <c r="F7" s="107">
        <f t="shared" si="0"/>
        <v>2021</v>
      </c>
      <c r="G7" s="107">
        <f t="shared" si="0"/>
        <v>2020</v>
      </c>
      <c r="H7" s="121">
        <v>2019</v>
      </c>
    </row>
    <row r="8" spans="2:8" ht="8.4" customHeight="1" x14ac:dyDescent="0.3">
      <c r="B8" s="106"/>
      <c r="C8" s="107"/>
      <c r="D8" s="107"/>
      <c r="E8" s="107"/>
      <c r="F8" s="108"/>
      <c r="G8" s="108"/>
    </row>
    <row r="9" spans="2:8" ht="19.95" customHeight="1" x14ac:dyDescent="0.3">
      <c r="B9" s="92" t="s">
        <v>334</v>
      </c>
      <c r="C9" s="93">
        <v>108887024</v>
      </c>
      <c r="D9" s="111">
        <v>88905796</v>
      </c>
      <c r="E9" s="312">
        <v>55260699</v>
      </c>
      <c r="F9" s="312">
        <v>37307760</v>
      </c>
      <c r="G9" s="312">
        <v>33218273</v>
      </c>
      <c r="H9" s="312">
        <f>30090888452*(1/1000)</f>
        <v>30090888.452</v>
      </c>
    </row>
    <row r="10" spans="2:8" ht="19.95" customHeight="1" x14ac:dyDescent="0.3">
      <c r="B10" s="92" t="s">
        <v>335</v>
      </c>
      <c r="C10" s="113">
        <v>84865314</v>
      </c>
      <c r="D10" s="113">
        <v>70473695</v>
      </c>
      <c r="E10" s="312">
        <v>45415202</v>
      </c>
      <c r="F10" s="312">
        <v>30113980</v>
      </c>
      <c r="G10" s="312">
        <v>26340649</v>
      </c>
      <c r="H10" s="312">
        <f>23736870313*(1/1000)</f>
        <v>23736870.313000001</v>
      </c>
    </row>
    <row r="11" spans="2:8" ht="19.95" customHeight="1" x14ac:dyDescent="0.3">
      <c r="B11" s="98" t="s">
        <v>336</v>
      </c>
      <c r="C11" s="111">
        <f>C9-C10</f>
        <v>24021710</v>
      </c>
      <c r="D11" s="111">
        <f t="shared" ref="D11:H11" si="1">D9-D10</f>
        <v>18432101</v>
      </c>
      <c r="E11" s="111">
        <f t="shared" si="1"/>
        <v>9845497</v>
      </c>
      <c r="F11" s="111">
        <f t="shared" si="1"/>
        <v>7193780</v>
      </c>
      <c r="G11" s="111">
        <f t="shared" si="1"/>
        <v>6877624</v>
      </c>
      <c r="H11" s="111">
        <f t="shared" si="1"/>
        <v>6354018.1389999986</v>
      </c>
    </row>
    <row r="12" spans="2:8" ht="19.95" customHeight="1" x14ac:dyDescent="0.3">
      <c r="B12" s="98" t="s">
        <v>337</v>
      </c>
      <c r="C12" s="111">
        <v>13980121</v>
      </c>
      <c r="D12" s="111">
        <v>10330279</v>
      </c>
      <c r="E12" s="312">
        <v>4244301</v>
      </c>
      <c r="F12" s="312">
        <v>2306392</v>
      </c>
      <c r="G12" s="312">
        <v>1814674</v>
      </c>
      <c r="H12" s="312">
        <f>2223446084*(1/1000)</f>
        <v>2223446.0840000003</v>
      </c>
    </row>
    <row r="13" spans="2:8" ht="19.95" customHeight="1" x14ac:dyDescent="0.3">
      <c r="B13" s="92" t="s">
        <v>338</v>
      </c>
      <c r="C13" s="112">
        <v>1308843</v>
      </c>
      <c r="D13" s="113">
        <v>1995431</v>
      </c>
      <c r="E13" s="312">
        <v>762854</v>
      </c>
      <c r="F13" s="312">
        <v>392805</v>
      </c>
      <c r="G13" s="312">
        <v>353404</v>
      </c>
      <c r="H13" s="312">
        <f>212920752*(1/1000)</f>
        <v>212920.75200000001</v>
      </c>
    </row>
    <row r="14" spans="2:8" ht="19.95" customHeight="1" x14ac:dyDescent="0.3">
      <c r="B14" s="92" t="s">
        <v>339</v>
      </c>
      <c r="C14" s="112">
        <v>7384155</v>
      </c>
      <c r="D14" s="113">
        <v>4399444</v>
      </c>
      <c r="E14" s="312">
        <v>1413990</v>
      </c>
      <c r="F14" s="312">
        <v>693704</v>
      </c>
      <c r="G14" s="312">
        <v>1155786</v>
      </c>
      <c r="H14" s="312">
        <f>905629820*(1/1000)</f>
        <v>905629.82000000007</v>
      </c>
    </row>
    <row r="15" spans="2:8" ht="19.95" customHeight="1" x14ac:dyDescent="0.3">
      <c r="B15" s="98" t="s">
        <v>340</v>
      </c>
      <c r="C15" s="112">
        <v>7676461</v>
      </c>
      <c r="D15" s="113">
        <v>7531482</v>
      </c>
      <c r="E15" s="312">
        <v>3386959</v>
      </c>
      <c r="F15" s="312">
        <v>2213246</v>
      </c>
      <c r="G15" s="312">
        <v>1322703</v>
      </c>
      <c r="H15" s="312">
        <f>1403540255*(1/1000)</f>
        <v>1403540.2550000001</v>
      </c>
    </row>
    <row r="16" spans="2:8" ht="19.95" customHeight="1" thickBot="1" x14ac:dyDescent="0.35">
      <c r="B16" s="92" t="s">
        <v>114</v>
      </c>
      <c r="C16" s="113">
        <v>1544411</v>
      </c>
      <c r="D16" s="113">
        <v>1149797</v>
      </c>
      <c r="E16" s="312">
        <v>835938</v>
      </c>
      <c r="F16" s="312">
        <v>436580</v>
      </c>
      <c r="G16" s="312">
        <v>390738</v>
      </c>
      <c r="H16" s="312">
        <f>436942413*(1/1000)</f>
        <v>436942.413</v>
      </c>
    </row>
    <row r="17" spans="2:14" ht="19.95" customHeight="1" x14ac:dyDescent="0.3">
      <c r="B17" s="98" t="s">
        <v>341</v>
      </c>
      <c r="C17" s="110">
        <f>C15-C16</f>
        <v>6132050</v>
      </c>
      <c r="D17" s="110">
        <f t="shared" ref="D17:H17" si="2">D15-D16</f>
        <v>6381685</v>
      </c>
      <c r="E17" s="110">
        <f t="shared" si="2"/>
        <v>2551021</v>
      </c>
      <c r="F17" s="110">
        <f t="shared" si="2"/>
        <v>1776666</v>
      </c>
      <c r="G17" s="110">
        <f t="shared" si="2"/>
        <v>931965</v>
      </c>
      <c r="H17" s="110">
        <f t="shared" si="2"/>
        <v>966597.84200000018</v>
      </c>
    </row>
    <row r="18" spans="2:14" ht="19.95" hidden="1" customHeight="1" x14ac:dyDescent="0.3">
      <c r="B18" s="89"/>
      <c r="C18" s="111"/>
      <c r="D18" s="111"/>
      <c r="E18" s="111"/>
      <c r="F18" s="111"/>
      <c r="G18" s="111"/>
      <c r="H18" s="301"/>
      <c r="I18" s="319"/>
      <c r="J18" s="319"/>
      <c r="K18" s="319"/>
      <c r="L18" s="319"/>
      <c r="M18" s="301"/>
      <c r="N18" s="301"/>
    </row>
    <row r="19" spans="2:14" ht="19.95" hidden="1" customHeight="1" x14ac:dyDescent="0.3">
      <c r="B19" s="89" t="s">
        <v>342</v>
      </c>
      <c r="C19" s="301">
        <v>66356940</v>
      </c>
      <c r="D19" s="111">
        <f>C19</f>
        <v>66356940</v>
      </c>
      <c r="E19" s="111">
        <f>D19</f>
        <v>66356940</v>
      </c>
      <c r="F19" s="301">
        <f>E19</f>
        <v>66356940</v>
      </c>
      <c r="G19" s="111">
        <v>64336165</v>
      </c>
      <c r="H19" s="301">
        <v>63804750</v>
      </c>
    </row>
    <row r="20" spans="2:14" ht="19.95" hidden="1" customHeight="1" x14ac:dyDescent="0.3">
      <c r="B20" s="89"/>
      <c r="C20" s="111"/>
      <c r="D20" s="111"/>
      <c r="E20" s="114"/>
      <c r="F20" s="115"/>
      <c r="G20" s="115"/>
      <c r="H20" s="115"/>
    </row>
    <row r="21" spans="2:14" ht="19.95" hidden="1" customHeight="1" x14ac:dyDescent="0.3">
      <c r="B21" s="89" t="s">
        <v>343</v>
      </c>
      <c r="C21" s="116">
        <f>(C17*1000)/C19</f>
        <v>92.410077981293284</v>
      </c>
      <c r="D21" s="116">
        <f t="shared" ref="D21:H21" si="3">(D17*1000)/D19</f>
        <v>96.172080870516325</v>
      </c>
      <c r="E21" s="116">
        <f t="shared" si="3"/>
        <v>38.44392161543314</v>
      </c>
      <c r="F21" s="116">
        <f t="shared" si="3"/>
        <v>26.774381097139198</v>
      </c>
      <c r="G21" s="116">
        <f t="shared" si="3"/>
        <v>14.485864987445241</v>
      </c>
      <c r="H21" s="116">
        <f t="shared" si="3"/>
        <v>15.149308507595441</v>
      </c>
    </row>
    <row r="22" spans="2:14" hidden="1" x14ac:dyDescent="0.3">
      <c r="B22" s="117" t="s">
        <v>115</v>
      </c>
      <c r="C22" s="118">
        <f>(C21-D21)/D21</f>
        <v>-3.9117411780744425E-2</v>
      </c>
      <c r="D22" s="118">
        <f>(D21-E21)/E21</f>
        <v>1.5016199396241738</v>
      </c>
      <c r="E22" s="118">
        <f t="shared" ref="E22:G22" si="4">(E21-F21)/F21</f>
        <v>0.43584725547739422</v>
      </c>
      <c r="F22" s="118">
        <f t="shared" si="4"/>
        <v>0.84831082716457007</v>
      </c>
      <c r="G22" s="118">
        <f t="shared" si="4"/>
        <v>-4.3793650371405882E-2</v>
      </c>
      <c r="H22" s="118">
        <f>IFERROR((H21-I21)/(I21),0)</f>
        <v>0</v>
      </c>
    </row>
    <row r="23" spans="2:14" hidden="1" x14ac:dyDescent="0.3">
      <c r="B23" s="117"/>
      <c r="C23" s="119"/>
      <c r="D23" s="119"/>
      <c r="E23" s="120"/>
      <c r="F23" s="120"/>
      <c r="G23" s="120"/>
    </row>
    <row r="24" spans="2:14" hidden="1" x14ac:dyDescent="0.3">
      <c r="B24" s="121" t="s">
        <v>344</v>
      </c>
      <c r="C24" s="122">
        <v>1473.97</v>
      </c>
      <c r="D24" s="122">
        <v>520.61</v>
      </c>
      <c r="E24" s="122">
        <v>479.56</v>
      </c>
      <c r="F24" s="122">
        <v>382.49</v>
      </c>
      <c r="G24" s="122">
        <v>342.7</v>
      </c>
      <c r="H24" s="322" t="s">
        <v>128</v>
      </c>
    </row>
    <row r="25" spans="2:14" ht="45" hidden="1" customHeight="1" x14ac:dyDescent="0.3">
      <c r="B25" s="85" t="s">
        <v>116</v>
      </c>
    </row>
    <row r="26" spans="2:14" hidden="1" x14ac:dyDescent="0.3"/>
    <row r="27" spans="2:14" hidden="1" x14ac:dyDescent="0.3"/>
    <row r="28" spans="2:14" ht="19.2" hidden="1" customHeight="1" x14ac:dyDescent="0.3">
      <c r="B28" s="98" t="s">
        <v>117</v>
      </c>
      <c r="C28" s="123" t="e">
        <f>#REF!</f>
        <v>#REF!</v>
      </c>
      <c r="D28" s="123" t="e">
        <f>#REF!</f>
        <v>#REF!</v>
      </c>
    </row>
    <row r="29" spans="2:14" ht="19.2" hidden="1" customHeight="1" x14ac:dyDescent="0.3">
      <c r="B29" s="121" t="s">
        <v>118</v>
      </c>
      <c r="C29" s="123"/>
      <c r="D29" s="123"/>
    </row>
    <row r="30" spans="2:14" ht="19.2" hidden="1" customHeight="1" x14ac:dyDescent="0.3">
      <c r="B30" s="121" t="s">
        <v>119</v>
      </c>
      <c r="C30" s="123"/>
      <c r="D30" s="123"/>
    </row>
    <row r="31" spans="2:14" hidden="1" x14ac:dyDescent="0.3">
      <c r="B31" s="124" t="s">
        <v>120</v>
      </c>
      <c r="C31" s="125">
        <v>-31602</v>
      </c>
      <c r="D31" s="126">
        <v>-120756</v>
      </c>
    </row>
    <row r="32" spans="2:14" hidden="1" x14ac:dyDescent="0.3">
      <c r="B32" s="124" t="s">
        <v>121</v>
      </c>
      <c r="C32" s="127">
        <v>9165</v>
      </c>
      <c r="D32" s="127">
        <v>17510</v>
      </c>
    </row>
    <row r="33" spans="2:8" hidden="1" x14ac:dyDescent="0.3">
      <c r="B33" s="128" t="s">
        <v>122</v>
      </c>
      <c r="C33" s="129">
        <f>SUM(C31:C32)</f>
        <v>-22437</v>
      </c>
      <c r="D33" s="130">
        <v>-103246</v>
      </c>
    </row>
    <row r="34" spans="2:8" hidden="1" x14ac:dyDescent="0.3">
      <c r="B34" s="131"/>
      <c r="C34" s="129"/>
      <c r="D34" s="130"/>
    </row>
    <row r="35" spans="2:8" hidden="1" x14ac:dyDescent="0.3">
      <c r="B35" s="98" t="s">
        <v>123</v>
      </c>
      <c r="C35" s="132" t="e">
        <f>C28+C33</f>
        <v>#REF!</v>
      </c>
      <c r="D35" s="132" t="e">
        <f>D28+D33</f>
        <v>#REF!</v>
      </c>
    </row>
    <row r="36" spans="2:8" hidden="1" x14ac:dyDescent="0.3">
      <c r="C36" s="133"/>
      <c r="D36" s="133"/>
    </row>
    <row r="37" spans="2:8" hidden="1" x14ac:dyDescent="0.3">
      <c r="B37" s="134" t="s">
        <v>124</v>
      </c>
      <c r="C37" s="133">
        <v>10</v>
      </c>
      <c r="D37" s="133">
        <v>12</v>
      </c>
      <c r="E37" s="133">
        <v>4</v>
      </c>
      <c r="F37" s="133">
        <v>15</v>
      </c>
      <c r="G37" s="133">
        <v>3</v>
      </c>
      <c r="H37" s="302">
        <v>3.5</v>
      </c>
    </row>
    <row r="38" spans="2:8" hidden="1" x14ac:dyDescent="0.3">
      <c r="B38" s="135" t="s">
        <v>125</v>
      </c>
      <c r="C38" s="136">
        <f>IFERROR(C37/C21,0)</f>
        <v>0.10821330550142286</v>
      </c>
      <c r="D38" s="136">
        <f t="shared" ref="D38:H38" si="5">IFERROR(D37/D21,0)</f>
        <v>0.12477633728396184</v>
      </c>
      <c r="E38" s="137">
        <f t="shared" si="5"/>
        <v>0.1040476577809434</v>
      </c>
      <c r="F38" s="136">
        <f t="shared" si="5"/>
        <v>0.56023703948857018</v>
      </c>
      <c r="G38" s="136">
        <f t="shared" si="5"/>
        <v>0.2070984371730698</v>
      </c>
      <c r="H38" s="136">
        <f t="shared" si="5"/>
        <v>0.23103364739355578</v>
      </c>
    </row>
    <row r="39" spans="2:8" hidden="1" x14ac:dyDescent="0.3">
      <c r="B39" s="135"/>
      <c r="C39" s="138"/>
      <c r="D39" s="138"/>
      <c r="E39" s="139"/>
      <c r="F39" s="140"/>
      <c r="G39" s="140"/>
    </row>
    <row r="40" spans="2:8" hidden="1" x14ac:dyDescent="0.3">
      <c r="B40" s="135" t="s">
        <v>126</v>
      </c>
      <c r="C40" s="136">
        <f>100%-C38</f>
        <v>0.89178669449857717</v>
      </c>
      <c r="D40" s="136">
        <f t="shared" ref="D40:H40" si="6">100%-D38</f>
        <v>0.87522366271603813</v>
      </c>
      <c r="E40" s="137">
        <f t="shared" si="6"/>
        <v>0.89595234221905662</v>
      </c>
      <c r="F40" s="136">
        <f t="shared" si="6"/>
        <v>0.43976296051142982</v>
      </c>
      <c r="G40" s="136">
        <f t="shared" si="6"/>
        <v>0.79290156282693025</v>
      </c>
      <c r="H40" s="136">
        <f t="shared" si="6"/>
        <v>0.76896635260644419</v>
      </c>
    </row>
    <row r="41" spans="2:8" hidden="1" x14ac:dyDescent="0.3">
      <c r="C41" s="141"/>
      <c r="D41" s="141"/>
      <c r="E41" s="142"/>
      <c r="F41" s="142"/>
      <c r="G41" s="142"/>
      <c r="H41" s="142"/>
    </row>
    <row r="42" spans="2:8" hidden="1" x14ac:dyDescent="0.3">
      <c r="B42" s="143" t="s">
        <v>127</v>
      </c>
      <c r="C42" s="133">
        <v>1233.55</v>
      </c>
      <c r="D42" s="133">
        <v>482.57</v>
      </c>
      <c r="E42" s="140">
        <v>471.08</v>
      </c>
      <c r="F42" s="140">
        <v>384.66</v>
      </c>
      <c r="G42" s="140">
        <v>352.56</v>
      </c>
      <c r="H42" s="140">
        <v>300.11</v>
      </c>
    </row>
    <row r="43" spans="2:8" hidden="1" x14ac:dyDescent="0.3">
      <c r="B43" s="143"/>
      <c r="C43" s="133"/>
      <c r="D43" s="133"/>
      <c r="E43" s="140"/>
      <c r="F43" s="140"/>
      <c r="G43" s="140"/>
      <c r="H43" s="140"/>
    </row>
    <row r="44" spans="2:8" hidden="1" x14ac:dyDescent="0.3">
      <c r="B44" s="143" t="s">
        <v>345</v>
      </c>
      <c r="C44" s="109">
        <f>(BS!C20)*1000</f>
        <v>24208886000</v>
      </c>
      <c r="D44" s="109">
        <f>(BS!D20)*1000</f>
        <v>17715733000</v>
      </c>
      <c r="E44" s="109">
        <f>(BS!E20)*1000</f>
        <v>12579581000</v>
      </c>
      <c r="F44" s="109">
        <f>(BS!F20)*1000</f>
        <v>11274737000</v>
      </c>
      <c r="G44" s="109">
        <f>(BS!G20)*1000</f>
        <v>9899785000</v>
      </c>
      <c r="H44" s="109">
        <f>(BS!H20)*1000</f>
        <v>7374246660</v>
      </c>
    </row>
    <row r="45" spans="2:8" hidden="1" x14ac:dyDescent="0.3"/>
    <row r="46" spans="2:8" hidden="1" x14ac:dyDescent="0.3">
      <c r="B46" s="323" t="s">
        <v>346</v>
      </c>
      <c r="C46" s="324">
        <f>C44/C19</f>
        <v>364.8282455459821</v>
      </c>
      <c r="D46" s="324">
        <f t="shared" ref="D46:H46" si="7">D44/D19</f>
        <v>266.97634037977036</v>
      </c>
      <c r="E46" s="324">
        <f t="shared" si="7"/>
        <v>189.5744589789704</v>
      </c>
      <c r="F46" s="324">
        <f t="shared" si="7"/>
        <v>169.91044192212601</v>
      </c>
      <c r="G46" s="324">
        <f t="shared" si="7"/>
        <v>153.87589546252875</v>
      </c>
      <c r="H46" s="324">
        <f t="shared" si="7"/>
        <v>115.57519871169467</v>
      </c>
    </row>
    <row r="47" spans="2:8" hidden="1" x14ac:dyDescent="0.3"/>
    <row r="48" spans="2:8" hidden="1" x14ac:dyDescent="0.3">
      <c r="B48" s="105" t="s">
        <v>50</v>
      </c>
      <c r="C48" s="302">
        <f>C19/1000*C42</f>
        <v>81854603.336999997</v>
      </c>
      <c r="D48" s="302">
        <f>D19/1000*D42</f>
        <v>32021868.535800003</v>
      </c>
      <c r="E48" s="302">
        <f>(E19/1000)*E42</f>
        <v>31259427.295200001</v>
      </c>
      <c r="F48" s="302">
        <f>(F19/1000)*F42</f>
        <v>25524860.540400002</v>
      </c>
      <c r="G48" s="302">
        <f>(G19/1000)*G42</f>
        <v>22682358.332400002</v>
      </c>
      <c r="H48" s="302">
        <f>(H19/1000)*H42</f>
        <v>19148443.522500001</v>
      </c>
    </row>
    <row r="50" spans="2:8" x14ac:dyDescent="0.3">
      <c r="B50" s="143" t="s">
        <v>365</v>
      </c>
      <c r="C50" s="343">
        <v>0.12839999999999999</v>
      </c>
      <c r="D50" s="343">
        <v>0.1162</v>
      </c>
      <c r="E50" s="343">
        <v>7.6799999999999993E-2</v>
      </c>
      <c r="F50" s="343">
        <v>6.1800000000000001E-2</v>
      </c>
      <c r="G50" s="343">
        <v>5.4600000000000003E-2</v>
      </c>
      <c r="H50" s="343">
        <v>5.8200000000000002E-2</v>
      </c>
    </row>
    <row r="51" spans="2:8" x14ac:dyDescent="0.3">
      <c r="C51" s="322"/>
      <c r="D51" s="322"/>
      <c r="E51" s="322"/>
      <c r="F51" s="322"/>
      <c r="G51" s="322"/>
      <c r="H51" s="322"/>
    </row>
    <row r="52" spans="2:8" x14ac:dyDescent="0.3">
      <c r="B52" s="143" t="s">
        <v>366</v>
      </c>
      <c r="C52" s="344">
        <v>10</v>
      </c>
      <c r="D52" s="344">
        <v>12</v>
      </c>
      <c r="E52" s="344">
        <v>4</v>
      </c>
      <c r="F52" s="344">
        <v>15</v>
      </c>
      <c r="G52" s="344">
        <v>3</v>
      </c>
      <c r="H52" s="345">
        <v>3.5</v>
      </c>
    </row>
  </sheetData>
  <mergeCells count="2">
    <mergeCell ref="B2:C2"/>
    <mergeCell ref="B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8E92-E7A5-4D79-A315-FEBE77F5AE32}">
  <dimension ref="B2:S59"/>
  <sheetViews>
    <sheetView showGridLines="0" workbookViewId="0">
      <pane ySplit="1" topLeftCell="A2" activePane="bottomLeft" state="frozen"/>
      <selection activeCell="C26" activeCellId="1" sqref="B1 C26"/>
      <selection pane="bottomLeft" activeCell="B59" sqref="B59"/>
    </sheetView>
  </sheetViews>
  <sheetFormatPr defaultRowHeight="14.4" outlineLevelRow="1" x14ac:dyDescent="0.3"/>
  <cols>
    <col min="1" max="1" width="4" style="97" customWidth="1"/>
    <col min="2" max="2" width="72.109375" style="97" customWidth="1"/>
    <col min="3" max="4" width="14.6640625" style="97" customWidth="1"/>
    <col min="5" max="5" width="16.5546875" style="97" bestFit="1" customWidth="1"/>
    <col min="6" max="6" width="21.6640625" style="97" customWidth="1"/>
    <col min="7" max="7" width="16.44140625" style="97" customWidth="1"/>
    <col min="8" max="8" width="16.6640625" style="97" customWidth="1"/>
    <col min="9" max="16384" width="8.88671875" style="97"/>
  </cols>
  <sheetData>
    <row r="2" spans="2:8" ht="28.8" x14ac:dyDescent="0.3">
      <c r="B2" s="144" t="s">
        <v>347</v>
      </c>
    </row>
    <row r="5" spans="2:8" ht="13.5" hidden="1" customHeight="1" outlineLevel="1" x14ac:dyDescent="0.3">
      <c r="B5" s="145" t="s">
        <v>129</v>
      </c>
      <c r="C5" s="146">
        <v>2023</v>
      </c>
      <c r="D5" s="146">
        <f>C5-1</f>
        <v>2022</v>
      </c>
      <c r="E5" s="146">
        <f t="shared" ref="E5:H5" si="0">D5-1</f>
        <v>2021</v>
      </c>
      <c r="F5" s="146">
        <f t="shared" si="0"/>
        <v>2020</v>
      </c>
      <c r="G5" s="146">
        <f t="shared" si="0"/>
        <v>2019</v>
      </c>
      <c r="H5" s="146">
        <f t="shared" si="0"/>
        <v>2018</v>
      </c>
    </row>
    <row r="6" spans="2:8" ht="16.2" hidden="1" customHeight="1" outlineLevel="1" x14ac:dyDescent="0.3">
      <c r="B6" s="147" t="s">
        <v>113</v>
      </c>
      <c r="C6" s="148">
        <v>10353100</v>
      </c>
      <c r="D6" s="148">
        <v>8366367</v>
      </c>
    </row>
    <row r="7" spans="2:8" ht="16.2" hidden="1" customHeight="1" outlineLevel="1" x14ac:dyDescent="0.3">
      <c r="B7" s="147"/>
      <c r="C7" s="148"/>
      <c r="D7" s="148"/>
    </row>
    <row r="8" spans="2:8" ht="19.2" hidden="1" customHeight="1" outlineLevel="1" x14ac:dyDescent="0.3">
      <c r="B8" s="149" t="s">
        <v>130</v>
      </c>
      <c r="C8" s="150"/>
      <c r="D8" s="151"/>
    </row>
    <row r="9" spans="2:8" ht="14.7" hidden="1" customHeight="1" outlineLevel="1" x14ac:dyDescent="0.3">
      <c r="B9" s="147" t="s">
        <v>131</v>
      </c>
      <c r="C9" s="152"/>
      <c r="D9" s="153"/>
    </row>
    <row r="10" spans="2:8" ht="15.45" hidden="1" customHeight="1" outlineLevel="1" x14ac:dyDescent="0.3">
      <c r="B10" s="147" t="s">
        <v>132</v>
      </c>
      <c r="C10" s="154"/>
      <c r="D10" s="155"/>
    </row>
    <row r="11" spans="2:8" ht="15.45" hidden="1" customHeight="1" outlineLevel="1" x14ac:dyDescent="0.3">
      <c r="B11" s="147" t="s">
        <v>133</v>
      </c>
      <c r="C11" s="156"/>
      <c r="D11" s="155"/>
    </row>
    <row r="12" spans="2:8" ht="15.3" hidden="1" customHeight="1" outlineLevel="1" x14ac:dyDescent="0.3">
      <c r="B12" s="147" t="s">
        <v>134</v>
      </c>
      <c r="C12" s="154"/>
      <c r="D12" s="155"/>
    </row>
    <row r="13" spans="2:8" ht="15.45" hidden="1" customHeight="1" outlineLevel="1" x14ac:dyDescent="0.3">
      <c r="B13" s="147" t="s">
        <v>135</v>
      </c>
      <c r="C13" s="156"/>
      <c r="D13" s="155"/>
    </row>
    <row r="14" spans="2:8" ht="15.45" hidden="1" customHeight="1" outlineLevel="1" x14ac:dyDescent="0.3">
      <c r="B14" s="147" t="s">
        <v>136</v>
      </c>
      <c r="C14" s="154"/>
      <c r="D14" s="155"/>
    </row>
    <row r="15" spans="2:8" ht="15.45" hidden="1" customHeight="1" outlineLevel="1" x14ac:dyDescent="0.3">
      <c r="B15" s="147" t="s">
        <v>137</v>
      </c>
      <c r="C15" s="157"/>
      <c r="D15" s="155"/>
    </row>
    <row r="16" spans="2:8" ht="16.2" hidden="1" customHeight="1" outlineLevel="1" x14ac:dyDescent="0.3">
      <c r="B16" s="147" t="s">
        <v>138</v>
      </c>
      <c r="C16" s="158"/>
      <c r="D16" s="159"/>
    </row>
    <row r="17" spans="2:4" ht="14.25" hidden="1" customHeight="1" outlineLevel="1" x14ac:dyDescent="0.3">
      <c r="B17" s="100"/>
      <c r="C17" s="160"/>
      <c r="D17" s="160"/>
    </row>
    <row r="18" spans="2:4" ht="16.05" hidden="1" customHeight="1" outlineLevel="1" x14ac:dyDescent="0.3">
      <c r="B18" s="100"/>
      <c r="C18" s="161"/>
      <c r="D18" s="161"/>
    </row>
    <row r="19" spans="2:4" ht="17.55" hidden="1" customHeight="1" outlineLevel="1" x14ac:dyDescent="0.3">
      <c r="B19" s="149" t="s">
        <v>139</v>
      </c>
      <c r="C19" s="162"/>
      <c r="D19" s="163"/>
    </row>
    <row r="20" spans="2:4" ht="13.5" hidden="1" customHeight="1" outlineLevel="1" x14ac:dyDescent="0.3">
      <c r="B20" s="147" t="s">
        <v>140</v>
      </c>
      <c r="C20" s="164"/>
      <c r="D20" s="165"/>
    </row>
    <row r="21" spans="2:4" ht="16.05" hidden="1" customHeight="1" outlineLevel="1" x14ac:dyDescent="0.3">
      <c r="B21" s="147" t="s">
        <v>141</v>
      </c>
      <c r="C21" s="166"/>
      <c r="D21" s="167"/>
    </row>
    <row r="22" spans="2:4" ht="15" hidden="1" customHeight="1" outlineLevel="1" x14ac:dyDescent="0.3">
      <c r="B22" s="147" t="s">
        <v>109</v>
      </c>
      <c r="C22" s="166"/>
      <c r="D22" s="167"/>
    </row>
    <row r="23" spans="2:4" ht="15.45" hidden="1" customHeight="1" outlineLevel="1" x14ac:dyDescent="0.3">
      <c r="B23" s="147" t="s">
        <v>142</v>
      </c>
      <c r="C23" s="166"/>
      <c r="D23" s="167"/>
    </row>
    <row r="24" spans="2:4" ht="15.45" hidden="1" customHeight="1" outlineLevel="1" x14ac:dyDescent="0.3">
      <c r="B24" s="147" t="s">
        <v>143</v>
      </c>
      <c r="C24" s="168"/>
      <c r="D24" s="167"/>
    </row>
    <row r="25" spans="2:4" ht="15.3" hidden="1" customHeight="1" outlineLevel="1" x14ac:dyDescent="0.3">
      <c r="B25" s="147" t="s">
        <v>144</v>
      </c>
      <c r="C25" s="166"/>
      <c r="D25" s="167"/>
    </row>
    <row r="26" spans="2:4" ht="15.45" hidden="1" customHeight="1" outlineLevel="1" x14ac:dyDescent="0.3">
      <c r="B26" s="147" t="s">
        <v>110</v>
      </c>
      <c r="C26" s="168"/>
      <c r="D26" s="167"/>
    </row>
    <row r="27" spans="2:4" ht="15.75" hidden="1" customHeight="1" outlineLevel="1" x14ac:dyDescent="0.3">
      <c r="B27" s="147" t="s">
        <v>111</v>
      </c>
      <c r="C27" s="168"/>
      <c r="D27" s="167"/>
    </row>
    <row r="28" spans="2:4" ht="16.5" hidden="1" customHeight="1" outlineLevel="1" x14ac:dyDescent="0.3">
      <c r="B28" s="147" t="s">
        <v>145</v>
      </c>
      <c r="C28" s="169"/>
      <c r="D28" s="170"/>
    </row>
    <row r="29" spans="2:4" ht="14.25" hidden="1" customHeight="1" outlineLevel="1" x14ac:dyDescent="0.3">
      <c r="B29" s="100"/>
      <c r="C29" s="171"/>
      <c r="D29" s="171"/>
    </row>
    <row r="30" spans="2:4" ht="13.5" hidden="1" customHeight="1" outlineLevel="1" x14ac:dyDescent="0.3">
      <c r="B30" s="145" t="s">
        <v>146</v>
      </c>
      <c r="C30" s="172">
        <f>C29+C18</f>
        <v>0</v>
      </c>
      <c r="D30" s="172">
        <f>D29+D18</f>
        <v>0</v>
      </c>
    </row>
    <row r="31" spans="2:4" hidden="1" outlineLevel="1" x14ac:dyDescent="0.3">
      <c r="C31" s="173"/>
      <c r="D31" s="173"/>
    </row>
    <row r="32" spans="2:4" hidden="1" outlineLevel="1" x14ac:dyDescent="0.3">
      <c r="C32" s="173"/>
      <c r="D32" s="173"/>
    </row>
    <row r="33" spans="2:19" hidden="1" outlineLevel="1" x14ac:dyDescent="0.3">
      <c r="B33" s="174" t="s">
        <v>147</v>
      </c>
      <c r="C33" s="175">
        <f>C30</f>
        <v>0</v>
      </c>
      <c r="D33" s="175">
        <f>D30</f>
        <v>0</v>
      </c>
      <c r="E33" s="90"/>
    </row>
    <row r="34" spans="2:19" hidden="1" outlineLevel="1" x14ac:dyDescent="0.3">
      <c r="B34" s="176"/>
      <c r="C34" s="177"/>
      <c r="D34" s="177"/>
      <c r="E34" s="90"/>
    </row>
    <row r="35" spans="2:19" hidden="1" outlineLevel="1" x14ac:dyDescent="0.3">
      <c r="B35" s="176"/>
      <c r="C35" s="177"/>
      <c r="D35" s="177"/>
      <c r="E35" s="90"/>
    </row>
    <row r="36" spans="2:19" hidden="1" outlineLevel="1" x14ac:dyDescent="0.3">
      <c r="B36" s="176" t="s">
        <v>148</v>
      </c>
      <c r="C36" s="178"/>
      <c r="D36" s="179"/>
      <c r="E36" s="90"/>
    </row>
    <row r="37" spans="2:19" hidden="1" outlineLevel="1" x14ac:dyDescent="0.3">
      <c r="B37" s="176" t="s">
        <v>149</v>
      </c>
      <c r="C37" s="180"/>
      <c r="D37" s="181"/>
      <c r="E37" s="94"/>
    </row>
    <row r="38" spans="2:19" hidden="1" outlineLevel="1" x14ac:dyDescent="0.3">
      <c r="B38" s="176" t="s">
        <v>150</v>
      </c>
      <c r="C38" s="182"/>
      <c r="D38" s="181"/>
      <c r="E38" s="94"/>
    </row>
    <row r="39" spans="2:19" hidden="1" outlineLevel="1" x14ac:dyDescent="0.3">
      <c r="B39" s="174" t="s">
        <v>151</v>
      </c>
      <c r="C39" s="183">
        <f>SUM(C33:C38)</f>
        <v>0</v>
      </c>
      <c r="D39" s="183">
        <f>SUM(D33:D38)</f>
        <v>0</v>
      </c>
      <c r="E39" s="90"/>
    </row>
    <row r="40" spans="2:19" collapsed="1" x14ac:dyDescent="0.3">
      <c r="B40" s="176"/>
      <c r="C40" s="184"/>
      <c r="D40" s="184"/>
      <c r="E40" s="90"/>
    </row>
    <row r="41" spans="2:19" x14ac:dyDescent="0.3">
      <c r="B41" s="176"/>
      <c r="C41" s="185">
        <v>2024</v>
      </c>
      <c r="D41" s="185">
        <f>C41-1</f>
        <v>2023</v>
      </c>
      <c r="E41" s="185">
        <f t="shared" ref="E41:H41" si="1">D41-1</f>
        <v>2022</v>
      </c>
      <c r="F41" s="185">
        <f t="shared" si="1"/>
        <v>2021</v>
      </c>
      <c r="G41" s="185">
        <f t="shared" si="1"/>
        <v>2020</v>
      </c>
      <c r="H41" s="185">
        <f t="shared" si="1"/>
        <v>2019</v>
      </c>
    </row>
    <row r="42" spans="2:19" outlineLevel="1" x14ac:dyDescent="0.3">
      <c r="B42" s="174" t="s">
        <v>152</v>
      </c>
      <c r="C42" s="177"/>
      <c r="D42" s="177"/>
      <c r="E42" s="90"/>
    </row>
    <row r="43" spans="2:19" outlineLevel="1" x14ac:dyDescent="0.3">
      <c r="B43" s="174"/>
      <c r="C43" s="177"/>
      <c r="D43" s="177"/>
      <c r="E43" s="90"/>
    </row>
    <row r="44" spans="2:19" outlineLevel="1" x14ac:dyDescent="0.3">
      <c r="B44" s="176" t="s">
        <v>153</v>
      </c>
      <c r="C44" s="186">
        <f>-6944775288*(1/1000)</f>
        <v>-6944775.2879999997</v>
      </c>
      <c r="D44" s="186">
        <f>-6231203211*(1/1000)</f>
        <v>-6231203.2110000001</v>
      </c>
      <c r="E44" s="186">
        <f>-6617572848*(1/1000)</f>
        <v>-6617572.8480000002</v>
      </c>
      <c r="F44" s="186">
        <f>-3355480700*(1/1000)</f>
        <v>-3355480.7</v>
      </c>
      <c r="G44" s="186">
        <f>-8126868258*(1/1000)</f>
        <v>-8126868.2580000004</v>
      </c>
      <c r="H44" s="186">
        <f>-3160541823*(1/1000)</f>
        <v>-3160541.8229999999</v>
      </c>
      <c r="I44" s="187" t="s">
        <v>56</v>
      </c>
      <c r="J44" s="188"/>
      <c r="K44" s="188"/>
      <c r="L44" s="188"/>
      <c r="M44" s="188"/>
      <c r="N44" s="188"/>
      <c r="O44" s="188"/>
      <c r="P44" s="188"/>
      <c r="Q44" s="188"/>
      <c r="R44" s="188"/>
    </row>
    <row r="45" spans="2:19" ht="14.4" customHeight="1" outlineLevel="1" x14ac:dyDescent="0.3">
      <c r="B45" s="176" t="s">
        <v>154</v>
      </c>
      <c r="C45" s="189">
        <f>220305612*(1/1000)</f>
        <v>220305.61199999999</v>
      </c>
      <c r="D45" s="189">
        <f>177245211*(1/1000)</f>
        <v>177245.21100000001</v>
      </c>
      <c r="E45" s="189">
        <f>551940577*(1/1000)</f>
        <v>551940.57700000005</v>
      </c>
      <c r="F45" s="189">
        <f>585328439*(1/1000)</f>
        <v>585328.43900000001</v>
      </c>
      <c r="G45" s="189">
        <f>58234562*(1/1000)</f>
        <v>58234.561999999998</v>
      </c>
      <c r="H45" s="189">
        <f>230733531*(1/1000)</f>
        <v>230733.53100000002</v>
      </c>
      <c r="I45" s="422" t="s">
        <v>155</v>
      </c>
      <c r="J45" s="422"/>
      <c r="K45" s="422"/>
      <c r="L45" s="422"/>
      <c r="M45" s="422"/>
      <c r="N45" s="422"/>
      <c r="O45" s="422"/>
      <c r="P45" s="422"/>
      <c r="Q45" s="422"/>
      <c r="R45" s="422"/>
      <c r="S45" s="147"/>
    </row>
    <row r="46" spans="2:19" ht="15" outlineLevel="1" thickBot="1" x14ac:dyDescent="0.35">
      <c r="B46" s="174" t="s">
        <v>156</v>
      </c>
      <c r="C46" s="190">
        <f t="shared" ref="C46:H46" si="2">SUM(C44:C45)</f>
        <v>-6724469.676</v>
      </c>
      <c r="D46" s="190">
        <f t="shared" si="2"/>
        <v>-6053958</v>
      </c>
      <c r="E46" s="190">
        <f t="shared" si="2"/>
        <v>-6065632.2709999997</v>
      </c>
      <c r="F46" s="190">
        <f t="shared" si="2"/>
        <v>-2770152.2609999999</v>
      </c>
      <c r="G46" s="191">
        <f t="shared" si="2"/>
        <v>-8068633.6960000005</v>
      </c>
      <c r="H46" s="191">
        <f t="shared" si="2"/>
        <v>-2929808.2919999999</v>
      </c>
      <c r="I46" s="422"/>
      <c r="J46" s="422"/>
      <c r="K46" s="422"/>
      <c r="L46" s="422"/>
      <c r="M46" s="422"/>
      <c r="N46" s="422"/>
      <c r="O46" s="422"/>
      <c r="P46" s="422"/>
      <c r="Q46" s="422"/>
      <c r="R46" s="422"/>
    </row>
    <row r="47" spans="2:19" ht="15" thickTop="1" x14ac:dyDescent="0.3">
      <c r="C47" s="192"/>
      <c r="D47" s="184"/>
      <c r="E47" s="90"/>
    </row>
    <row r="48" spans="2:19" hidden="1" outlineLevel="1" x14ac:dyDescent="0.3">
      <c r="B48" s="193" t="s">
        <v>157</v>
      </c>
      <c r="C48" s="177"/>
      <c r="D48" s="177"/>
      <c r="E48" s="90"/>
    </row>
    <row r="49" spans="2:5" hidden="1" outlineLevel="1" x14ac:dyDescent="0.3">
      <c r="B49" s="193"/>
      <c r="C49" s="177"/>
      <c r="D49" s="177"/>
      <c r="E49" s="90"/>
    </row>
    <row r="50" spans="2:5" hidden="1" outlineLevel="1" x14ac:dyDescent="0.3">
      <c r="B50" s="176" t="s">
        <v>158</v>
      </c>
      <c r="C50" s="194"/>
      <c r="D50" s="179"/>
      <c r="E50" s="94"/>
    </row>
    <row r="51" spans="2:5" hidden="1" outlineLevel="1" x14ac:dyDescent="0.3">
      <c r="B51" s="176" t="s">
        <v>159</v>
      </c>
      <c r="C51" s="180"/>
      <c r="D51" s="181"/>
      <c r="E51" s="94"/>
    </row>
    <row r="52" spans="2:5" hidden="1" outlineLevel="1" x14ac:dyDescent="0.3">
      <c r="B52" s="176" t="s">
        <v>160</v>
      </c>
      <c r="C52" s="182"/>
      <c r="D52" s="195"/>
      <c r="E52" s="94"/>
    </row>
    <row r="53" spans="2:5" hidden="1" outlineLevel="1" x14ac:dyDescent="0.3">
      <c r="B53" s="176" t="s">
        <v>161</v>
      </c>
      <c r="C53" s="196"/>
      <c r="D53" s="197"/>
      <c r="E53" s="94"/>
    </row>
    <row r="54" spans="2:5" hidden="1" outlineLevel="1" x14ac:dyDescent="0.3">
      <c r="B54" s="174" t="s">
        <v>162</v>
      </c>
      <c r="C54" s="192"/>
      <c r="D54" s="192"/>
      <c r="E54" s="94"/>
    </row>
    <row r="55" spans="2:5" hidden="1" outlineLevel="1" x14ac:dyDescent="0.3">
      <c r="B55" s="174"/>
      <c r="C55" s="192"/>
      <c r="D55" s="192"/>
      <c r="E55" s="94"/>
    </row>
    <row r="56" spans="2:5" hidden="1" outlineLevel="1" x14ac:dyDescent="0.3">
      <c r="B56" s="176" t="s">
        <v>163</v>
      </c>
      <c r="C56" s="198"/>
      <c r="D56" s="199"/>
      <c r="E56" s="94"/>
    </row>
    <row r="57" spans="2:5" hidden="1" outlineLevel="1" x14ac:dyDescent="0.3">
      <c r="B57" s="176" t="s">
        <v>164</v>
      </c>
      <c r="C57" s="200"/>
      <c r="D57" s="197"/>
      <c r="E57" s="94"/>
    </row>
    <row r="58" spans="2:5" ht="15" hidden="1" outlineLevel="1" thickBot="1" x14ac:dyDescent="0.35">
      <c r="B58" s="174" t="s">
        <v>165</v>
      </c>
      <c r="C58" s="201">
        <f>SUM(C56:C57)</f>
        <v>0</v>
      </c>
      <c r="D58" s="201">
        <f>SUM(D56:D57)</f>
        <v>0</v>
      </c>
      <c r="E58" s="94"/>
    </row>
    <row r="59" spans="2:5" collapsed="1" x14ac:dyDescent="0.3"/>
  </sheetData>
  <mergeCells count="1">
    <mergeCell ref="I45:R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96FAD-941B-47C7-BBBB-8D0C19EA7AF9}">
  <dimension ref="B2:K35"/>
  <sheetViews>
    <sheetView showGridLines="0" workbookViewId="0">
      <selection activeCell="C13" sqref="C13:H13"/>
    </sheetView>
  </sheetViews>
  <sheetFormatPr defaultRowHeight="14.4" x14ac:dyDescent="0.3"/>
  <cols>
    <col min="1" max="1" width="1.88671875" style="102" customWidth="1"/>
    <col min="2" max="2" width="48.6640625" style="102" bestFit="1" customWidth="1"/>
    <col min="3" max="3" width="16.6640625" style="102" customWidth="1"/>
    <col min="4" max="4" width="15.21875" style="102" customWidth="1"/>
    <col min="5" max="8" width="12.77734375" style="102" customWidth="1"/>
    <col min="9" max="9" width="16.6640625" style="102" customWidth="1"/>
    <col min="10" max="16384" width="8.88671875" style="102"/>
  </cols>
  <sheetData>
    <row r="2" spans="2:11" ht="25.2" customHeight="1" x14ac:dyDescent="0.3">
      <c r="B2" s="423" t="str">
        <f>"Ratio Analysis-Profitability"&amp;" - "&amp;[2]BS!$B$2</f>
        <v>Ratio Analysis-Profitability - Ismail Industries Limited</v>
      </c>
      <c r="C2" s="423"/>
      <c r="D2" s="423"/>
      <c r="E2" s="423"/>
      <c r="F2" s="423"/>
      <c r="G2" s="423"/>
      <c r="H2" s="423"/>
      <c r="I2" s="423"/>
      <c r="J2" s="423"/>
      <c r="K2" s="423"/>
    </row>
    <row r="3" spans="2:11" x14ac:dyDescent="0.3">
      <c r="B3" s="203" t="s">
        <v>59</v>
      </c>
      <c r="C3" s="204">
        <v>2024</v>
      </c>
      <c r="D3" s="185">
        <f>C3-1</f>
        <v>2023</v>
      </c>
      <c r="E3" s="185">
        <f t="shared" ref="E3:H3" si="0">D3-1</f>
        <v>2022</v>
      </c>
      <c r="F3" s="185">
        <f t="shared" si="0"/>
        <v>2021</v>
      </c>
      <c r="G3" s="185">
        <f t="shared" si="0"/>
        <v>2020</v>
      </c>
      <c r="H3" s="185">
        <f t="shared" si="0"/>
        <v>2019</v>
      </c>
      <c r="I3" s="185" t="s">
        <v>166</v>
      </c>
      <c r="J3" s="185" t="s">
        <v>167</v>
      </c>
      <c r="K3" s="185" t="s">
        <v>24</v>
      </c>
    </row>
    <row r="5" spans="2:11" x14ac:dyDescent="0.3">
      <c r="B5" s="143" t="s">
        <v>168</v>
      </c>
      <c r="C5" s="143"/>
    </row>
    <row r="6" spans="2:11" x14ac:dyDescent="0.3">
      <c r="B6" s="205" t="s">
        <v>169</v>
      </c>
      <c r="C6" s="206">
        <f>[2]Pnl!C11/[2]Pnl!C$9</f>
        <v>0.22061131912283691</v>
      </c>
      <c r="D6" s="206">
        <f>[2]Pnl!D11/[2]Pnl!D$9</f>
        <v>0.20732170262555211</v>
      </c>
      <c r="E6" s="206">
        <f>[2]Pnl!E11/[2]Pnl!E$9</f>
        <v>0.17816453968488527</v>
      </c>
      <c r="F6" s="206">
        <f>[2]Pnl!F11/[2]Pnl!F$9</f>
        <v>0.19282261920844349</v>
      </c>
      <c r="G6" s="206">
        <f>[2]Pnl!G11/[2]Pnl!G$9</f>
        <v>0.20704339445942901</v>
      </c>
      <c r="H6" s="206">
        <f>[2]Pnl!H11/[2]Pnl!H$9</f>
        <v>0.21116086848468169</v>
      </c>
      <c r="J6" s="208">
        <f t="shared" ref="J6:J14" si="1">IFERROR(AVERAGE(D6:H6),0)</f>
        <v>0.19930262489259828</v>
      </c>
      <c r="K6" s="208">
        <f t="shared" ref="K6:K14" si="2">IFERROR(MEDIAN(D6:H6),0)</f>
        <v>0.20704339445942901</v>
      </c>
    </row>
    <row r="7" spans="2:11" x14ac:dyDescent="0.3">
      <c r="B7" s="103" t="s">
        <v>170</v>
      </c>
      <c r="C7" s="206">
        <f>[2]Pnl!C12/[2]Pnl!C$9</f>
        <v>0.12839106522003943</v>
      </c>
      <c r="D7" s="206">
        <f>[2]Pnl!D12/[2]Pnl!D$9</f>
        <v>0.11619353815807465</v>
      </c>
      <c r="E7" s="206">
        <f>[2]Pnl!E12/[2]Pnl!E$9</f>
        <v>7.6805054528897659E-2</v>
      </c>
      <c r="F7" s="206">
        <f>[2]Pnl!F12/[2]Pnl!F$9</f>
        <v>6.182070432531999E-2</v>
      </c>
      <c r="G7" s="206">
        <f>[2]Pnl!G12/[2]Pnl!G$9</f>
        <v>5.4628788197387625E-2</v>
      </c>
      <c r="H7" s="206">
        <f>[2]Pnl!H12/[2]Pnl!H$9</f>
        <v>7.3891008155068896E-2</v>
      </c>
      <c r="J7" s="208">
        <f t="shared" si="1"/>
        <v>7.6667818672949764E-2</v>
      </c>
      <c r="K7" s="208">
        <f t="shared" si="2"/>
        <v>7.3891008155068896E-2</v>
      </c>
    </row>
    <row r="8" spans="2:11" x14ac:dyDescent="0.3">
      <c r="B8" s="103" t="s">
        <v>171</v>
      </c>
      <c r="C8" s="206">
        <f>[2]Pnl!C17/[2]Pnl!C$9</f>
        <v>5.6315709390680015E-2</v>
      </c>
      <c r="D8" s="206">
        <f>[2]Pnl!D17/[2]Pnl!D$9</f>
        <v>7.1780303277415122E-2</v>
      </c>
      <c r="E8" s="206">
        <f>[2]Pnl!E17/[2]Pnl!E$9</f>
        <v>4.6163386387855859E-2</v>
      </c>
      <c r="F8" s="206">
        <f>[2]Pnl!F17/[2]Pnl!F$9</f>
        <v>4.7621888851005795E-2</v>
      </c>
      <c r="G8" s="206">
        <f>[2]Pnl!G17/[2]Pnl!G$9</f>
        <v>2.8055793267759584E-2</v>
      </c>
      <c r="H8" s="206">
        <f>[2]Pnl!H17/[2]Pnl!H$9</f>
        <v>3.2122608926681756E-2</v>
      </c>
      <c r="J8" s="208">
        <f t="shared" si="1"/>
        <v>4.5148796142143628E-2</v>
      </c>
      <c r="K8" s="208">
        <f t="shared" si="2"/>
        <v>4.6163386387855859E-2</v>
      </c>
    </row>
    <row r="9" spans="2:11" hidden="1" x14ac:dyDescent="0.3">
      <c r="B9" s="205" t="s">
        <v>172</v>
      </c>
      <c r="C9" s="207">
        <f>[2]Pnl!C14/[2]Pnl!$C$9</f>
        <v>6.7814829800105475E-2</v>
      </c>
      <c r="D9" s="207">
        <f>[2]Pnl!D14/[2]Pnl!$C$9</f>
        <v>4.0403749118903279E-2</v>
      </c>
      <c r="E9" s="207">
        <f>[2]Pnl!E14/[2]Pnl!$C$9</f>
        <v>1.2985844851448967E-2</v>
      </c>
      <c r="F9" s="207">
        <f>[2]Pnl!F14/[2]Pnl!$C$9</f>
        <v>6.3708601311392252E-3</v>
      </c>
      <c r="G9" s="207">
        <f>[2]Pnl!G14/[2]Pnl!$C$9</f>
        <v>1.0614543014785673E-2</v>
      </c>
      <c r="H9" s="207" t="e">
        <f>[2]Pnl!#REF!/[2]Pnl!$C$9</f>
        <v>#REF!</v>
      </c>
      <c r="J9" s="208">
        <f t="shared" si="1"/>
        <v>0</v>
      </c>
      <c r="K9" s="208">
        <f t="shared" si="2"/>
        <v>0</v>
      </c>
    </row>
    <row r="10" spans="2:11" ht="16.2" customHeight="1" x14ac:dyDescent="0.3">
      <c r="B10" s="205" t="s">
        <v>173</v>
      </c>
      <c r="C10" s="207">
        <f>[2]Pnl!C15/[2]BS!C20</f>
        <v>0.31709269893707626</v>
      </c>
      <c r="D10" s="207">
        <f>[2]Pnl!D15/[2]BS!D20</f>
        <v>0.42512957267983209</v>
      </c>
      <c r="E10" s="207">
        <f>[2]Pnl!E15/[2]BS!E20</f>
        <v>0.26924259242020859</v>
      </c>
      <c r="F10" s="207">
        <f>[2]Pnl!F15/[2]BS!F20</f>
        <v>0.1963013416632246</v>
      </c>
      <c r="G10" s="207">
        <f>[2]Pnl!G15/[2]BS!G20</f>
        <v>0.13360926525172012</v>
      </c>
      <c r="H10" s="207">
        <f>[2]Pnl!H15/[2]BS!H20</f>
        <v>0.19032998483942767</v>
      </c>
      <c r="J10" s="208">
        <f t="shared" si="1"/>
        <v>0.24292255137088267</v>
      </c>
      <c r="K10" s="208">
        <f t="shared" si="2"/>
        <v>0.1963013416632246</v>
      </c>
    </row>
    <row r="11" spans="2:11" x14ac:dyDescent="0.3">
      <c r="B11" s="205" t="s">
        <v>174</v>
      </c>
      <c r="C11" s="207">
        <f>[2]Pnl!C17/[2]BS!C20</f>
        <v>0.25329748754238424</v>
      </c>
      <c r="D11" s="207">
        <f>[2]Pnl!D17/[2]BS!D20</f>
        <v>0.36022698016503185</v>
      </c>
      <c r="E11" s="207">
        <f>[2]Pnl!E17/[2]BS!E20</f>
        <v>0.20279061758893241</v>
      </c>
      <c r="F11" s="207">
        <f>[2]Pnl!F17/[2]BS!F20</f>
        <v>0.15757937413529025</v>
      </c>
      <c r="G11" s="207">
        <f>[2]Pnl!G17/[2]BS!G20</f>
        <v>9.4139923240757248E-2</v>
      </c>
      <c r="H11" s="207">
        <f>[2]Pnl!H17/[2]BS!H20</f>
        <v>0.1310775034476539</v>
      </c>
      <c r="J11" s="208">
        <f t="shared" si="1"/>
        <v>0.18916287971553311</v>
      </c>
      <c r="K11" s="208">
        <f t="shared" si="2"/>
        <v>0.15757937413529025</v>
      </c>
    </row>
    <row r="12" spans="2:11" ht="16.2" x14ac:dyDescent="0.3">
      <c r="B12" s="205" t="s">
        <v>349</v>
      </c>
      <c r="C12" s="207">
        <v>0.16589999999999999</v>
      </c>
      <c r="D12" s="207">
        <v>0.16120000000000001</v>
      </c>
      <c r="E12" s="207">
        <v>0.12659999999999999</v>
      </c>
      <c r="F12" s="207">
        <v>0.1241</v>
      </c>
      <c r="G12" s="207">
        <v>0.1139</v>
      </c>
      <c r="H12" s="207">
        <v>0.1132</v>
      </c>
      <c r="J12" s="208">
        <f t="shared" si="1"/>
        <v>0.1278</v>
      </c>
      <c r="K12" s="208">
        <f t="shared" si="2"/>
        <v>0.1241</v>
      </c>
    </row>
    <row r="13" spans="2:11" x14ac:dyDescent="0.3">
      <c r="B13" s="205" t="s">
        <v>256</v>
      </c>
      <c r="C13" s="207">
        <v>0.12839999999999999</v>
      </c>
      <c r="D13" s="207">
        <v>0.1162</v>
      </c>
      <c r="E13" s="207">
        <v>7.6799999999999993E-2</v>
      </c>
      <c r="F13" s="207">
        <v>6.1800000000000001E-2</v>
      </c>
      <c r="G13" s="207">
        <v>5.4600000000000003E-2</v>
      </c>
      <c r="H13" s="207">
        <v>5.8200000000000002E-2</v>
      </c>
      <c r="J13" s="208">
        <f t="shared" si="1"/>
        <v>7.3520000000000002E-2</v>
      </c>
      <c r="K13" s="208">
        <f t="shared" si="2"/>
        <v>6.1800000000000001E-2</v>
      </c>
    </row>
    <row r="14" spans="2:11" ht="16.2" x14ac:dyDescent="0.3">
      <c r="B14" s="103" t="s">
        <v>175</v>
      </c>
      <c r="C14" s="207">
        <f>[2]Pnl!C12/[2]BS!C28</f>
        <v>0.29491505243736216</v>
      </c>
      <c r="D14" s="207">
        <f>[2]Pnl!D12/[2]BS!D28</f>
        <v>0.23812280484307036</v>
      </c>
      <c r="E14" s="207">
        <f>[2]Pnl!E12/[2]BS!E28</f>
        <v>0.12256038674126958</v>
      </c>
      <c r="F14" s="207">
        <f>[2]Pnl!F12/[2]BS!F28</f>
        <v>8.7111975687123394E-2</v>
      </c>
      <c r="G14" s="207">
        <f>[2]Pnl!G12/[2]BS!G28</f>
        <v>7.0957800130437218E-2</v>
      </c>
      <c r="H14" s="207">
        <f>[2]Pnl!H12/[2]BS!H28</f>
        <v>0.13726869917443327</v>
      </c>
      <c r="J14" s="208">
        <f t="shared" si="1"/>
        <v>0.13120433331526676</v>
      </c>
      <c r="K14" s="208">
        <f t="shared" si="2"/>
        <v>0.12256038674126958</v>
      </c>
    </row>
    <row r="15" spans="2:11" x14ac:dyDescent="0.3">
      <c r="C15" s="209"/>
      <c r="D15" s="209"/>
      <c r="E15" s="209"/>
      <c r="F15" s="209"/>
      <c r="G15" s="209"/>
      <c r="H15" s="209"/>
      <c r="J15" s="103"/>
      <c r="K15" s="103"/>
    </row>
    <row r="16" spans="2:11" x14ac:dyDescent="0.3">
      <c r="B16" s="210"/>
      <c r="C16" s="211"/>
      <c r="D16" s="325"/>
      <c r="E16" s="209"/>
      <c r="F16" s="209"/>
      <c r="G16" s="209"/>
      <c r="H16" s="209"/>
      <c r="J16" s="103"/>
      <c r="K16" s="103"/>
    </row>
    <row r="18" spans="2:7" ht="15" thickBot="1" x14ac:dyDescent="0.35">
      <c r="B18" s="104" t="s">
        <v>176</v>
      </c>
    </row>
    <row r="19" spans="2:7" ht="14.4" customHeight="1" x14ac:dyDescent="0.3">
      <c r="B19" s="424" t="s">
        <v>350</v>
      </c>
      <c r="C19" s="425"/>
      <c r="D19" s="425"/>
      <c r="E19" s="425"/>
      <c r="F19" s="425"/>
      <c r="G19" s="426"/>
    </row>
    <row r="20" spans="2:7" ht="15" thickBot="1" x14ac:dyDescent="0.35">
      <c r="B20" s="427"/>
      <c r="C20" s="428"/>
      <c r="D20" s="428"/>
      <c r="E20" s="428"/>
      <c r="F20" s="428"/>
      <c r="G20" s="429"/>
    </row>
    <row r="21" spans="2:7" x14ac:dyDescent="0.3">
      <c r="B21" s="212"/>
      <c r="C21" s="212"/>
      <c r="D21" s="212"/>
      <c r="E21" s="212"/>
      <c r="F21" s="212"/>
      <c r="G21" s="212"/>
    </row>
    <row r="22" spans="2:7" ht="15" thickBot="1" x14ac:dyDescent="0.35">
      <c r="B22" s="326" t="s">
        <v>351</v>
      </c>
      <c r="C22" s="212"/>
      <c r="D22" s="212"/>
      <c r="E22" s="212"/>
      <c r="F22" s="212"/>
      <c r="G22" s="212"/>
    </row>
    <row r="23" spans="2:7" x14ac:dyDescent="0.3">
      <c r="B23" s="424" t="s">
        <v>352</v>
      </c>
      <c r="C23" s="425"/>
      <c r="D23" s="425"/>
      <c r="E23" s="425"/>
      <c r="F23" s="425"/>
      <c r="G23" s="426"/>
    </row>
    <row r="24" spans="2:7" x14ac:dyDescent="0.3">
      <c r="B24" s="430"/>
      <c r="C24" s="431"/>
      <c r="D24" s="431"/>
      <c r="E24" s="431"/>
      <c r="F24" s="431"/>
      <c r="G24" s="432"/>
    </row>
    <row r="25" spans="2:7" x14ac:dyDescent="0.3">
      <c r="B25" s="430"/>
      <c r="C25" s="431"/>
      <c r="D25" s="431"/>
      <c r="E25" s="431"/>
      <c r="F25" s="431"/>
      <c r="G25" s="432"/>
    </row>
    <row r="26" spans="2:7" x14ac:dyDescent="0.3">
      <c r="B26" s="430"/>
      <c r="C26" s="431"/>
      <c r="D26" s="431"/>
      <c r="E26" s="431"/>
      <c r="F26" s="431"/>
      <c r="G26" s="432"/>
    </row>
    <row r="27" spans="2:7" x14ac:dyDescent="0.3">
      <c r="B27" s="430"/>
      <c r="C27" s="431"/>
      <c r="D27" s="431"/>
      <c r="E27" s="431"/>
      <c r="F27" s="431"/>
      <c r="G27" s="432"/>
    </row>
    <row r="28" spans="2:7" x14ac:dyDescent="0.3">
      <c r="B28" s="430"/>
      <c r="C28" s="431"/>
      <c r="D28" s="431"/>
      <c r="E28" s="431"/>
      <c r="F28" s="431"/>
      <c r="G28" s="432"/>
    </row>
    <row r="29" spans="2:7" x14ac:dyDescent="0.3">
      <c r="B29" s="430"/>
      <c r="C29" s="431"/>
      <c r="D29" s="431"/>
      <c r="E29" s="431"/>
      <c r="F29" s="431"/>
      <c r="G29" s="432"/>
    </row>
    <row r="30" spans="2:7" x14ac:dyDescent="0.3">
      <c r="B30" s="430"/>
      <c r="C30" s="431"/>
      <c r="D30" s="431"/>
      <c r="E30" s="431"/>
      <c r="F30" s="431"/>
      <c r="G30" s="432"/>
    </row>
    <row r="31" spans="2:7" x14ac:dyDescent="0.3">
      <c r="B31" s="430"/>
      <c r="C31" s="431"/>
      <c r="D31" s="431"/>
      <c r="E31" s="431"/>
      <c r="F31" s="431"/>
      <c r="G31" s="432"/>
    </row>
    <row r="32" spans="2:7" x14ac:dyDescent="0.3">
      <c r="B32" s="430"/>
      <c r="C32" s="431"/>
      <c r="D32" s="431"/>
      <c r="E32" s="431"/>
      <c r="F32" s="431"/>
      <c r="G32" s="432"/>
    </row>
    <row r="33" spans="2:7" x14ac:dyDescent="0.3">
      <c r="B33" s="430"/>
      <c r="C33" s="431"/>
      <c r="D33" s="431"/>
      <c r="E33" s="431"/>
      <c r="F33" s="431"/>
      <c r="G33" s="432"/>
    </row>
    <row r="34" spans="2:7" x14ac:dyDescent="0.3">
      <c r="B34" s="430"/>
      <c r="C34" s="431"/>
      <c r="D34" s="431"/>
      <c r="E34" s="431"/>
      <c r="F34" s="431"/>
      <c r="G34" s="432"/>
    </row>
    <row r="35" spans="2:7" ht="15" thickBot="1" x14ac:dyDescent="0.35">
      <c r="B35" s="427"/>
      <c r="C35" s="428"/>
      <c r="D35" s="428"/>
      <c r="E35" s="428"/>
      <c r="F35" s="428"/>
      <c r="G35" s="429"/>
    </row>
  </sheetData>
  <mergeCells count="3">
    <mergeCell ref="B2:K2"/>
    <mergeCell ref="B19:G20"/>
    <mergeCell ref="B23:G35"/>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B931490C-ADD9-44F0-96DA-862B95D61C35}">
          <x14:colorSeries rgb="FF376092"/>
          <x14:colorNegative rgb="FFD00000"/>
          <x14:colorAxis rgb="FF000000"/>
          <x14:colorMarkers rgb="FFD00000"/>
          <x14:colorFirst rgb="FFD00000"/>
          <x14:colorLast rgb="FFD00000"/>
          <x14:colorHigh rgb="FFD00000"/>
          <x14:colorLow rgb="FFD00000"/>
          <x14:sparklines>
            <x14:sparkline>
              <xm:f>'Ratio Analysis-Profitability'!D6:H6</xm:f>
              <xm:sqref>I6</xm:sqref>
            </x14:sparkline>
            <x14:sparkline>
              <xm:f>'Ratio Analysis-Profitability'!D7:H7</xm:f>
              <xm:sqref>I7</xm:sqref>
            </x14:sparkline>
            <x14:sparkline>
              <xm:f>'Ratio Analysis-Profitability'!D8:H8</xm:f>
              <xm:sqref>I8</xm:sqref>
            </x14:sparkline>
            <x14:sparkline>
              <xm:f>'Ratio Analysis-Profitability'!D9:H9</xm:f>
              <xm:sqref>I9</xm:sqref>
            </x14:sparkline>
            <x14:sparkline>
              <xm:f>'Ratio Analysis-Profitability'!D10:H10</xm:f>
              <xm:sqref>I10</xm:sqref>
            </x14:sparkline>
            <x14:sparkline>
              <xm:f>'Ratio Analysis-Profitability'!D11:H11</xm:f>
              <xm:sqref>I11</xm:sqref>
            </x14:sparkline>
            <x14:sparkline>
              <xm:f>'Ratio Analysis-Profitability'!D12:H12</xm:f>
              <xm:sqref>I12</xm:sqref>
            </x14:sparkline>
            <x14:sparkline>
              <xm:f>'Ratio Analysis-Profitability'!D13:H13</xm:f>
              <xm:sqref>I13</xm:sqref>
            </x14:sparkline>
            <x14:sparkline>
              <xm:f>'Ratio Analysis-Profitability'!D14:H14</xm:f>
              <xm:sqref>I14</xm:sqref>
            </x14:sparkline>
          </x14:sparklines>
        </x14:sparklineGroup>
      </x14:sparklineGroup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78E1-C8C3-4139-B078-DB1921C87A65}">
  <dimension ref="A1:U56"/>
  <sheetViews>
    <sheetView showGridLines="0" topLeftCell="A33" workbookViewId="0">
      <selection activeCell="A56" sqref="A56"/>
    </sheetView>
  </sheetViews>
  <sheetFormatPr defaultRowHeight="14.4" x14ac:dyDescent="0.3"/>
  <cols>
    <col min="8" max="13" width="18.77734375" customWidth="1"/>
    <col min="14" max="14" width="13.77734375" customWidth="1"/>
  </cols>
  <sheetData>
    <row r="1" spans="1:21" ht="15" thickBot="1" x14ac:dyDescent="0.35">
      <c r="O1" s="416" t="s">
        <v>179</v>
      </c>
      <c r="P1" s="416"/>
      <c r="Q1" s="416"/>
      <c r="R1" s="416"/>
      <c r="S1" s="416"/>
      <c r="T1" s="416"/>
      <c r="U1" s="416"/>
    </row>
    <row r="2" spans="1:21" x14ac:dyDescent="0.3">
      <c r="B2" s="423" t="str">
        <f>"Intrinsic Growth Rate Calculation"&amp;" - "&amp;'Beta-Ismail Industries Ltd'!B4:$E$4</f>
        <v>Intrinsic Growth Rate Calculation - Ismail Industries Limited</v>
      </c>
      <c r="C2" s="423"/>
      <c r="D2" s="423"/>
      <c r="E2" s="423"/>
      <c r="F2" s="423"/>
      <c r="G2" s="423"/>
      <c r="H2" s="423"/>
      <c r="I2" s="423"/>
      <c r="J2" s="213"/>
      <c r="K2" s="213"/>
      <c r="O2" s="216" t="s">
        <v>180</v>
      </c>
      <c r="P2" s="217"/>
      <c r="Q2" s="217"/>
      <c r="R2" s="217"/>
      <c r="S2" s="217"/>
      <c r="T2" s="217"/>
      <c r="U2" s="218"/>
    </row>
    <row r="3" spans="1:21" x14ac:dyDescent="0.3">
      <c r="O3" s="219" t="s">
        <v>182</v>
      </c>
      <c r="U3" s="220"/>
    </row>
    <row r="4" spans="1:21" ht="16.8" customHeight="1" x14ac:dyDescent="0.3">
      <c r="A4" s="214" t="s">
        <v>177</v>
      </c>
      <c r="B4" s="433" t="s">
        <v>178</v>
      </c>
      <c r="C4" s="433"/>
      <c r="D4" s="433"/>
      <c r="E4" s="433"/>
      <c r="F4" s="215"/>
      <c r="G4" s="215"/>
      <c r="H4" s="185">
        <f>BS!C7</f>
        <v>2024</v>
      </c>
      <c r="I4" s="185">
        <f>H4-1</f>
        <v>2023</v>
      </c>
      <c r="J4" s="185">
        <f t="shared" ref="J4:M4" si="0">I4-1</f>
        <v>2022</v>
      </c>
      <c r="K4" s="185">
        <f t="shared" si="0"/>
        <v>2021</v>
      </c>
      <c r="L4" s="185">
        <f t="shared" si="0"/>
        <v>2020</v>
      </c>
      <c r="M4" s="185">
        <f t="shared" si="0"/>
        <v>2019</v>
      </c>
      <c r="O4" s="219"/>
      <c r="U4" s="220"/>
    </row>
    <row r="5" spans="1:21" x14ac:dyDescent="0.3">
      <c r="O5" s="219" t="s">
        <v>183</v>
      </c>
      <c r="U5" s="220"/>
    </row>
    <row r="6" spans="1:21" x14ac:dyDescent="0.3">
      <c r="B6" s="214" t="s">
        <v>181</v>
      </c>
      <c r="H6" s="41">
        <f>BS!C11</f>
        <v>48694561</v>
      </c>
      <c r="I6" s="41">
        <f>BS!D11</f>
        <v>35437631</v>
      </c>
      <c r="J6" s="41">
        <f>BS!E11</f>
        <v>19041579</v>
      </c>
      <c r="K6" s="41">
        <f>BS!F11</f>
        <v>14771622</v>
      </c>
      <c r="L6" s="41">
        <f>BS!G11</f>
        <v>12565528</v>
      </c>
      <c r="M6" s="41">
        <f>BS!H11</f>
        <v>10863987.405999999</v>
      </c>
      <c r="O6" s="219" t="s">
        <v>184</v>
      </c>
      <c r="U6" s="220"/>
    </row>
    <row r="7" spans="1:21" x14ac:dyDescent="0.3">
      <c r="B7" s="59" t="s">
        <v>309</v>
      </c>
      <c r="H7" s="41">
        <f>BS!C9</f>
        <v>811364</v>
      </c>
      <c r="I7" s="41">
        <f>BS!D9</f>
        <v>1530218</v>
      </c>
      <c r="J7" s="41">
        <f>BS!E9</f>
        <v>242333</v>
      </c>
      <c r="K7" s="41">
        <f>BS!F9</f>
        <v>143566</v>
      </c>
      <c r="L7" s="41">
        <f>BS!G9</f>
        <v>51195</v>
      </c>
      <c r="M7" s="41">
        <f>BS!H9</f>
        <v>32394.263999999999</v>
      </c>
      <c r="O7" s="219" t="s">
        <v>185</v>
      </c>
      <c r="U7" s="220"/>
    </row>
    <row r="8" spans="1:21" ht="15" thickBot="1" x14ac:dyDescent="0.35">
      <c r="H8" s="2"/>
      <c r="O8" s="219"/>
      <c r="U8" s="220"/>
    </row>
    <row r="9" spans="1:21" ht="15" thickTop="1" x14ac:dyDescent="0.3">
      <c r="A9" s="214" t="s">
        <v>177</v>
      </c>
      <c r="B9" s="214" t="s">
        <v>188</v>
      </c>
      <c r="H9" s="223">
        <f>H6-H7</f>
        <v>47883197</v>
      </c>
      <c r="I9" s="223">
        <f t="shared" ref="I9:M9" si="1">I6-I7</f>
        <v>33907413</v>
      </c>
      <c r="J9" s="223">
        <f t="shared" si="1"/>
        <v>18799246</v>
      </c>
      <c r="K9" s="223">
        <f t="shared" si="1"/>
        <v>14628056</v>
      </c>
      <c r="L9" s="223">
        <f t="shared" si="1"/>
        <v>12514333</v>
      </c>
      <c r="M9" s="223">
        <f t="shared" si="1"/>
        <v>10831593.141999999</v>
      </c>
      <c r="O9" s="219" t="s">
        <v>186</v>
      </c>
      <c r="U9" s="220"/>
    </row>
    <row r="10" spans="1:21" ht="15" thickBot="1" x14ac:dyDescent="0.35">
      <c r="B10" s="224"/>
      <c r="O10" s="221" t="s">
        <v>187</v>
      </c>
      <c r="P10" s="76"/>
      <c r="Q10" s="76"/>
      <c r="R10" s="76"/>
      <c r="S10" s="76"/>
      <c r="T10" s="76"/>
      <c r="U10" s="222"/>
    </row>
    <row r="11" spans="1:21" x14ac:dyDescent="0.3">
      <c r="A11" s="214" t="s">
        <v>177</v>
      </c>
      <c r="B11" s="214" t="s">
        <v>189</v>
      </c>
      <c r="H11" s="41">
        <f>BS!C16</f>
        <v>43512773</v>
      </c>
      <c r="I11" s="41">
        <f>BS!D16</f>
        <v>29673447</v>
      </c>
      <c r="J11" s="41">
        <f>BS!E16</f>
        <v>16713721</v>
      </c>
      <c r="K11" s="41">
        <f>BS!F16</f>
        <v>14513805</v>
      </c>
      <c r="L11" s="41">
        <f>BS!G16</f>
        <v>11933946</v>
      </c>
      <c r="M11" s="41">
        <f>BS!H16</f>
        <v>10766730.877</v>
      </c>
    </row>
    <row r="12" spans="1:21" ht="15" thickBot="1" x14ac:dyDescent="0.35"/>
    <row r="13" spans="1:21" ht="15" thickTop="1" x14ac:dyDescent="0.3">
      <c r="B13" s="214" t="s">
        <v>190</v>
      </c>
      <c r="H13" s="223">
        <f>SUM(H11:H12)</f>
        <v>43512773</v>
      </c>
      <c r="I13" s="223">
        <f t="shared" ref="I13:M13" si="2">SUM(I11:I12)</f>
        <v>29673447</v>
      </c>
      <c r="J13" s="223">
        <f t="shared" si="2"/>
        <v>16713721</v>
      </c>
      <c r="K13" s="223">
        <f t="shared" si="2"/>
        <v>14513805</v>
      </c>
      <c r="L13" s="223">
        <f t="shared" si="2"/>
        <v>11933946</v>
      </c>
      <c r="M13" s="223">
        <f t="shared" si="2"/>
        <v>10766730.877</v>
      </c>
    </row>
    <row r="14" spans="1:21" ht="15" thickBot="1" x14ac:dyDescent="0.35"/>
    <row r="15" spans="1:21" ht="15.6" thickTop="1" thickBot="1" x14ac:dyDescent="0.35">
      <c r="A15" s="214" t="s">
        <v>177</v>
      </c>
      <c r="B15" s="214" t="s">
        <v>191</v>
      </c>
      <c r="H15" s="225">
        <f>H9-H13</f>
        <v>4370424</v>
      </c>
      <c r="I15" s="225">
        <f t="shared" ref="I15:M15" si="3">I9-I13</f>
        <v>4233966</v>
      </c>
      <c r="J15" s="225">
        <f t="shared" si="3"/>
        <v>2085525</v>
      </c>
      <c r="K15" s="225">
        <f t="shared" si="3"/>
        <v>114251</v>
      </c>
      <c r="L15" s="225">
        <f t="shared" si="3"/>
        <v>580387</v>
      </c>
      <c r="M15" s="225">
        <f t="shared" si="3"/>
        <v>64862.264999998733</v>
      </c>
    </row>
    <row r="17" spans="1:14" x14ac:dyDescent="0.3">
      <c r="B17" s="214" t="s">
        <v>192</v>
      </c>
      <c r="H17" s="41">
        <f>BS!C13</f>
        <v>42222103</v>
      </c>
      <c r="I17" s="41">
        <f>BS!D13</f>
        <v>37617965</v>
      </c>
      <c r="J17" s="41">
        <f>BS!E13</f>
        <v>32302425</v>
      </c>
      <c r="K17" s="41">
        <f>BS!F13</f>
        <v>26218359</v>
      </c>
      <c r="L17" s="41">
        <f>BS!G13</f>
        <v>24942407</v>
      </c>
      <c r="M17" s="41">
        <f>BS!H13</f>
        <v>16100508.128</v>
      </c>
    </row>
    <row r="18" spans="1:14" ht="15" thickBot="1" x14ac:dyDescent="0.35">
      <c r="H18" s="41"/>
      <c r="I18" s="41"/>
      <c r="J18" s="41"/>
      <c r="K18" s="41"/>
      <c r="L18" s="41"/>
      <c r="M18" s="41"/>
    </row>
    <row r="19" spans="1:14" ht="15" thickTop="1" x14ac:dyDescent="0.3">
      <c r="A19" s="214" t="s">
        <v>177</v>
      </c>
      <c r="B19" s="214" t="s">
        <v>193</v>
      </c>
      <c r="H19" s="223">
        <f>SUM(H17:H18)</f>
        <v>42222103</v>
      </c>
      <c r="I19" s="223">
        <f t="shared" ref="I19:M19" si="4">SUM(I17:I18)</f>
        <v>37617965</v>
      </c>
      <c r="J19" s="223">
        <f t="shared" si="4"/>
        <v>32302425</v>
      </c>
      <c r="K19" s="223">
        <f t="shared" si="4"/>
        <v>26218359</v>
      </c>
      <c r="L19" s="223">
        <f t="shared" si="4"/>
        <v>24942407</v>
      </c>
      <c r="M19" s="223">
        <f t="shared" si="4"/>
        <v>16100508.128</v>
      </c>
    </row>
    <row r="21" spans="1:14" ht="15" thickBot="1" x14ac:dyDescent="0.35"/>
    <row r="22" spans="1:14" ht="15.6" thickTop="1" thickBot="1" x14ac:dyDescent="0.35">
      <c r="A22" s="214" t="s">
        <v>177</v>
      </c>
      <c r="B22" s="214" t="s">
        <v>194</v>
      </c>
      <c r="H22" s="225">
        <f>H15+H19</f>
        <v>46592527</v>
      </c>
      <c r="I22" s="225">
        <f t="shared" ref="I22:M22" si="5">I15+I19</f>
        <v>41851931</v>
      </c>
      <c r="J22" s="225">
        <f t="shared" si="5"/>
        <v>34387950</v>
      </c>
      <c r="K22" s="225">
        <f t="shared" si="5"/>
        <v>26332610</v>
      </c>
      <c r="L22" s="225">
        <f t="shared" si="5"/>
        <v>25522794</v>
      </c>
      <c r="M22" s="225">
        <f t="shared" si="5"/>
        <v>16165370.392999999</v>
      </c>
    </row>
    <row r="24" spans="1:14" ht="16.2" x14ac:dyDescent="0.3">
      <c r="A24" s="214" t="s">
        <v>177</v>
      </c>
      <c r="B24" s="214" t="s">
        <v>256</v>
      </c>
      <c r="H24" s="36">
        <f>Pnl!C50</f>
        <v>0.12839999999999999</v>
      </c>
      <c r="I24" s="36">
        <f>Pnl!D50</f>
        <v>0.1162</v>
      </c>
      <c r="J24" s="36">
        <f>Pnl!E50</f>
        <v>7.6799999999999993E-2</v>
      </c>
      <c r="K24" s="36">
        <f>Pnl!F50</f>
        <v>6.1800000000000001E-2</v>
      </c>
      <c r="L24" s="36">
        <f>Pnl!G50</f>
        <v>5.4600000000000003E-2</v>
      </c>
      <c r="M24" s="36">
        <f>Pnl!H50</f>
        <v>5.8200000000000002E-2</v>
      </c>
      <c r="N24" s="226"/>
    </row>
    <row r="26" spans="1:14" x14ac:dyDescent="0.3">
      <c r="A26" s="214" t="s">
        <v>177</v>
      </c>
      <c r="B26" s="214" t="s">
        <v>195</v>
      </c>
      <c r="H26" s="41">
        <f>Pnl!C9*'Intrinsic Growth Rate'!H24</f>
        <v>13981093.881599998</v>
      </c>
      <c r="I26" s="41">
        <f>Pnl!D9*'Intrinsic Growth Rate'!I24</f>
        <v>10330853.495200001</v>
      </c>
      <c r="J26" s="41">
        <f>Pnl!E9*'Intrinsic Growth Rate'!J24</f>
        <v>4244021.6831999999</v>
      </c>
      <c r="K26" s="41">
        <f>Pnl!F9*'Intrinsic Growth Rate'!K24</f>
        <v>2305619.568</v>
      </c>
      <c r="L26" s="41">
        <f>Pnl!G9*'Intrinsic Growth Rate'!L24</f>
        <v>1813717.7058000001</v>
      </c>
      <c r="M26" s="41">
        <f>Pnl!H9*'Intrinsic Growth Rate'!M24</f>
        <v>1751289.7079064001</v>
      </c>
    </row>
    <row r="27" spans="1:14" ht="15" thickBot="1" x14ac:dyDescent="0.35"/>
    <row r="28" spans="1:14" ht="15.6" thickTop="1" thickBot="1" x14ac:dyDescent="0.35">
      <c r="A28" s="214" t="s">
        <v>177</v>
      </c>
      <c r="B28" s="214" t="s">
        <v>196</v>
      </c>
      <c r="H28" s="227">
        <f>H26/H22</f>
        <v>0.30007159477741996</v>
      </c>
      <c r="I28" s="227">
        <f t="shared" ref="I28:M28" si="6">I26/I22</f>
        <v>0.24684293528057286</v>
      </c>
      <c r="J28" s="227">
        <f t="shared" si="6"/>
        <v>0.12341595480975166</v>
      </c>
      <c r="K28" s="227">
        <f t="shared" si="6"/>
        <v>8.7557578530954583E-2</v>
      </c>
      <c r="L28" s="227">
        <f t="shared" si="6"/>
        <v>7.1062662880874247E-2</v>
      </c>
      <c r="M28" s="227">
        <f t="shared" si="6"/>
        <v>0.10833588500172885</v>
      </c>
    </row>
    <row r="31" spans="1:14" x14ac:dyDescent="0.3">
      <c r="A31" s="214" t="s">
        <v>177</v>
      </c>
      <c r="B31" s="433" t="s">
        <v>197</v>
      </c>
      <c r="C31" s="433"/>
      <c r="D31" s="433"/>
      <c r="E31" s="433"/>
      <c r="F31" s="215"/>
      <c r="G31" s="215"/>
      <c r="H31" s="185">
        <f t="shared" ref="H31:M31" si="7">H4</f>
        <v>2024</v>
      </c>
      <c r="I31" s="185">
        <f t="shared" si="7"/>
        <v>2023</v>
      </c>
      <c r="J31" s="185">
        <f t="shared" si="7"/>
        <v>2022</v>
      </c>
      <c r="K31" s="185">
        <f t="shared" si="7"/>
        <v>2021</v>
      </c>
      <c r="L31" s="185">
        <f t="shared" si="7"/>
        <v>2020</v>
      </c>
      <c r="M31" s="185">
        <f t="shared" si="7"/>
        <v>2019</v>
      </c>
    </row>
    <row r="33" spans="1:15" x14ac:dyDescent="0.3">
      <c r="B33" t="s">
        <v>198</v>
      </c>
      <c r="H33" s="41">
        <f>('Raw CF Stm'!C46)*-1</f>
        <v>6724469.676</v>
      </c>
      <c r="I33" s="41">
        <f>('Raw CF Stm'!D46)*-1</f>
        <v>6053958</v>
      </c>
      <c r="J33" s="41">
        <f>('Raw CF Stm'!E46)*-1</f>
        <v>6065632.2709999997</v>
      </c>
      <c r="K33" s="41">
        <f>('Raw CF Stm'!F46)*-1</f>
        <v>2770152.2609999999</v>
      </c>
      <c r="L33" s="41">
        <f>('Raw CF Stm'!G46)*-1</f>
        <v>8068633.6960000005</v>
      </c>
      <c r="M33" s="41">
        <f>('Raw CF Stm'!H46)*-1</f>
        <v>2929808.2919999999</v>
      </c>
    </row>
    <row r="34" spans="1:15" x14ac:dyDescent="0.3">
      <c r="B34" t="s">
        <v>199</v>
      </c>
      <c r="H34" s="228">
        <f t="shared" ref="H34:M34" si="8">(H15-I15)</f>
        <v>136458</v>
      </c>
      <c r="I34" s="228">
        <f t="shared" si="8"/>
        <v>2148441</v>
      </c>
      <c r="J34" s="228">
        <f t="shared" si="8"/>
        <v>1971274</v>
      </c>
      <c r="K34" s="228">
        <f t="shared" si="8"/>
        <v>-466136</v>
      </c>
      <c r="L34" s="228">
        <f t="shared" si="8"/>
        <v>515524.73500000127</v>
      </c>
      <c r="M34" s="228">
        <f t="shared" si="8"/>
        <v>64862.264999998733</v>
      </c>
    </row>
    <row r="36" spans="1:15" x14ac:dyDescent="0.3">
      <c r="B36" t="s">
        <v>200</v>
      </c>
      <c r="H36" s="228">
        <f t="shared" ref="H36:M36" si="9">H26</f>
        <v>13981093.881599998</v>
      </c>
      <c r="I36" s="228">
        <f t="shared" si="9"/>
        <v>10330853.495200001</v>
      </c>
      <c r="J36" s="228">
        <f t="shared" si="9"/>
        <v>4244021.6831999999</v>
      </c>
      <c r="K36" s="228">
        <f t="shared" si="9"/>
        <v>2305619.568</v>
      </c>
      <c r="L36" s="228">
        <f t="shared" si="9"/>
        <v>1813717.7058000001</v>
      </c>
      <c r="M36" s="228">
        <f t="shared" si="9"/>
        <v>1751289.7079064001</v>
      </c>
    </row>
    <row r="37" spans="1:15" x14ac:dyDescent="0.3">
      <c r="B37" t="s">
        <v>201</v>
      </c>
      <c r="H37" s="229">
        <v>0.25</v>
      </c>
      <c r="I37" s="229">
        <f>H37</f>
        <v>0.25</v>
      </c>
      <c r="J37" s="229">
        <f t="shared" ref="J37:M37" si="10">I37</f>
        <v>0.25</v>
      </c>
      <c r="K37" s="229">
        <f t="shared" si="10"/>
        <v>0.25</v>
      </c>
      <c r="L37" s="229">
        <f t="shared" si="10"/>
        <v>0.25</v>
      </c>
      <c r="M37" s="229">
        <f t="shared" si="10"/>
        <v>0.25</v>
      </c>
    </row>
    <row r="38" spans="1:15" x14ac:dyDescent="0.3">
      <c r="B38" t="s">
        <v>202</v>
      </c>
      <c r="H38" s="230">
        <f>H36*(1-H37)</f>
        <v>10485820.411199998</v>
      </c>
      <c r="I38" s="230">
        <f t="shared" ref="I38:M38" si="11">I36*(1-I37)</f>
        <v>7748140.1214000005</v>
      </c>
      <c r="J38" s="230">
        <f t="shared" si="11"/>
        <v>3183016.2623999999</v>
      </c>
      <c r="K38" s="230">
        <f t="shared" si="11"/>
        <v>1729214.676</v>
      </c>
      <c r="L38" s="230">
        <f>L36*(1-L37)</f>
        <v>1360288.27935</v>
      </c>
      <c r="M38" s="230">
        <f t="shared" si="11"/>
        <v>1313467.2809298001</v>
      </c>
    </row>
    <row r="40" spans="1:15" x14ac:dyDescent="0.3">
      <c r="B40" t="s">
        <v>203</v>
      </c>
      <c r="H40" s="228">
        <f>SUM(H33:H34)</f>
        <v>6860927.676</v>
      </c>
      <c r="I40" s="228">
        <f>SUM(I33:I34)</f>
        <v>8202399</v>
      </c>
      <c r="J40" s="228">
        <f t="shared" ref="J40:L40" si="12">SUM(J33:J34)</f>
        <v>8036906.2709999997</v>
      </c>
      <c r="K40" s="228">
        <f>SUM(K33:K34)</f>
        <v>2304016.2609999999</v>
      </c>
      <c r="L40" s="228">
        <f t="shared" si="12"/>
        <v>8584158.4310000017</v>
      </c>
      <c r="M40" s="228">
        <f>SUM(M33:M34)</f>
        <v>2994670.5569999986</v>
      </c>
    </row>
    <row r="42" spans="1:15" x14ac:dyDescent="0.3">
      <c r="B42" t="s">
        <v>204</v>
      </c>
      <c r="H42" s="405">
        <f>H40/H38</f>
        <v>0.65430528150871081</v>
      </c>
      <c r="I42" s="35">
        <f>I40/I38</f>
        <v>1.0586281186817152</v>
      </c>
      <c r="J42" s="35">
        <f>J40/J38</f>
        <v>2.5249340903273167</v>
      </c>
      <c r="K42" s="35">
        <f t="shared" ref="K42:M42" si="13">K40/K38</f>
        <v>1.3324061453894345</v>
      </c>
      <c r="L42" s="35">
        <f>L40/L38</f>
        <v>6.3105435526518354</v>
      </c>
      <c r="M42" s="35">
        <f t="shared" si="13"/>
        <v>2.2799734721066511</v>
      </c>
    </row>
    <row r="44" spans="1:15" x14ac:dyDescent="0.3">
      <c r="N44" s="66" t="s">
        <v>205</v>
      </c>
      <c r="O44" s="231">
        <f>AVERAGE(H42:M42)</f>
        <v>2.3601317767776107</v>
      </c>
    </row>
    <row r="45" spans="1:15" x14ac:dyDescent="0.3">
      <c r="N45" s="66" t="s">
        <v>206</v>
      </c>
      <c r="O45" s="231">
        <f>MEDIAN(H42:M42)</f>
        <v>1.8061898087480428</v>
      </c>
    </row>
    <row r="48" spans="1:15" x14ac:dyDescent="0.3">
      <c r="A48" s="214" t="s">
        <v>177</v>
      </c>
      <c r="B48" s="433" t="s">
        <v>431</v>
      </c>
      <c r="C48" s="433"/>
      <c r="D48" s="433"/>
      <c r="E48" s="433"/>
      <c r="F48" s="215"/>
      <c r="G48" s="215"/>
      <c r="H48" s="185">
        <f>H31</f>
        <v>2024</v>
      </c>
      <c r="I48" s="185">
        <f t="shared" ref="I48:M48" si="14">I31</f>
        <v>2023</v>
      </c>
      <c r="J48" s="185">
        <f t="shared" si="14"/>
        <v>2022</v>
      </c>
      <c r="K48" s="185">
        <f t="shared" si="14"/>
        <v>2021</v>
      </c>
      <c r="L48" s="185">
        <f t="shared" si="14"/>
        <v>2020</v>
      </c>
      <c r="M48" s="185">
        <f t="shared" si="14"/>
        <v>2019</v>
      </c>
    </row>
    <row r="50" spans="2:15" x14ac:dyDescent="0.3">
      <c r="B50" t="str">
        <f>B42</f>
        <v>Reinvestment Rate</v>
      </c>
      <c r="H50" s="36">
        <f>H42</f>
        <v>0.65430528150871081</v>
      </c>
      <c r="I50" s="36">
        <f>I42</f>
        <v>1.0586281186817152</v>
      </c>
      <c r="J50" s="36">
        <f t="shared" ref="J50:M50" si="15">J42</f>
        <v>2.5249340903273167</v>
      </c>
      <c r="K50" s="36">
        <f t="shared" si="15"/>
        <v>1.3324061453894345</v>
      </c>
      <c r="L50" s="36">
        <f t="shared" si="15"/>
        <v>6.3105435526518354</v>
      </c>
      <c r="M50" s="36">
        <f t="shared" si="15"/>
        <v>2.2799734721066511</v>
      </c>
    </row>
    <row r="51" spans="2:15" x14ac:dyDescent="0.3">
      <c r="B51" t="str">
        <f>B28</f>
        <v>Return on Invested Capital (ROIC)</v>
      </c>
      <c r="H51" s="36">
        <f t="shared" ref="H51:M51" si="16">H28</f>
        <v>0.30007159477741996</v>
      </c>
      <c r="I51" s="36">
        <f t="shared" si="16"/>
        <v>0.24684293528057286</v>
      </c>
      <c r="J51" s="36">
        <f t="shared" si="16"/>
        <v>0.12341595480975166</v>
      </c>
      <c r="K51" s="36">
        <f t="shared" si="16"/>
        <v>8.7557578530954583E-2</v>
      </c>
      <c r="L51" s="36">
        <f t="shared" si="16"/>
        <v>7.1062662880874247E-2</v>
      </c>
      <c r="M51" s="36">
        <f t="shared" si="16"/>
        <v>0.10833588500172885</v>
      </c>
    </row>
    <row r="52" spans="2:15" ht="15" thickBot="1" x14ac:dyDescent="0.35"/>
    <row r="53" spans="2:15" ht="15.6" thickTop="1" thickBot="1" x14ac:dyDescent="0.35">
      <c r="B53" s="70" t="s">
        <v>207</v>
      </c>
      <c r="C53" s="70"/>
      <c r="D53" s="70"/>
      <c r="E53" s="70"/>
      <c r="F53" s="70"/>
      <c r="G53" s="70"/>
      <c r="H53" s="227">
        <f>H50*H51</f>
        <v>0.19633842929360756</v>
      </c>
      <c r="I53" s="227">
        <f>I50*I51</f>
        <v>0.26131487218594524</v>
      </c>
      <c r="J53" s="227">
        <f t="shared" ref="J53:M53" si="17">J50*J51</f>
        <v>0.31161715158943754</v>
      </c>
      <c r="K53" s="227">
        <f t="shared" si="17"/>
        <v>0.1166622557100619</v>
      </c>
      <c r="L53" s="227">
        <f t="shared" si="17"/>
        <v>0.4484440290771719</v>
      </c>
      <c r="M53" s="227">
        <f t="shared" si="17"/>
        <v>0.24700294388113858</v>
      </c>
    </row>
    <row r="55" spans="2:15" x14ac:dyDescent="0.3">
      <c r="J55" s="52"/>
      <c r="K55" s="61"/>
      <c r="L55" s="52"/>
      <c r="N55" s="66" t="s">
        <v>205</v>
      </c>
      <c r="O55" s="232">
        <f>AVERAGE(H53:M53)</f>
        <v>0.26356328028956044</v>
      </c>
    </row>
    <row r="56" spans="2:15" x14ac:dyDescent="0.3">
      <c r="J56" s="52"/>
      <c r="K56" s="61"/>
      <c r="L56" s="52"/>
      <c r="N56" s="66" t="s">
        <v>206</v>
      </c>
      <c r="O56" s="233">
        <f>MEDIAN(H53:M53)</f>
        <v>0.25415890803354191</v>
      </c>
    </row>
  </sheetData>
  <mergeCells count="5">
    <mergeCell ref="B48:E48"/>
    <mergeCell ref="B2:I2"/>
    <mergeCell ref="B4:E4"/>
    <mergeCell ref="O1:U1"/>
    <mergeCell ref="B31:E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D8827-7D5A-49FF-B39A-5124A1B4178F}">
  <dimension ref="A2:R86"/>
  <sheetViews>
    <sheetView showGridLines="0" topLeftCell="C29" workbookViewId="0">
      <selection activeCell="K49" sqref="K49"/>
    </sheetView>
  </sheetViews>
  <sheetFormatPr defaultRowHeight="14.4" outlineLevelRow="1" x14ac:dyDescent="0.3"/>
  <cols>
    <col min="1" max="1" width="3.88671875" customWidth="1"/>
    <col min="2" max="2" width="21.44140625" customWidth="1"/>
    <col min="5" max="5" width="17.6640625" customWidth="1"/>
    <col min="10" max="10" width="12.5546875" bestFit="1" customWidth="1"/>
    <col min="11" max="11" width="13.6640625" bestFit="1" customWidth="1"/>
    <col min="12" max="12" width="19.88671875" customWidth="1"/>
    <col min="13" max="13" width="18.44140625" customWidth="1"/>
    <col min="14" max="14" width="15" customWidth="1"/>
    <col min="15" max="15" width="17.88671875" customWidth="1"/>
    <col min="16" max="16" width="15.33203125" bestFit="1" customWidth="1"/>
    <col min="18" max="18" width="17.21875" bestFit="1" customWidth="1"/>
  </cols>
  <sheetData>
    <row r="2" spans="1:15" x14ac:dyDescent="0.3">
      <c r="B2" s="423" t="str">
        <f>"DCF Calculation and Sensitivity Analysis"&amp;" - "&amp;'Beta-Ismail Industries Ltd'!$B$4:$E$4</f>
        <v>DCF Calculation and Sensitivity Analysis - Ismail Industries Limited</v>
      </c>
      <c r="C2" s="423"/>
      <c r="D2" s="423"/>
      <c r="E2" s="423"/>
      <c r="F2" s="423"/>
      <c r="G2" s="423"/>
      <c r="H2" s="423"/>
      <c r="I2" s="423"/>
    </row>
    <row r="3" spans="1:15" x14ac:dyDescent="0.3">
      <c r="J3" s="234" t="s">
        <v>208</v>
      </c>
    </row>
    <row r="4" spans="1:15" ht="14.4" customHeight="1" x14ac:dyDescent="0.3">
      <c r="A4" s="214" t="s">
        <v>177</v>
      </c>
      <c r="B4" s="433" t="s">
        <v>209</v>
      </c>
      <c r="C4" s="433"/>
      <c r="D4" s="433"/>
      <c r="E4" s="433"/>
      <c r="F4" s="433"/>
      <c r="G4" s="433"/>
      <c r="H4" s="215"/>
      <c r="I4" s="215"/>
      <c r="J4" s="51">
        <f>'Intrinsic Growth Rate'!H4</f>
        <v>2024</v>
      </c>
      <c r="K4" s="51">
        <f>J4+1</f>
        <v>2025</v>
      </c>
      <c r="L4" s="51">
        <f t="shared" ref="L4:O4" si="0">K4+1</f>
        <v>2026</v>
      </c>
      <c r="M4" s="51">
        <f t="shared" si="0"/>
        <v>2027</v>
      </c>
      <c r="N4" s="51">
        <f t="shared" si="0"/>
        <v>2028</v>
      </c>
      <c r="O4" s="51">
        <f t="shared" si="0"/>
        <v>2029</v>
      </c>
    </row>
    <row r="6" spans="1:15" x14ac:dyDescent="0.3">
      <c r="B6" t="s">
        <v>200</v>
      </c>
      <c r="J6" s="235">
        <f>'Intrinsic Growth Rate'!H26</f>
        <v>13981093.881599998</v>
      </c>
      <c r="K6" s="228">
        <f>J6*(1+$E$21)</f>
        <v>17534513.43566189</v>
      </c>
      <c r="L6" s="228">
        <f t="shared" ref="L6:O6" si="1">K6*(1+$E$21)</f>
        <v>21991066.223369185</v>
      </c>
      <c r="M6" s="228">
        <f t="shared" si="1"/>
        <v>27580291.601194005</v>
      </c>
      <c r="N6" s="228">
        <f t="shared" si="1"/>
        <v>34590068.397800148</v>
      </c>
      <c r="O6" s="228">
        <f t="shared" si="1"/>
        <v>43381442.410590567</v>
      </c>
    </row>
    <row r="7" spans="1:15" x14ac:dyDescent="0.3">
      <c r="J7" s="236"/>
    </row>
    <row r="8" spans="1:15" x14ac:dyDescent="0.3">
      <c r="B8" t="s">
        <v>210</v>
      </c>
      <c r="J8" s="237">
        <f>'Intrinsic Growth Rate'!H37</f>
        <v>0.25</v>
      </c>
      <c r="K8" s="40">
        <f>J8</f>
        <v>0.25</v>
      </c>
      <c r="L8" s="40">
        <f t="shared" ref="L8:O8" si="2">K8</f>
        <v>0.25</v>
      </c>
      <c r="M8" s="40">
        <f t="shared" si="2"/>
        <v>0.25</v>
      </c>
      <c r="N8" s="40">
        <f t="shared" si="2"/>
        <v>0.25</v>
      </c>
      <c r="O8" s="40">
        <f t="shared" si="2"/>
        <v>0.25</v>
      </c>
    </row>
    <row r="9" spans="1:15" x14ac:dyDescent="0.3">
      <c r="J9" s="236"/>
    </row>
    <row r="10" spans="1:15" x14ac:dyDescent="0.3">
      <c r="B10" t="s">
        <v>202</v>
      </c>
      <c r="J10" s="238">
        <f>J6*(1-J8)</f>
        <v>10485820.411199998</v>
      </c>
      <c r="K10" s="41">
        <f t="shared" ref="K10:O10" si="3">K6*(1-K8)</f>
        <v>13150885.076746417</v>
      </c>
      <c r="L10" s="41">
        <f t="shared" si="3"/>
        <v>16493299.66752689</v>
      </c>
      <c r="M10" s="41">
        <f t="shared" si="3"/>
        <v>20685218.700895503</v>
      </c>
      <c r="N10" s="41">
        <f t="shared" si="3"/>
        <v>25942551.298350111</v>
      </c>
      <c r="O10" s="41">
        <f t="shared" si="3"/>
        <v>32536081.807942927</v>
      </c>
    </row>
    <row r="11" spans="1:15" x14ac:dyDescent="0.3">
      <c r="J11" s="236"/>
    </row>
    <row r="12" spans="1:15" x14ac:dyDescent="0.3">
      <c r="B12" t="s">
        <v>211</v>
      </c>
      <c r="J12" s="30">
        <f>'Intrinsic Growth Rate'!H42</f>
        <v>0.65430528150871081</v>
      </c>
      <c r="K12" s="36">
        <f>J12</f>
        <v>0.65430528150871081</v>
      </c>
      <c r="L12" s="36">
        <f t="shared" ref="L12:O12" si="4">K12</f>
        <v>0.65430528150871081</v>
      </c>
      <c r="M12" s="36">
        <f t="shared" si="4"/>
        <v>0.65430528150871081</v>
      </c>
      <c r="N12" s="36">
        <f t="shared" si="4"/>
        <v>0.65430528150871081</v>
      </c>
      <c r="O12" s="36">
        <f t="shared" si="4"/>
        <v>0.65430528150871081</v>
      </c>
    </row>
    <row r="13" spans="1:15" x14ac:dyDescent="0.3">
      <c r="J13" s="236"/>
    </row>
    <row r="14" spans="1:15" x14ac:dyDescent="0.3">
      <c r="B14" t="s">
        <v>212</v>
      </c>
      <c r="J14" s="238">
        <f>J10*(1-J12)</f>
        <v>3624892.7351999977</v>
      </c>
      <c r="K14" s="41">
        <f t="shared" ref="K14:O14" si="5">K10*(1-K12)</f>
        <v>4546191.514517149</v>
      </c>
      <c r="L14" s="41">
        <f t="shared" si="5"/>
        <v>5701646.5855581816</v>
      </c>
      <c r="M14" s="41">
        <f t="shared" si="5"/>
        <v>7150770.8557368219</v>
      </c>
      <c r="N14" s="41">
        <f t="shared" si="5"/>
        <v>8968202.9680289701</v>
      </c>
      <c r="O14" s="41">
        <f t="shared" si="5"/>
        <v>11247551.641406385</v>
      </c>
    </row>
    <row r="15" spans="1:15" x14ac:dyDescent="0.3">
      <c r="J15" s="236"/>
    </row>
    <row r="16" spans="1:15" x14ac:dyDescent="0.3">
      <c r="B16" t="s">
        <v>213</v>
      </c>
      <c r="J16" s="236"/>
      <c r="K16">
        <v>0.5</v>
      </c>
      <c r="L16">
        <f>K16+1</f>
        <v>1.5</v>
      </c>
      <c r="M16">
        <f t="shared" ref="M16:O16" si="6">L16+1</f>
        <v>2.5</v>
      </c>
      <c r="N16">
        <f t="shared" si="6"/>
        <v>3.5</v>
      </c>
      <c r="O16">
        <f t="shared" si="6"/>
        <v>4.5</v>
      </c>
    </row>
    <row r="17" spans="1:16" x14ac:dyDescent="0.3">
      <c r="B17" t="s">
        <v>214</v>
      </c>
      <c r="J17" s="236"/>
      <c r="K17" s="65">
        <f>1/(1+$E$23)^K16</f>
        <v>0.94330216001502842</v>
      </c>
      <c r="L17" s="65">
        <f t="shared" ref="L17:O17" si="7">1/(1+$E$23)^L16</f>
        <v>0.83936815179080793</v>
      </c>
      <c r="M17" s="65">
        <f t="shared" si="7"/>
        <v>0.74688570015517863</v>
      </c>
      <c r="N17" s="65">
        <f t="shared" si="7"/>
        <v>0.66459306075186775</v>
      </c>
      <c r="O17" s="65">
        <f t="shared" si="7"/>
        <v>0.59136750952356998</v>
      </c>
    </row>
    <row r="18" spans="1:16" ht="15" thickBot="1" x14ac:dyDescent="0.35">
      <c r="J18" s="236"/>
    </row>
    <row r="19" spans="1:16" ht="15.6" thickTop="1" thickBot="1" x14ac:dyDescent="0.35">
      <c r="B19" t="s">
        <v>215</v>
      </c>
      <c r="J19" s="239"/>
      <c r="K19" s="225">
        <f>K14*K17</f>
        <v>4288432.2754860204</v>
      </c>
      <c r="L19" s="225">
        <f t="shared" ref="L19:O19" si="8">L14*L17</f>
        <v>4785780.5566843413</v>
      </c>
      <c r="M19" s="225">
        <f t="shared" si="8"/>
        <v>5340808.4972362425</v>
      </c>
      <c r="N19" s="225">
        <f t="shared" si="8"/>
        <v>5960205.4599663578</v>
      </c>
      <c r="O19" s="225">
        <f t="shared" si="8"/>
        <v>6651436.602416236</v>
      </c>
    </row>
    <row r="21" spans="1:16" outlineLevel="1" x14ac:dyDescent="0.3">
      <c r="B21" s="240" t="s">
        <v>216</v>
      </c>
      <c r="C21" s="240"/>
      <c r="D21" s="240"/>
      <c r="E21" s="241">
        <f>'Intrinsic Growth Rate'!O56</f>
        <v>0.25415890803354191</v>
      </c>
    </row>
    <row r="22" spans="1:16" ht="16.2" outlineLevel="1" x14ac:dyDescent="0.3">
      <c r="B22" s="240" t="s">
        <v>217</v>
      </c>
      <c r="C22" s="240"/>
      <c r="D22" s="240"/>
      <c r="E22" s="242">
        <v>2.5000000000000001E-2</v>
      </c>
    </row>
    <row r="23" spans="1:16" outlineLevel="1" x14ac:dyDescent="0.3">
      <c r="B23" s="240" t="s">
        <v>48</v>
      </c>
      <c r="C23" s="240"/>
      <c r="D23" s="240"/>
      <c r="E23" s="242">
        <f>WACC!L48</f>
        <v>0.12382410269257318</v>
      </c>
    </row>
    <row r="26" spans="1:16" ht="16.2" x14ac:dyDescent="0.3">
      <c r="B26" s="214" t="s">
        <v>218</v>
      </c>
    </row>
    <row r="27" spans="1:16" x14ac:dyDescent="0.3">
      <c r="B27" s="243" t="s">
        <v>219</v>
      </c>
    </row>
    <row r="28" spans="1:16" x14ac:dyDescent="0.3">
      <c r="L28" s="443" t="s">
        <v>48</v>
      </c>
      <c r="M28" s="443"/>
      <c r="N28" s="443"/>
      <c r="O28" s="443"/>
      <c r="P28" s="443"/>
    </row>
    <row r="29" spans="1:16" ht="14.4" customHeight="1" x14ac:dyDescent="0.3">
      <c r="A29" s="214" t="s">
        <v>177</v>
      </c>
      <c r="B29" s="433" t="s">
        <v>220</v>
      </c>
      <c r="C29" s="433"/>
      <c r="D29" s="433"/>
      <c r="E29" s="433"/>
      <c r="F29" s="244"/>
      <c r="G29" s="245"/>
      <c r="K29" s="433" t="s">
        <v>227</v>
      </c>
      <c r="L29" s="433"/>
      <c r="M29" s="433"/>
      <c r="N29" s="433"/>
      <c r="O29" s="433"/>
      <c r="P29" s="433"/>
    </row>
    <row r="30" spans="1:16" ht="20.399999999999999" customHeight="1" x14ac:dyDescent="0.3">
      <c r="G30" s="73"/>
      <c r="H30" s="73"/>
      <c r="I30" s="73"/>
      <c r="J30" s="73"/>
      <c r="K30" s="246">
        <f>E52</f>
        <v>89055207.666987166</v>
      </c>
      <c r="L30" s="247">
        <v>7.0000000000000007E-2</v>
      </c>
      <c r="M30" s="247">
        <v>0.1</v>
      </c>
      <c r="N30" s="248">
        <v>0.12382410269257318</v>
      </c>
      <c r="O30" s="247">
        <v>0.15</v>
      </c>
      <c r="P30" s="247">
        <v>0.18</v>
      </c>
    </row>
    <row r="31" spans="1:16" x14ac:dyDescent="0.3">
      <c r="B31" t="s">
        <v>221</v>
      </c>
      <c r="E31" s="228">
        <f>O14*(1+E21)</f>
        <v>14106217.084637105</v>
      </c>
      <c r="G31" s="73"/>
      <c r="H31" s="73"/>
      <c r="I31" s="73"/>
      <c r="J31" s="438" t="s">
        <v>357</v>
      </c>
      <c r="K31" s="247">
        <v>0.02</v>
      </c>
      <c r="L31" s="249">
        <f t="dataTable" ref="L31:P35" dt2D="1" dtr="1" r1="E23" r2="E22"/>
        <v>216645176.31100658</v>
      </c>
      <c r="M31" s="249">
        <v>121106384.36260158</v>
      </c>
      <c r="N31" s="249">
        <v>84990054.052072465</v>
      </c>
      <c r="O31" s="249">
        <v>60869733.995428145</v>
      </c>
      <c r="P31" s="250">
        <v>43204807.070824556</v>
      </c>
    </row>
    <row r="32" spans="1:16" x14ac:dyDescent="0.3">
      <c r="B32" t="s">
        <v>48</v>
      </c>
      <c r="E32" s="36">
        <f>E23</f>
        <v>0.12382410269257318</v>
      </c>
      <c r="G32" s="73"/>
      <c r="H32" s="73"/>
      <c r="I32" s="73"/>
      <c r="J32" s="438"/>
      <c r="K32" s="247">
        <f>K31+1%</f>
        <v>0.03</v>
      </c>
      <c r="L32" s="249">
        <v>268663166.42572325</v>
      </c>
      <c r="M32" s="249">
        <v>137510599.3678931</v>
      </c>
      <c r="N32" s="249">
        <v>93553635.195347637</v>
      </c>
      <c r="O32" s="249">
        <v>65690828.925802365</v>
      </c>
      <c r="P32" s="250">
        <v>45995617.186394602</v>
      </c>
    </row>
    <row r="33" spans="1:18" x14ac:dyDescent="0.3">
      <c r="B33" t="s">
        <v>222</v>
      </c>
      <c r="E33" s="36">
        <f>E22</f>
        <v>2.5000000000000001E-2</v>
      </c>
      <c r="G33" s="73"/>
      <c r="H33" s="73"/>
      <c r="I33" s="73"/>
      <c r="J33" s="438"/>
      <c r="K33" s="251">
        <v>2.5000000000000001E-2</v>
      </c>
      <c r="L33" s="249">
        <v>239764283.02865839</v>
      </c>
      <c r="M33" s="249">
        <v>128761684.69840428</v>
      </c>
      <c r="N33" s="252">
        <v>89055207.666987166</v>
      </c>
      <c r="O33" s="249">
        <v>63183859.56200777</v>
      </c>
      <c r="P33" s="250">
        <v>44555199.062229425</v>
      </c>
    </row>
    <row r="34" spans="1:18" ht="15" thickBot="1" x14ac:dyDescent="0.35">
      <c r="G34" s="73"/>
      <c r="H34" s="73"/>
      <c r="I34" s="73"/>
      <c r="J34" s="438"/>
      <c r="K34" s="247">
        <f t="shared" ref="K34:K35" si="9">K33+1%</f>
        <v>3.5000000000000003E-2</v>
      </c>
      <c r="L34" s="249">
        <v>305818873.65052098</v>
      </c>
      <c r="M34" s="249">
        <v>147605500.90961096</v>
      </c>
      <c r="N34" s="249">
        <v>98558504.938377008</v>
      </c>
      <c r="O34" s="249">
        <v>68415795.625579089</v>
      </c>
      <c r="P34" s="250">
        <v>47535374.491536707</v>
      </c>
    </row>
    <row r="35" spans="1:18" ht="17.399999999999999" thickTop="1" thickBot="1" x14ac:dyDescent="0.35">
      <c r="B35" s="214" t="s">
        <v>223</v>
      </c>
      <c r="C35" s="225"/>
      <c r="D35" s="225"/>
      <c r="E35" s="253">
        <f>E31/(E32-E33)</f>
        <v>142740654.35756508</v>
      </c>
      <c r="G35" s="73"/>
      <c r="H35" s="73"/>
      <c r="I35" s="73"/>
      <c r="J35" s="438"/>
      <c r="K35" s="247">
        <f t="shared" si="9"/>
        <v>4.5000000000000005E-2</v>
      </c>
      <c r="L35" s="249">
        <v>424717136.76987356</v>
      </c>
      <c r="M35" s="249">
        <v>173301613.92489281</v>
      </c>
      <c r="N35" s="249">
        <v>110473069.05499925</v>
      </c>
      <c r="O35" s="249">
        <v>74644290.93935445</v>
      </c>
      <c r="P35" s="250">
        <v>50957057.391852498</v>
      </c>
      <c r="R35" s="56"/>
    </row>
    <row r="36" spans="1:18" x14ac:dyDescent="0.3">
      <c r="K36" s="254"/>
    </row>
    <row r="37" spans="1:18" ht="15" thickBot="1" x14ac:dyDescent="0.35">
      <c r="B37" s="245" t="s">
        <v>176</v>
      </c>
      <c r="K37" s="255" t="s">
        <v>56</v>
      </c>
    </row>
    <row r="38" spans="1:18" ht="14.4" customHeight="1" x14ac:dyDescent="0.3">
      <c r="B38" s="444" t="s">
        <v>224</v>
      </c>
      <c r="C38" s="445"/>
      <c r="D38" s="445"/>
      <c r="E38" s="445"/>
      <c r="F38" s="445"/>
      <c r="G38" s="445"/>
      <c r="H38" s="445"/>
      <c r="I38" s="446"/>
      <c r="J38" s="256"/>
      <c r="K38" s="243" t="s">
        <v>225</v>
      </c>
    </row>
    <row r="39" spans="1:18" x14ac:dyDescent="0.3">
      <c r="B39" s="447"/>
      <c r="C39" s="448"/>
      <c r="D39" s="448"/>
      <c r="E39" s="448"/>
      <c r="F39" s="448"/>
      <c r="G39" s="448"/>
      <c r="H39" s="448"/>
      <c r="I39" s="449"/>
      <c r="J39" s="256"/>
    </row>
    <row r="40" spans="1:18" x14ac:dyDescent="0.3">
      <c r="B40" s="447"/>
      <c r="C40" s="448"/>
      <c r="D40" s="448"/>
      <c r="E40" s="448"/>
      <c r="F40" s="448"/>
      <c r="G40" s="448"/>
      <c r="H40" s="448"/>
      <c r="I40" s="449"/>
      <c r="J40" s="256"/>
    </row>
    <row r="41" spans="1:18" x14ac:dyDescent="0.3">
      <c r="B41" s="447"/>
      <c r="C41" s="448"/>
      <c r="D41" s="448"/>
      <c r="E41" s="448"/>
      <c r="F41" s="448"/>
      <c r="G41" s="448"/>
      <c r="H41" s="448"/>
      <c r="I41" s="449"/>
      <c r="J41" s="256"/>
    </row>
    <row r="42" spans="1:18" ht="15" thickBot="1" x14ac:dyDescent="0.35">
      <c r="B42" s="450"/>
      <c r="C42" s="451"/>
      <c r="D42" s="451"/>
      <c r="E42" s="451"/>
      <c r="F42" s="451"/>
      <c r="G42" s="451"/>
      <c r="H42" s="451"/>
      <c r="I42" s="452"/>
      <c r="J42" s="256"/>
    </row>
    <row r="43" spans="1:18" x14ac:dyDescent="0.3">
      <c r="B43" s="256"/>
      <c r="C43" s="256"/>
      <c r="D43" s="256"/>
      <c r="E43" s="256"/>
      <c r="F43" s="256"/>
      <c r="G43" s="256"/>
      <c r="H43" s="256"/>
      <c r="I43" s="256"/>
      <c r="J43" s="256"/>
      <c r="K43" s="433" t="s">
        <v>235</v>
      </c>
      <c r="L43" s="433"/>
      <c r="M43" s="433"/>
      <c r="N43" s="433"/>
      <c r="O43" s="433"/>
      <c r="P43" s="433"/>
    </row>
    <row r="44" spans="1:18" x14ac:dyDescent="0.3">
      <c r="A44" s="214" t="s">
        <v>177</v>
      </c>
      <c r="B44" s="433" t="s">
        <v>226</v>
      </c>
      <c r="C44" s="433"/>
      <c r="D44" s="433"/>
      <c r="E44" s="433"/>
      <c r="K44" s="246">
        <f>E54</f>
        <v>1342.0632064556798</v>
      </c>
      <c r="L44" s="247">
        <v>7.0000000000000007E-2</v>
      </c>
      <c r="M44" s="247">
        <v>0.1</v>
      </c>
      <c r="N44" s="251">
        <v>0.12382410269257318</v>
      </c>
      <c r="O44" s="247">
        <v>0.15</v>
      </c>
      <c r="P44" s="247">
        <v>0.18</v>
      </c>
    </row>
    <row r="45" spans="1:18" x14ac:dyDescent="0.3">
      <c r="K45" s="247">
        <v>0.02</v>
      </c>
      <c r="L45" s="249">
        <f t="dataTable" ref="L45:P49" dt2D="1" dtr="1" r1="E23" r2="E22" ca="1"/>
        <v>3264.8457917288915</v>
      </c>
      <c r="M45" s="249">
        <v>1825.0748808278618</v>
      </c>
      <c r="N45" s="249">
        <v>1280.8012854732672</v>
      </c>
      <c r="O45" s="249">
        <v>917.30772991382889</v>
      </c>
      <c r="P45" s="250">
        <v>651.09703779023801</v>
      </c>
    </row>
    <row r="46" spans="1:18" x14ac:dyDescent="0.3">
      <c r="B46" t="s">
        <v>215</v>
      </c>
      <c r="E46" s="228">
        <f>SUM(K19:O19)</f>
        <v>27026663.391789198</v>
      </c>
      <c r="K46" s="247">
        <v>0.03</v>
      </c>
      <c r="L46" s="249">
        <v>4048.7576194098651</v>
      </c>
      <c r="M46" s="249">
        <v>2072.2866269585834</v>
      </c>
      <c r="N46" s="249">
        <v>1409.854571282938</v>
      </c>
      <c r="O46" s="249">
        <v>989.961696934825</v>
      </c>
      <c r="P46" s="250">
        <v>693.15458468088798</v>
      </c>
    </row>
    <row r="47" spans="1:18" x14ac:dyDescent="0.3">
      <c r="B47" t="s">
        <v>228</v>
      </c>
      <c r="E47" s="41">
        <f>E35*O17</f>
        <v>84412185.275197968</v>
      </c>
      <c r="K47" s="251">
        <v>2.5000000000000001E-2</v>
      </c>
      <c r="L47" s="249">
        <v>3613.2510484759905</v>
      </c>
      <c r="M47" s="249">
        <v>1940.4403623555318</v>
      </c>
      <c r="N47" s="252">
        <v>1342.0632064556798</v>
      </c>
      <c r="O47" s="249">
        <v>952.18163408390694</v>
      </c>
      <c r="P47" s="250">
        <v>671.44746370506869</v>
      </c>
    </row>
    <row r="48" spans="1:18" x14ac:dyDescent="0.3">
      <c r="B48" s="70" t="s">
        <v>229</v>
      </c>
      <c r="C48" s="70"/>
      <c r="D48" s="70"/>
      <c r="E48" s="327">
        <f>E46+E47</f>
        <v>111438848.66698717</v>
      </c>
      <c r="K48" s="247">
        <v>3.5000000000000003E-2</v>
      </c>
      <c r="L48" s="249">
        <v>4608.6946391819902</v>
      </c>
      <c r="M48" s="249">
        <v>2224.4169322697967</v>
      </c>
      <c r="N48" s="249">
        <v>1485.2780272625141</v>
      </c>
      <c r="O48" s="249">
        <v>1031.0269826423444</v>
      </c>
      <c r="P48" s="250">
        <v>716.35874848262597</v>
      </c>
    </row>
    <row r="49" spans="1:16" x14ac:dyDescent="0.3">
      <c r="B49" s="70"/>
      <c r="C49" s="70"/>
      <c r="D49" s="70"/>
      <c r="E49" s="261"/>
      <c r="K49" s="247">
        <v>4.5000000000000005E-2</v>
      </c>
      <c r="L49" s="249">
        <v>6400.4931024527887</v>
      </c>
      <c r="M49" s="249">
        <v>2611.6577094256127</v>
      </c>
      <c r="N49" s="249">
        <v>1664.8306726470396</v>
      </c>
      <c r="O49" s="249">
        <v>1124.8904928309601</v>
      </c>
      <c r="P49" s="250">
        <v>767.92355693093293</v>
      </c>
    </row>
    <row r="50" spans="1:16" x14ac:dyDescent="0.3">
      <c r="B50" s="259" t="s">
        <v>230</v>
      </c>
      <c r="C50" s="70"/>
      <c r="D50" s="70"/>
      <c r="E50" s="228">
        <f>BS!C9</f>
        <v>811364</v>
      </c>
      <c r="K50" s="255" t="s">
        <v>56</v>
      </c>
    </row>
    <row r="51" spans="1:16" x14ac:dyDescent="0.3">
      <c r="B51" s="259" t="s">
        <v>231</v>
      </c>
      <c r="C51" s="70"/>
      <c r="D51" s="70"/>
      <c r="E51" s="228">
        <f>BS!C17</f>
        <v>23195005</v>
      </c>
      <c r="K51" s="243" t="s">
        <v>236</v>
      </c>
    </row>
    <row r="52" spans="1:16" x14ac:dyDescent="0.3">
      <c r="B52" s="260" t="s">
        <v>232</v>
      </c>
      <c r="C52" s="228"/>
      <c r="D52" s="228"/>
      <c r="E52" s="261">
        <f>E48+E50-E51</f>
        <v>89055207.666987166</v>
      </c>
      <c r="K52" s="243"/>
    </row>
    <row r="53" spans="1:16" ht="15" thickBot="1" x14ac:dyDescent="0.35">
      <c r="B53" s="259" t="s">
        <v>233</v>
      </c>
      <c r="E53" s="41">
        <f>Pnl!C19</f>
        <v>66356940</v>
      </c>
    </row>
    <row r="54" spans="1:16" ht="15.6" thickTop="1" thickBot="1" x14ac:dyDescent="0.35">
      <c r="A54" s="214" t="s">
        <v>177</v>
      </c>
      <c r="B54" s="253" t="s">
        <v>234</v>
      </c>
      <c r="C54" s="253"/>
      <c r="D54" s="253"/>
      <c r="E54" s="253">
        <f>(E52*1000)/(E53)</f>
        <v>1342.0632064556798</v>
      </c>
    </row>
    <row r="56" spans="1:16" ht="14.4" customHeight="1" x14ac:dyDescent="0.3">
      <c r="B56" t="s">
        <v>353</v>
      </c>
      <c r="E56" s="2">
        <v>1703.97</v>
      </c>
    </row>
    <row r="58" spans="1:16" x14ac:dyDescent="0.3">
      <c r="B58" s="70" t="s">
        <v>354</v>
      </c>
      <c r="C58" s="70"/>
      <c r="D58" s="70"/>
      <c r="E58" s="262">
        <f>(E56-E54)/E54</f>
        <v>0.26966449255404107</v>
      </c>
      <c r="F58" s="62" t="str">
        <f>B67</f>
        <v>Explanation</v>
      </c>
    </row>
    <row r="60" spans="1:16" x14ac:dyDescent="0.3">
      <c r="A60" s="214" t="s">
        <v>177</v>
      </c>
      <c r="B60" s="70" t="s">
        <v>355</v>
      </c>
      <c r="E60" s="263">
        <f>E56/E54</f>
        <v>1.269664492554041</v>
      </c>
    </row>
    <row r="65" spans="1:13" x14ac:dyDescent="0.3">
      <c r="K65" s="243"/>
    </row>
    <row r="67" spans="1:13" ht="15" thickBot="1" x14ac:dyDescent="0.35">
      <c r="A67" s="214" t="s">
        <v>177</v>
      </c>
      <c r="B67" s="62" t="s">
        <v>237</v>
      </c>
    </row>
    <row r="68" spans="1:13" ht="110.4" customHeight="1" x14ac:dyDescent="0.3">
      <c r="B68" s="434" t="s">
        <v>356</v>
      </c>
      <c r="C68" s="435"/>
      <c r="D68" s="435"/>
      <c r="E68" s="435"/>
      <c r="F68" s="435"/>
      <c r="G68" s="435"/>
      <c r="H68" s="435"/>
      <c r="I68" s="435"/>
      <c r="J68" s="435"/>
      <c r="K68" s="435"/>
      <c r="L68" s="435"/>
      <c r="M68" s="436"/>
    </row>
    <row r="69" spans="1:13" ht="6.6" customHeight="1" x14ac:dyDescent="0.3">
      <c r="B69" s="437"/>
      <c r="C69" s="438"/>
      <c r="D69" s="438"/>
      <c r="E69" s="438"/>
      <c r="F69" s="438"/>
      <c r="G69" s="438"/>
      <c r="H69" s="438"/>
      <c r="I69" s="438"/>
      <c r="J69" s="438"/>
      <c r="K69" s="438"/>
      <c r="L69" s="438"/>
      <c r="M69" s="439"/>
    </row>
    <row r="70" spans="1:13" x14ac:dyDescent="0.3">
      <c r="B70" s="437"/>
      <c r="C70" s="438"/>
      <c r="D70" s="438"/>
      <c r="E70" s="438"/>
      <c r="F70" s="438"/>
      <c r="G70" s="438"/>
      <c r="H70" s="438"/>
      <c r="I70" s="438"/>
      <c r="J70" s="438"/>
      <c r="K70" s="438"/>
      <c r="L70" s="438"/>
      <c r="M70" s="439"/>
    </row>
    <row r="71" spans="1:13" x14ac:dyDescent="0.3">
      <c r="B71" s="437"/>
      <c r="C71" s="438"/>
      <c r="D71" s="438"/>
      <c r="E71" s="438"/>
      <c r="F71" s="438"/>
      <c r="G71" s="438"/>
      <c r="H71" s="438"/>
      <c r="I71" s="438"/>
      <c r="J71" s="438"/>
      <c r="K71" s="438"/>
      <c r="L71" s="438"/>
      <c r="M71" s="439"/>
    </row>
    <row r="72" spans="1:13" x14ac:dyDescent="0.3">
      <c r="B72" s="437"/>
      <c r="C72" s="438"/>
      <c r="D72" s="438"/>
      <c r="E72" s="438"/>
      <c r="F72" s="438"/>
      <c r="G72" s="438"/>
      <c r="H72" s="438"/>
      <c r="I72" s="438"/>
      <c r="J72" s="438"/>
      <c r="K72" s="438"/>
      <c r="L72" s="438"/>
      <c r="M72" s="439"/>
    </row>
    <row r="73" spans="1:13" x14ac:dyDescent="0.3">
      <c r="B73" s="437"/>
      <c r="C73" s="438"/>
      <c r="D73" s="438"/>
      <c r="E73" s="438"/>
      <c r="F73" s="438"/>
      <c r="G73" s="438"/>
      <c r="H73" s="438"/>
      <c r="I73" s="438"/>
      <c r="J73" s="438"/>
      <c r="K73" s="438"/>
      <c r="L73" s="438"/>
      <c r="M73" s="439"/>
    </row>
    <row r="74" spans="1:13" x14ac:dyDescent="0.3">
      <c r="B74" s="437"/>
      <c r="C74" s="438"/>
      <c r="D74" s="438"/>
      <c r="E74" s="438"/>
      <c r="F74" s="438"/>
      <c r="G74" s="438"/>
      <c r="H74" s="438"/>
      <c r="I74" s="438"/>
      <c r="J74" s="438"/>
      <c r="K74" s="438"/>
      <c r="L74" s="438"/>
      <c r="M74" s="439"/>
    </row>
    <row r="75" spans="1:13" x14ac:dyDescent="0.3">
      <c r="B75" s="437"/>
      <c r="C75" s="438"/>
      <c r="D75" s="438"/>
      <c r="E75" s="438"/>
      <c r="F75" s="438"/>
      <c r="G75" s="438"/>
      <c r="H75" s="438"/>
      <c r="I75" s="438"/>
      <c r="J75" s="438"/>
      <c r="K75" s="438"/>
      <c r="L75" s="438"/>
      <c r="M75" s="439"/>
    </row>
    <row r="76" spans="1:13" x14ac:dyDescent="0.3">
      <c r="B76" s="437"/>
      <c r="C76" s="438"/>
      <c r="D76" s="438"/>
      <c r="E76" s="438"/>
      <c r="F76" s="438"/>
      <c r="G76" s="438"/>
      <c r="H76" s="438"/>
      <c r="I76" s="438"/>
      <c r="J76" s="438"/>
      <c r="K76" s="438"/>
      <c r="L76" s="438"/>
      <c r="M76" s="439"/>
    </row>
    <row r="77" spans="1:13" x14ac:dyDescent="0.3">
      <c r="B77" s="437"/>
      <c r="C77" s="438"/>
      <c r="D77" s="438"/>
      <c r="E77" s="438"/>
      <c r="F77" s="438"/>
      <c r="G77" s="438"/>
      <c r="H77" s="438"/>
      <c r="I77" s="438"/>
      <c r="J77" s="438"/>
      <c r="K77" s="438"/>
      <c r="L77" s="438"/>
      <c r="M77" s="439"/>
    </row>
    <row r="78" spans="1:13" x14ac:dyDescent="0.3">
      <c r="B78" s="437"/>
      <c r="C78" s="438"/>
      <c r="D78" s="438"/>
      <c r="E78" s="438"/>
      <c r="F78" s="438"/>
      <c r="G78" s="438"/>
      <c r="H78" s="438"/>
      <c r="I78" s="438"/>
      <c r="J78" s="438"/>
      <c r="K78" s="438"/>
      <c r="L78" s="438"/>
      <c r="M78" s="439"/>
    </row>
    <row r="79" spans="1:13" ht="15" thickBot="1" x14ac:dyDescent="0.35">
      <c r="B79" s="440"/>
      <c r="C79" s="441"/>
      <c r="D79" s="441"/>
      <c r="E79" s="441"/>
      <c r="F79" s="441"/>
      <c r="G79" s="441"/>
      <c r="H79" s="441"/>
      <c r="I79" s="441"/>
      <c r="J79" s="441"/>
      <c r="K79" s="441"/>
      <c r="L79" s="441"/>
      <c r="M79" s="442"/>
    </row>
    <row r="80" spans="1:13" x14ac:dyDescent="0.3">
      <c r="B80" s="293"/>
      <c r="C80" s="293"/>
      <c r="D80" s="293"/>
      <c r="E80" s="293"/>
      <c r="F80" s="293"/>
      <c r="G80" s="293"/>
      <c r="H80" s="293"/>
      <c r="I80" s="293"/>
      <c r="J80" s="293"/>
      <c r="K80" s="293"/>
      <c r="L80" s="293"/>
      <c r="M80" s="293"/>
    </row>
    <row r="81" spans="2:13" x14ac:dyDescent="0.3">
      <c r="B81" s="293"/>
      <c r="C81" s="293"/>
      <c r="D81" s="293"/>
      <c r="E81" s="293"/>
      <c r="F81" s="293"/>
      <c r="G81" s="293"/>
      <c r="H81" s="293"/>
      <c r="I81" s="293"/>
      <c r="J81" s="293"/>
      <c r="K81" s="293"/>
      <c r="L81" s="293"/>
      <c r="M81" s="293"/>
    </row>
    <row r="82" spans="2:13" x14ac:dyDescent="0.3">
      <c r="B82" s="293"/>
      <c r="C82" s="293"/>
      <c r="D82" s="293"/>
      <c r="E82" s="293"/>
      <c r="F82" s="293"/>
      <c r="G82" s="293"/>
      <c r="H82" s="293"/>
      <c r="I82" s="293"/>
      <c r="J82" s="293"/>
      <c r="K82" s="293"/>
      <c r="L82" s="293"/>
      <c r="M82" s="293"/>
    </row>
    <row r="83" spans="2:13" x14ac:dyDescent="0.3">
      <c r="B83" s="293"/>
      <c r="C83" s="293"/>
      <c r="D83" s="293"/>
      <c r="E83" s="293"/>
      <c r="F83" s="293"/>
      <c r="G83" s="293"/>
      <c r="H83" s="293"/>
      <c r="I83" s="293"/>
      <c r="J83" s="293"/>
      <c r="K83" s="293"/>
      <c r="L83" s="293"/>
      <c r="M83" s="293"/>
    </row>
    <row r="84" spans="2:13" x14ac:dyDescent="0.3">
      <c r="B84" s="293"/>
      <c r="C84" s="293"/>
      <c r="D84" s="293"/>
      <c r="E84" s="293"/>
      <c r="F84" s="293"/>
      <c r="G84" s="293"/>
      <c r="H84" s="293"/>
      <c r="I84" s="293"/>
      <c r="J84" s="293"/>
      <c r="K84" s="293"/>
      <c r="L84" s="293"/>
      <c r="M84" s="293"/>
    </row>
    <row r="85" spans="2:13" x14ac:dyDescent="0.3">
      <c r="B85" s="293"/>
      <c r="C85" s="293"/>
      <c r="D85" s="293"/>
      <c r="E85" s="293"/>
      <c r="F85" s="293"/>
      <c r="G85" s="293"/>
      <c r="H85" s="293"/>
      <c r="I85" s="293"/>
      <c r="J85" s="293"/>
      <c r="K85" s="293"/>
      <c r="L85" s="293"/>
      <c r="M85" s="293"/>
    </row>
    <row r="86" spans="2:13" x14ac:dyDescent="0.3">
      <c r="B86" s="293"/>
      <c r="C86" s="293"/>
      <c r="D86" s="293"/>
      <c r="E86" s="293"/>
      <c r="F86" s="293"/>
      <c r="G86" s="293"/>
      <c r="H86" s="293"/>
      <c r="I86" s="293"/>
      <c r="J86" s="293"/>
      <c r="K86" s="293"/>
      <c r="L86" s="293"/>
      <c r="M86" s="293"/>
    </row>
  </sheetData>
  <mergeCells count="10">
    <mergeCell ref="B68:M79"/>
    <mergeCell ref="J31:J35"/>
    <mergeCell ref="L28:P28"/>
    <mergeCell ref="K43:P43"/>
    <mergeCell ref="B2:I2"/>
    <mergeCell ref="B4:G4"/>
    <mergeCell ref="B29:E29"/>
    <mergeCell ref="K29:P29"/>
    <mergeCell ref="B38:I42"/>
    <mergeCell ref="B44:E44"/>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EDD9-84E0-4693-8121-43BED6A91669}">
  <dimension ref="A2:P66"/>
  <sheetViews>
    <sheetView showGridLines="0" topLeftCell="D43" workbookViewId="0">
      <selection activeCell="L48" sqref="L48"/>
    </sheetView>
  </sheetViews>
  <sheetFormatPr defaultRowHeight="14.4" outlineLevelRow="1" x14ac:dyDescent="0.3"/>
  <cols>
    <col min="1" max="1" width="3.88671875" customWidth="1"/>
    <col min="2" max="2" width="21.44140625" customWidth="1"/>
    <col min="5" max="5" width="17.6640625" customWidth="1"/>
    <col min="10" max="10" width="12.5546875" bestFit="1" customWidth="1"/>
    <col min="11" max="11" width="13.6640625" bestFit="1" customWidth="1"/>
    <col min="12" max="12" width="19.88671875" customWidth="1"/>
    <col min="13" max="13" width="18.44140625" customWidth="1"/>
    <col min="14" max="14" width="15" customWidth="1"/>
    <col min="15" max="15" width="17.88671875" customWidth="1"/>
    <col min="16" max="16" width="15.33203125" bestFit="1" customWidth="1"/>
  </cols>
  <sheetData>
    <row r="2" spans="1:15" x14ac:dyDescent="0.3">
      <c r="B2" s="423" t="str">
        <f>"Further Sensitivity Analysis"&amp;" - "&amp;'Beta-Ismail Industries Ltd'!$B$4:$E$4</f>
        <v>Further Sensitivity Analysis - Ismail Industries Limited</v>
      </c>
      <c r="C2" s="423"/>
      <c r="D2" s="423"/>
      <c r="E2" s="423"/>
      <c r="F2" s="423"/>
      <c r="G2" s="423"/>
      <c r="H2" s="423"/>
      <c r="I2" s="423"/>
    </row>
    <row r="3" spans="1:15" x14ac:dyDescent="0.3">
      <c r="J3" s="234" t="s">
        <v>208</v>
      </c>
    </row>
    <row r="4" spans="1:15" ht="14.4" customHeight="1" x14ac:dyDescent="0.3">
      <c r="A4" s="214" t="s">
        <v>177</v>
      </c>
      <c r="B4" s="433" t="s">
        <v>209</v>
      </c>
      <c r="C4" s="433"/>
      <c r="D4" s="433"/>
      <c r="E4" s="433"/>
      <c r="F4" s="433"/>
      <c r="G4" s="433"/>
      <c r="H4" s="215"/>
      <c r="I4" s="215"/>
      <c r="J4" s="51">
        <f>'Intrinsic Growth Rate'!H4</f>
        <v>2024</v>
      </c>
      <c r="K4" s="51">
        <f>J4+1</f>
        <v>2025</v>
      </c>
      <c r="L4" s="51">
        <f t="shared" ref="L4:O4" si="0">K4+1</f>
        <v>2026</v>
      </c>
      <c r="M4" s="51">
        <f t="shared" si="0"/>
        <v>2027</v>
      </c>
      <c r="N4" s="51">
        <f t="shared" si="0"/>
        <v>2028</v>
      </c>
      <c r="O4" s="51">
        <f t="shared" si="0"/>
        <v>2029</v>
      </c>
    </row>
    <row r="6" spans="1:15" x14ac:dyDescent="0.3">
      <c r="B6" t="s">
        <v>200</v>
      </c>
      <c r="J6" s="235">
        <f>'Intrinsic Growth Rate'!H26</f>
        <v>13981093.881599998</v>
      </c>
      <c r="K6" s="56">
        <f>J6*(1+$E$21)</f>
        <v>17534513.43566189</v>
      </c>
      <c r="L6" s="56">
        <f t="shared" ref="L6:O6" si="1">K6*(1+$E$21)</f>
        <v>21991066.223369185</v>
      </c>
      <c r="M6" s="56">
        <f t="shared" si="1"/>
        <v>27580291.601194005</v>
      </c>
      <c r="N6" s="56">
        <f t="shared" si="1"/>
        <v>34590068.397800148</v>
      </c>
      <c r="O6" s="56">
        <f t="shared" si="1"/>
        <v>43381442.410590567</v>
      </c>
    </row>
    <row r="7" spans="1:15" x14ac:dyDescent="0.3">
      <c r="J7" s="236"/>
    </row>
    <row r="8" spans="1:15" x14ac:dyDescent="0.3">
      <c r="B8" t="s">
        <v>210</v>
      </c>
      <c r="J8" s="237">
        <f>'Intrinsic Growth Rate'!H37</f>
        <v>0.25</v>
      </c>
      <c r="K8" s="40">
        <f>J8</f>
        <v>0.25</v>
      </c>
      <c r="L8" s="40">
        <f t="shared" ref="L8:O8" si="2">K8</f>
        <v>0.25</v>
      </c>
      <c r="M8" s="40">
        <f t="shared" si="2"/>
        <v>0.25</v>
      </c>
      <c r="N8" s="40">
        <f t="shared" si="2"/>
        <v>0.25</v>
      </c>
      <c r="O8" s="40">
        <f t="shared" si="2"/>
        <v>0.25</v>
      </c>
    </row>
    <row r="9" spans="1:15" x14ac:dyDescent="0.3">
      <c r="J9" s="236"/>
    </row>
    <row r="10" spans="1:15" x14ac:dyDescent="0.3">
      <c r="B10" t="s">
        <v>202</v>
      </c>
      <c r="J10" s="238">
        <f>J6*(1-J8)</f>
        <v>10485820.411199998</v>
      </c>
      <c r="K10" s="41">
        <f t="shared" ref="K10:O10" si="3">K6*(1-K8)</f>
        <v>13150885.076746417</v>
      </c>
      <c r="L10" s="41">
        <f t="shared" si="3"/>
        <v>16493299.66752689</v>
      </c>
      <c r="M10" s="41">
        <f t="shared" si="3"/>
        <v>20685218.700895503</v>
      </c>
      <c r="N10" s="41">
        <f t="shared" si="3"/>
        <v>25942551.298350111</v>
      </c>
      <c r="O10" s="41">
        <f t="shared" si="3"/>
        <v>32536081.807942927</v>
      </c>
    </row>
    <row r="11" spans="1:15" x14ac:dyDescent="0.3">
      <c r="J11" s="236"/>
    </row>
    <row r="12" spans="1:15" x14ac:dyDescent="0.3">
      <c r="B12" t="s">
        <v>211</v>
      </c>
      <c r="J12" s="30">
        <f>'Intrinsic Growth Rate'!H42</f>
        <v>0.65430528150871081</v>
      </c>
      <c r="K12" s="36">
        <f>J12</f>
        <v>0.65430528150871081</v>
      </c>
      <c r="L12" s="36">
        <f t="shared" ref="L12:O12" si="4">K12</f>
        <v>0.65430528150871081</v>
      </c>
      <c r="M12" s="36">
        <f t="shared" si="4"/>
        <v>0.65430528150871081</v>
      </c>
      <c r="N12" s="36">
        <f t="shared" si="4"/>
        <v>0.65430528150871081</v>
      </c>
      <c r="O12" s="36">
        <f t="shared" si="4"/>
        <v>0.65430528150871081</v>
      </c>
    </row>
    <row r="13" spans="1:15" x14ac:dyDescent="0.3">
      <c r="J13" s="236"/>
    </row>
    <row r="14" spans="1:15" x14ac:dyDescent="0.3">
      <c r="B14" t="s">
        <v>212</v>
      </c>
      <c r="J14" s="238">
        <f>J10*(1-J12)</f>
        <v>3624892.7351999977</v>
      </c>
      <c r="K14" s="41">
        <f t="shared" ref="K14:O14" si="5">K10*(1-K12)</f>
        <v>4546191.514517149</v>
      </c>
      <c r="L14" s="41">
        <f t="shared" si="5"/>
        <v>5701646.5855581816</v>
      </c>
      <c r="M14" s="41">
        <f t="shared" si="5"/>
        <v>7150770.8557368219</v>
      </c>
      <c r="N14" s="41">
        <f t="shared" si="5"/>
        <v>8968202.9680289701</v>
      </c>
      <c r="O14" s="41">
        <f t="shared" si="5"/>
        <v>11247551.641406385</v>
      </c>
    </row>
    <row r="15" spans="1:15" x14ac:dyDescent="0.3">
      <c r="J15" s="236"/>
    </row>
    <row r="16" spans="1:15" x14ac:dyDescent="0.3">
      <c r="B16" t="s">
        <v>213</v>
      </c>
      <c r="J16" s="236"/>
      <c r="K16">
        <v>0.5</v>
      </c>
      <c r="L16">
        <f>K16+1</f>
        <v>1.5</v>
      </c>
      <c r="M16">
        <f t="shared" ref="M16:O16" si="6">L16+1</f>
        <v>2.5</v>
      </c>
      <c r="N16">
        <f t="shared" si="6"/>
        <v>3.5</v>
      </c>
      <c r="O16">
        <f t="shared" si="6"/>
        <v>4.5</v>
      </c>
    </row>
    <row r="17" spans="1:16" x14ac:dyDescent="0.3">
      <c r="B17" t="s">
        <v>214</v>
      </c>
      <c r="J17" s="236"/>
      <c r="K17" s="65">
        <f>1/(1+$E$23)^K16</f>
        <v>0.94330216001502842</v>
      </c>
      <c r="L17" s="65">
        <f t="shared" ref="L17:O17" si="7">1/(1+$E$23)^L16</f>
        <v>0.83936815179080793</v>
      </c>
      <c r="M17" s="65">
        <f t="shared" si="7"/>
        <v>0.74688570015517863</v>
      </c>
      <c r="N17" s="65">
        <f t="shared" si="7"/>
        <v>0.66459306075186775</v>
      </c>
      <c r="O17" s="65">
        <f t="shared" si="7"/>
        <v>0.59136750952356998</v>
      </c>
    </row>
    <row r="18" spans="1:16" ht="15" thickBot="1" x14ac:dyDescent="0.35">
      <c r="J18" s="236"/>
    </row>
    <row r="19" spans="1:16" ht="15.6" thickTop="1" thickBot="1" x14ac:dyDescent="0.35">
      <c r="B19" t="s">
        <v>215</v>
      </c>
      <c r="J19" s="239"/>
      <c r="K19" s="225">
        <f>K14*K17</f>
        <v>4288432.2754860204</v>
      </c>
      <c r="L19" s="225">
        <f t="shared" ref="L19:O19" si="8">L14*L17</f>
        <v>4785780.5566843413</v>
      </c>
      <c r="M19" s="225">
        <f t="shared" si="8"/>
        <v>5340808.4972362425</v>
      </c>
      <c r="N19" s="225">
        <f t="shared" si="8"/>
        <v>5960205.4599663578</v>
      </c>
      <c r="O19" s="225">
        <f t="shared" si="8"/>
        <v>6651436.602416236</v>
      </c>
    </row>
    <row r="21" spans="1:16" outlineLevel="1" x14ac:dyDescent="0.3">
      <c r="B21" s="240" t="s">
        <v>216</v>
      </c>
      <c r="C21" s="240"/>
      <c r="D21" s="240"/>
      <c r="E21" s="241">
        <f>'Intrinsic Growth Rate'!O56</f>
        <v>0.25415890803354191</v>
      </c>
    </row>
    <row r="22" spans="1:16" ht="16.2" outlineLevel="1" x14ac:dyDescent="0.3">
      <c r="B22" s="240" t="s">
        <v>217</v>
      </c>
      <c r="C22" s="240"/>
      <c r="D22" s="240"/>
      <c r="E22" s="242">
        <v>2.5000000000000001E-2</v>
      </c>
    </row>
    <row r="23" spans="1:16" outlineLevel="1" x14ac:dyDescent="0.3">
      <c r="B23" s="240" t="s">
        <v>48</v>
      </c>
      <c r="C23" s="240"/>
      <c r="D23" s="240"/>
      <c r="E23" s="242">
        <f>WACC!L48</f>
        <v>0.12382410269257318</v>
      </c>
    </row>
    <row r="26" spans="1:16" ht="16.2" x14ac:dyDescent="0.3">
      <c r="B26" s="214" t="s">
        <v>218</v>
      </c>
    </row>
    <row r="27" spans="1:16" x14ac:dyDescent="0.3">
      <c r="B27" s="243" t="s">
        <v>219</v>
      </c>
    </row>
    <row r="28" spans="1:16" x14ac:dyDescent="0.3">
      <c r="K28" s="264" t="s">
        <v>238</v>
      </c>
    </row>
    <row r="29" spans="1:16" ht="14.4" customHeight="1" x14ac:dyDescent="0.3">
      <c r="A29" s="214" t="s">
        <v>177</v>
      </c>
      <c r="B29" s="433" t="s">
        <v>220</v>
      </c>
      <c r="C29" s="433"/>
      <c r="D29" s="433"/>
      <c r="E29" s="433"/>
      <c r="F29" s="244"/>
      <c r="G29" s="245"/>
      <c r="K29" s="433" t="s">
        <v>227</v>
      </c>
      <c r="L29" s="433"/>
      <c r="M29" s="433"/>
      <c r="N29" s="433"/>
      <c r="O29" s="433"/>
      <c r="P29" s="433"/>
    </row>
    <row r="30" spans="1:16" ht="20.399999999999999" customHeight="1" x14ac:dyDescent="0.3">
      <c r="G30" s="73"/>
      <c r="H30" s="73"/>
      <c r="I30" s="73"/>
      <c r="J30" s="73"/>
      <c r="K30" s="246">
        <f>E52</f>
        <v>89055207.666987166</v>
      </c>
      <c r="L30" s="247">
        <v>7.0000000000000007E-2</v>
      </c>
      <c r="M30" s="247">
        <v>0.1</v>
      </c>
      <c r="N30" s="248">
        <v>0.12382410269257318</v>
      </c>
      <c r="O30" s="247">
        <v>0.15</v>
      </c>
      <c r="P30" s="247">
        <v>0.18</v>
      </c>
    </row>
    <row r="31" spans="1:16" x14ac:dyDescent="0.3">
      <c r="B31" t="s">
        <v>221</v>
      </c>
      <c r="E31" s="228">
        <f>O14*(1+E21)</f>
        <v>14106217.084637105</v>
      </c>
      <c r="G31" s="73"/>
      <c r="H31" s="73"/>
      <c r="I31" s="73"/>
      <c r="J31" s="73"/>
      <c r="K31" s="247">
        <v>0.15</v>
      </c>
      <c r="L31" s="328">
        <f t="dataTable" ref="L31:P37" dt2D="1" dtr="1" r1="E23" r2="E21" ca="1"/>
        <v>138430760.14580774</v>
      </c>
      <c r="M31" s="328">
        <v>72183928.071392179</v>
      </c>
      <c r="N31" s="328">
        <v>48388987.532903492</v>
      </c>
      <c r="O31" s="328">
        <v>32815513.347496793</v>
      </c>
      <c r="P31" s="407">
        <v>21537977.919605255</v>
      </c>
    </row>
    <row r="32" spans="1:16" x14ac:dyDescent="0.3">
      <c r="B32" t="s">
        <v>48</v>
      </c>
      <c r="E32" s="36">
        <f>E23</f>
        <v>0.12382410269257318</v>
      </c>
      <c r="G32" s="73"/>
      <c r="H32" s="73"/>
      <c r="I32" s="73"/>
      <c r="J32" s="73"/>
      <c r="K32" s="247">
        <v>0.18</v>
      </c>
      <c r="L32" s="328">
        <v>163381871.22601643</v>
      </c>
      <c r="M32" s="328">
        <v>86166332.307998985</v>
      </c>
      <c r="N32" s="328">
        <v>58468276.343189985</v>
      </c>
      <c r="O32" s="328">
        <v>40366245.255501159</v>
      </c>
      <c r="P32" s="407">
        <v>27281449.025386952</v>
      </c>
    </row>
    <row r="33" spans="1:16" x14ac:dyDescent="0.3">
      <c r="B33" t="s">
        <v>222</v>
      </c>
      <c r="E33" s="36">
        <f>E22</f>
        <v>2.5000000000000001E-2</v>
      </c>
      <c r="G33" s="73"/>
      <c r="H33" s="73"/>
      <c r="I33" s="73"/>
      <c r="J33" s="73"/>
      <c r="K33" s="247">
        <v>0.21</v>
      </c>
      <c r="L33" s="328">
        <v>191592410.95098135</v>
      </c>
      <c r="M33" s="328">
        <v>101930174.09355964</v>
      </c>
      <c r="N33" s="328">
        <v>69806161.892228514</v>
      </c>
      <c r="O33" s="328">
        <v>48839030.315707773</v>
      </c>
      <c r="P33" s="407">
        <v>33708403.034418926</v>
      </c>
    </row>
    <row r="34" spans="1:16" ht="15" thickBot="1" x14ac:dyDescent="0.35">
      <c r="G34" s="73"/>
      <c r="H34" s="73"/>
      <c r="I34" s="73"/>
      <c r="J34" s="73"/>
      <c r="K34" s="247">
        <v>0.24</v>
      </c>
      <c r="L34" s="328">
        <v>223399907.77427047</v>
      </c>
      <c r="M34" s="328">
        <v>119657497.70036811</v>
      </c>
      <c r="N34" s="328">
        <v>82529897.783939317</v>
      </c>
      <c r="O34" s="328">
        <v>58326001.494773269</v>
      </c>
      <c r="P34" s="407">
        <v>40886208.770250633</v>
      </c>
    </row>
    <row r="35" spans="1:16" ht="17.399999999999999" thickTop="1" thickBot="1" x14ac:dyDescent="0.35">
      <c r="B35" s="214" t="s">
        <v>223</v>
      </c>
      <c r="C35" s="225"/>
      <c r="D35" s="225"/>
      <c r="E35" s="253">
        <f>E31/(E32-E33)</f>
        <v>142740654.35756508</v>
      </c>
      <c r="G35" s="73"/>
      <c r="H35" s="73"/>
      <c r="I35" s="73"/>
      <c r="J35" s="73"/>
      <c r="K35" s="251">
        <v>0.25415890803354191</v>
      </c>
      <c r="L35" s="328">
        <v>239764283.02865839</v>
      </c>
      <c r="M35" s="328">
        <v>128761684.69840428</v>
      </c>
      <c r="N35" s="409">
        <v>89055207.666987166</v>
      </c>
      <c r="O35" s="328">
        <v>63183859.56200777</v>
      </c>
      <c r="P35" s="407">
        <v>44555199.062229425</v>
      </c>
    </row>
    <row r="36" spans="1:16" x14ac:dyDescent="0.3">
      <c r="B36" s="214"/>
      <c r="C36" s="228"/>
      <c r="D36" s="228"/>
      <c r="E36" s="261"/>
      <c r="G36" s="73"/>
      <c r="H36" s="73"/>
      <c r="I36" s="73"/>
      <c r="J36" s="73"/>
      <c r="K36" s="247">
        <v>0.28000000000000003</v>
      </c>
      <c r="L36" s="328">
        <v>272036906.5745247</v>
      </c>
      <c r="M36" s="328">
        <v>146688744.15777379</v>
      </c>
      <c r="N36" s="328">
        <v>101888552.80672258</v>
      </c>
      <c r="O36" s="328">
        <v>72725072.124817431</v>
      </c>
      <c r="P36" s="407">
        <v>51750409.802576959</v>
      </c>
    </row>
    <row r="37" spans="1:16" x14ac:dyDescent="0.3">
      <c r="K37" s="247">
        <v>0.31</v>
      </c>
      <c r="L37" s="328">
        <v>313696899.92162466</v>
      </c>
      <c r="M37" s="328">
        <v>169784095.37269515</v>
      </c>
      <c r="N37" s="328">
        <v>118395408.68484336</v>
      </c>
      <c r="O37" s="328">
        <v>84976010.750154644</v>
      </c>
      <c r="P37" s="407">
        <v>60970643.365257651</v>
      </c>
    </row>
    <row r="38" spans="1:16" x14ac:dyDescent="0.3">
      <c r="B38" s="245"/>
      <c r="K38" s="255" t="s">
        <v>56</v>
      </c>
    </row>
    <row r="39" spans="1:16" ht="14.4" customHeight="1" x14ac:dyDescent="0.3">
      <c r="B39" s="256"/>
      <c r="C39" s="256"/>
      <c r="D39" s="256"/>
      <c r="E39" s="256"/>
      <c r="F39" s="256"/>
      <c r="G39" s="256"/>
      <c r="H39" s="256"/>
      <c r="I39" s="256"/>
      <c r="J39" s="256"/>
      <c r="K39" s="243" t="s">
        <v>239</v>
      </c>
    </row>
    <row r="40" spans="1:16" x14ac:dyDescent="0.3">
      <c r="B40" s="256"/>
      <c r="C40" s="256"/>
      <c r="D40" s="256"/>
      <c r="E40" s="256"/>
      <c r="F40" s="256"/>
      <c r="G40" s="256"/>
      <c r="H40" s="256"/>
      <c r="I40" s="256"/>
      <c r="J40" s="256"/>
    </row>
    <row r="41" spans="1:16" x14ac:dyDescent="0.3">
      <c r="B41" s="256"/>
      <c r="C41" s="256"/>
      <c r="D41" s="256"/>
      <c r="E41" s="256"/>
      <c r="F41" s="256"/>
      <c r="G41" s="256"/>
      <c r="H41" s="256"/>
      <c r="I41" s="256"/>
      <c r="J41" s="256"/>
    </row>
    <row r="42" spans="1:16" x14ac:dyDescent="0.3">
      <c r="B42" s="256"/>
      <c r="C42" s="256"/>
      <c r="D42" s="256"/>
      <c r="E42" s="256"/>
      <c r="F42" s="256"/>
      <c r="G42" s="256"/>
      <c r="H42" s="256"/>
      <c r="I42" s="256"/>
      <c r="J42" s="256"/>
    </row>
    <row r="43" spans="1:16" x14ac:dyDescent="0.3">
      <c r="B43" s="256"/>
      <c r="C43" s="256"/>
      <c r="D43" s="256"/>
      <c r="E43" s="256"/>
      <c r="F43" s="256"/>
      <c r="G43" s="256"/>
      <c r="H43" s="256"/>
      <c r="I43" s="256"/>
      <c r="J43" s="256"/>
      <c r="K43" s="264" t="s">
        <v>240</v>
      </c>
    </row>
    <row r="44" spans="1:16" ht="14.4" customHeight="1" x14ac:dyDescent="0.3">
      <c r="A44" s="214" t="s">
        <v>177</v>
      </c>
      <c r="B44" s="433" t="s">
        <v>419</v>
      </c>
      <c r="C44" s="433"/>
      <c r="D44" s="433"/>
      <c r="E44" s="433"/>
      <c r="K44" s="433" t="s">
        <v>227</v>
      </c>
      <c r="L44" s="433"/>
      <c r="M44" s="433"/>
      <c r="N44" s="433"/>
      <c r="O44" s="433"/>
      <c r="P44" s="433"/>
    </row>
    <row r="45" spans="1:16" x14ac:dyDescent="0.3">
      <c r="K45" s="246">
        <f>E52</f>
        <v>89055207.666987166</v>
      </c>
      <c r="L45" s="247">
        <v>7.0000000000000007E-2</v>
      </c>
      <c r="M45" s="247">
        <v>0.1</v>
      </c>
      <c r="N45" s="248">
        <v>0.12382410269257318</v>
      </c>
      <c r="O45" s="247">
        <v>0.15</v>
      </c>
      <c r="P45" s="247">
        <v>0.18</v>
      </c>
    </row>
    <row r="46" spans="1:16" x14ac:dyDescent="0.3">
      <c r="B46" t="s">
        <v>215</v>
      </c>
      <c r="E46" s="56">
        <f>SUM(K19:O19)</f>
        <v>27026663.391789198</v>
      </c>
      <c r="K46" s="247">
        <v>0.15</v>
      </c>
      <c r="L46" s="249">
        <f t="dataTable" ref="L46:P50" dt2D="1" dtr="1" r1="E23" r2="J8"/>
        <v>274717339.56581289</v>
      </c>
      <c r="M46" s="249">
        <v>148914394.79152489</v>
      </c>
      <c r="N46" s="249">
        <v>103913720.82258546</v>
      </c>
      <c r="O46" s="249">
        <v>74592859.636942148</v>
      </c>
      <c r="P46" s="250">
        <v>53480377.737193346</v>
      </c>
    </row>
    <row r="47" spans="1:16" x14ac:dyDescent="0.3">
      <c r="B47" t="s">
        <v>228</v>
      </c>
      <c r="E47" s="2">
        <f>E35*O17</f>
        <v>84412185.275197968</v>
      </c>
      <c r="K47" s="247">
        <v>0.2</v>
      </c>
      <c r="L47" s="249">
        <v>257240811.29723567</v>
      </c>
      <c r="M47" s="249">
        <v>138838039.74496457</v>
      </c>
      <c r="N47" s="249">
        <v>96484464.244786322</v>
      </c>
      <c r="O47" s="249">
        <v>68888359.599474967</v>
      </c>
      <c r="P47" s="250">
        <v>49017788.399711385</v>
      </c>
    </row>
    <row r="48" spans="1:16" x14ac:dyDescent="0.3">
      <c r="B48" s="70" t="s">
        <v>229</v>
      </c>
      <c r="C48" s="70"/>
      <c r="D48" s="70"/>
      <c r="E48" s="257">
        <f>E46+E47</f>
        <v>111438848.66698717</v>
      </c>
      <c r="K48" s="251">
        <v>0.25</v>
      </c>
      <c r="L48" s="249">
        <v>239764283.02865839</v>
      </c>
      <c r="M48" s="249">
        <v>128761684.69840428</v>
      </c>
      <c r="N48" s="252">
        <v>89055207.666987166</v>
      </c>
      <c r="O48" s="249">
        <v>63183859.56200777</v>
      </c>
      <c r="P48" s="250">
        <v>44555199.062229425</v>
      </c>
    </row>
    <row r="49" spans="1:16" x14ac:dyDescent="0.3">
      <c r="B49" s="70"/>
      <c r="C49" s="70"/>
      <c r="D49" s="70"/>
      <c r="E49" s="258"/>
      <c r="K49" s="247">
        <v>0.3</v>
      </c>
      <c r="L49" s="249">
        <v>222287754.76008114</v>
      </c>
      <c r="M49" s="249">
        <v>118685329.65184397</v>
      </c>
      <c r="N49" s="249">
        <v>81625951.08918801</v>
      </c>
      <c r="O49" s="249">
        <v>57479359.524540573</v>
      </c>
      <c r="P49" s="250">
        <v>40092609.724747449</v>
      </c>
    </row>
    <row r="50" spans="1:16" x14ac:dyDescent="0.3">
      <c r="B50" s="259" t="s">
        <v>230</v>
      </c>
      <c r="C50" s="70"/>
      <c r="D50" s="70"/>
      <c r="E50" s="228">
        <f>'DCF &amp; Sensitivity Analysis'!E50</f>
        <v>811364</v>
      </c>
      <c r="K50" s="247">
        <v>0.35</v>
      </c>
      <c r="L50" s="249">
        <v>204811226.49150395</v>
      </c>
      <c r="M50" s="249">
        <v>108608974.60528372</v>
      </c>
      <c r="N50" s="249">
        <v>74196694.511388898</v>
      </c>
      <c r="O50" s="249">
        <v>51774859.487073421</v>
      </c>
      <c r="P50" s="250">
        <v>35630020.387265503</v>
      </c>
    </row>
    <row r="51" spans="1:16" x14ac:dyDescent="0.3">
      <c r="B51" s="259" t="s">
        <v>231</v>
      </c>
      <c r="C51" s="70"/>
      <c r="D51" s="70"/>
      <c r="E51" s="228">
        <f>'DCF &amp; Sensitivity Analysis'!E51</f>
        <v>23195005</v>
      </c>
      <c r="K51" s="255" t="s">
        <v>56</v>
      </c>
    </row>
    <row r="52" spans="1:16" x14ac:dyDescent="0.3">
      <c r="B52" s="260" t="s">
        <v>232</v>
      </c>
      <c r="C52" s="228"/>
      <c r="D52" s="228"/>
      <c r="E52" s="261">
        <f>E48+E50-E51</f>
        <v>89055207.666987166</v>
      </c>
      <c r="K52" s="243" t="s">
        <v>241</v>
      </c>
    </row>
    <row r="53" spans="1:16" ht="15" thickBot="1" x14ac:dyDescent="0.35">
      <c r="B53" s="259" t="s">
        <v>233</v>
      </c>
      <c r="E53" s="228">
        <f>'DCF &amp; Sensitivity Analysis'!E53</f>
        <v>66356940</v>
      </c>
    </row>
    <row r="54" spans="1:16" ht="15.6" thickTop="1" thickBot="1" x14ac:dyDescent="0.35">
      <c r="A54" s="214"/>
      <c r="B54" s="253" t="s">
        <v>234</v>
      </c>
      <c r="C54" s="253"/>
      <c r="D54" s="253"/>
      <c r="E54" s="253">
        <f>(E52*1000)/(E53)</f>
        <v>1342.0632064556798</v>
      </c>
    </row>
    <row r="56" spans="1:16" ht="14.4" customHeight="1" x14ac:dyDescent="0.3">
      <c r="E56" s="329"/>
    </row>
    <row r="57" spans="1:16" x14ac:dyDescent="0.3">
      <c r="K57" s="264" t="s">
        <v>242</v>
      </c>
    </row>
    <row r="58" spans="1:16" ht="14.4" customHeight="1" x14ac:dyDescent="0.3">
      <c r="B58" s="70"/>
      <c r="C58" s="70"/>
      <c r="D58" s="70"/>
      <c r="E58" s="330"/>
      <c r="F58" s="62"/>
      <c r="K58" s="433" t="s">
        <v>227</v>
      </c>
      <c r="L58" s="433"/>
      <c r="M58" s="433"/>
      <c r="N58" s="433"/>
      <c r="O58" s="433"/>
      <c r="P58" s="433"/>
    </row>
    <row r="59" spans="1:16" x14ac:dyDescent="0.3">
      <c r="K59" s="246">
        <f>E52</f>
        <v>89055207.666987166</v>
      </c>
      <c r="L59" s="247">
        <v>7.0000000000000007E-2</v>
      </c>
      <c r="M59" s="247">
        <v>0.1</v>
      </c>
      <c r="N59" s="248">
        <v>0.12382410269257318</v>
      </c>
      <c r="O59" s="247">
        <v>0.15</v>
      </c>
      <c r="P59" s="247">
        <v>0.18</v>
      </c>
    </row>
    <row r="60" spans="1:16" x14ac:dyDescent="0.3">
      <c r="A60" s="214"/>
      <c r="B60" s="70"/>
      <c r="E60" s="263"/>
      <c r="K60" s="247">
        <v>0.5</v>
      </c>
      <c r="L60" s="249">
        <f t="dataTable" ref="L60:P64" dt2D="1" dtr="1" r1="E23" r2="J12" ca="1"/>
        <v>356777378.83383936</v>
      </c>
      <c r="M60" s="249">
        <v>196227343.79902411</v>
      </c>
      <c r="N60" s="249">
        <v>138797370.31735283</v>
      </c>
      <c r="O60" s="249">
        <v>101378013.4091979</v>
      </c>
      <c r="P60" s="250">
        <v>74434210.823669299</v>
      </c>
    </row>
    <row r="61" spans="1:16" x14ac:dyDescent="0.3">
      <c r="K61" s="247">
        <v>0.55000000000000004</v>
      </c>
      <c r="L61" s="249">
        <v>318861276.8504554</v>
      </c>
      <c r="M61" s="249">
        <v>174366245.31912172</v>
      </c>
      <c r="N61" s="249">
        <v>122679269.18561757</v>
      </c>
      <c r="O61" s="249">
        <v>89001847.96827811</v>
      </c>
      <c r="P61" s="250">
        <v>64752425.641302377</v>
      </c>
    </row>
    <row r="62" spans="1:16" x14ac:dyDescent="0.3">
      <c r="K62" s="406">
        <v>0.6</v>
      </c>
      <c r="L62" s="249">
        <v>280945174.86707151</v>
      </c>
      <c r="M62" s="249">
        <v>152505146.8392193</v>
      </c>
      <c r="N62" s="328">
        <v>106561168.0538823</v>
      </c>
      <c r="O62" s="249">
        <v>76625682.527358323</v>
      </c>
      <c r="P62" s="250">
        <v>55070640.458935454</v>
      </c>
    </row>
    <row r="63" spans="1:16" x14ac:dyDescent="0.3">
      <c r="K63" s="248">
        <v>0.65430528150871081</v>
      </c>
      <c r="L63" s="249">
        <v>239764283.02865839</v>
      </c>
      <c r="M63" s="249">
        <v>128761684.69840428</v>
      </c>
      <c r="N63" s="252">
        <v>89055207.666987166</v>
      </c>
      <c r="O63" s="249">
        <v>63183859.56200777</v>
      </c>
      <c r="P63" s="250">
        <v>44555199.062229425</v>
      </c>
    </row>
    <row r="64" spans="1:16" x14ac:dyDescent="0.3">
      <c r="K64" s="247">
        <v>0.75</v>
      </c>
      <c r="L64" s="249">
        <v>167196868.91691968</v>
      </c>
      <c r="M64" s="249">
        <v>86921851.399512053</v>
      </c>
      <c r="N64" s="249">
        <v>58206864.658676416</v>
      </c>
      <c r="O64" s="249">
        <v>39497186.204598948</v>
      </c>
      <c r="P64" s="250">
        <v>26025284.91183465</v>
      </c>
    </row>
    <row r="65" spans="11:11" x14ac:dyDescent="0.3">
      <c r="K65" s="255" t="s">
        <v>56</v>
      </c>
    </row>
    <row r="66" spans="11:11" x14ac:dyDescent="0.3">
      <c r="K66" s="243" t="s">
        <v>415</v>
      </c>
    </row>
  </sheetData>
  <mergeCells count="7">
    <mergeCell ref="K58:P58"/>
    <mergeCell ref="B2:I2"/>
    <mergeCell ref="B4:G4"/>
    <mergeCell ref="B29:E29"/>
    <mergeCell ref="K29:P29"/>
    <mergeCell ref="B44:E44"/>
    <mergeCell ref="K44:P44"/>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0BBE-9DD4-45E2-8D8C-0D6FF59603E6}">
  <dimension ref="B2:K29"/>
  <sheetViews>
    <sheetView showGridLines="0" workbookViewId="0">
      <selection activeCell="D19" sqref="D19"/>
    </sheetView>
  </sheetViews>
  <sheetFormatPr defaultRowHeight="14.4" x14ac:dyDescent="0.3"/>
  <cols>
    <col min="2" max="2" width="26.109375" bestFit="1" customWidth="1"/>
    <col min="3" max="5" width="16.77734375" customWidth="1"/>
    <col min="8" max="8" width="30.77734375" customWidth="1"/>
    <col min="9" max="11" width="14.77734375" customWidth="1"/>
  </cols>
  <sheetData>
    <row r="2" spans="2:11" x14ac:dyDescent="0.3">
      <c r="B2" s="423" t="str">
        <f>"Comprehensive Sceario Analysis-DCF Method"&amp;" - "&amp;'Beta-Ismail Industries Ltd'!$B$4:$E$4</f>
        <v>Comprehensive Sceario Analysis-DCF Method - Ismail Industries Limited</v>
      </c>
      <c r="C2" s="423"/>
      <c r="D2" s="423"/>
      <c r="E2" s="423"/>
      <c r="F2" s="213"/>
      <c r="G2" s="213"/>
      <c r="H2" s="213"/>
      <c r="I2" s="213"/>
    </row>
    <row r="4" spans="2:11" x14ac:dyDescent="0.3">
      <c r="B4" s="51" t="s">
        <v>232</v>
      </c>
      <c r="H4" s="51" t="s">
        <v>422</v>
      </c>
    </row>
    <row r="5" spans="2:11" x14ac:dyDescent="0.3">
      <c r="B5" s="51" t="s">
        <v>420</v>
      </c>
      <c r="C5" s="51" t="s">
        <v>416</v>
      </c>
      <c r="D5" s="51" t="s">
        <v>417</v>
      </c>
      <c r="E5" s="51" t="s">
        <v>418</v>
      </c>
      <c r="H5" s="51" t="s">
        <v>420</v>
      </c>
      <c r="I5" s="51" t="s">
        <v>416</v>
      </c>
      <c r="J5" s="51" t="s">
        <v>417</v>
      </c>
      <c r="K5" s="51" t="s">
        <v>418</v>
      </c>
    </row>
    <row r="6" spans="2:11" x14ac:dyDescent="0.3">
      <c r="B6" s="59" t="s">
        <v>48</v>
      </c>
      <c r="C6" s="408">
        <f>'DCF &amp; Sensitivity Analysis'!N33</f>
        <v>89055207.666987166</v>
      </c>
      <c r="D6" s="408">
        <f>'DCF &amp; Sensitivity Analysis'!L33</f>
        <v>239764283.02865839</v>
      </c>
      <c r="E6" s="408">
        <f>'DCF &amp; Sensitivity Analysis'!P33</f>
        <v>44555199.062229425</v>
      </c>
      <c r="H6" s="59" t="s">
        <v>48</v>
      </c>
      <c r="I6" s="408">
        <f>C6*1000/'DCF &amp; Sensitivity Analysis'!$E$53</f>
        <v>1342.0632064556798</v>
      </c>
      <c r="J6" s="408">
        <f>D6*1000/'DCF &amp; Sensitivity Analysis'!$E$53</f>
        <v>3613.2510484759905</v>
      </c>
      <c r="K6" s="408">
        <f>E6*1000/'DCF &amp; Sensitivity Analysis'!$E$53</f>
        <v>671.44746370506869</v>
      </c>
    </row>
    <row r="7" spans="2:11" x14ac:dyDescent="0.3">
      <c r="B7" t="s">
        <v>222</v>
      </c>
      <c r="C7" s="56">
        <f>'DCF &amp; Sensitivity Analysis'!N33</f>
        <v>89055207.666987166</v>
      </c>
      <c r="D7" s="56">
        <f>'DCF &amp; Sensitivity Analysis'!N35</f>
        <v>110473069.05499925</v>
      </c>
      <c r="E7" s="56">
        <f>'DCF &amp; Sensitivity Analysis'!N31</f>
        <v>84990054.052072465</v>
      </c>
      <c r="H7" t="s">
        <v>222</v>
      </c>
      <c r="I7" s="408">
        <f>C7*1000/'DCF &amp; Sensitivity Analysis'!$E$53</f>
        <v>1342.0632064556798</v>
      </c>
      <c r="J7" s="408">
        <f>D7*1000/'DCF &amp; Sensitivity Analysis'!$E$53</f>
        <v>1664.8306726470396</v>
      </c>
      <c r="K7" s="408">
        <f>E7*1000/'DCF &amp; Sensitivity Analysis'!$E$53</f>
        <v>1280.8012854732672</v>
      </c>
    </row>
    <row r="8" spans="2:11" x14ac:dyDescent="0.3">
      <c r="B8" t="s">
        <v>421</v>
      </c>
      <c r="C8" s="56">
        <f>'Further Sensitivity Analysis'!N35</f>
        <v>89055207.666987166</v>
      </c>
      <c r="D8" s="56">
        <f>'Further Sensitivity Analysis'!N37</f>
        <v>118395408.68484336</v>
      </c>
      <c r="E8" s="56">
        <f>'Further Sensitivity Analysis'!N31</f>
        <v>48388987.532903492</v>
      </c>
      <c r="H8" t="s">
        <v>421</v>
      </c>
      <c r="I8" s="408">
        <f>C8*1000/'DCF &amp; Sensitivity Analysis'!$E$53</f>
        <v>1342.0632064556798</v>
      </c>
      <c r="J8" s="408">
        <f>D8*1000/'DCF &amp; Sensitivity Analysis'!$E$53</f>
        <v>1784.2204400149158</v>
      </c>
      <c r="K8" s="408">
        <f>E8*1000/'DCF &amp; Sensitivity Analysis'!$E$53</f>
        <v>729.22270877625601</v>
      </c>
    </row>
    <row r="9" spans="2:11" x14ac:dyDescent="0.3">
      <c r="B9" t="s">
        <v>210</v>
      </c>
      <c r="C9" s="56">
        <f>'Further Sensitivity Analysis'!N48</f>
        <v>89055207.666987166</v>
      </c>
      <c r="D9" s="56">
        <f>'Further Sensitivity Analysis'!N46</f>
        <v>103913720.82258546</v>
      </c>
      <c r="E9" s="56">
        <f>'Further Sensitivity Analysis'!N50</f>
        <v>74196694.511388898</v>
      </c>
      <c r="H9" t="s">
        <v>210</v>
      </c>
      <c r="I9" s="408">
        <f>C9*1000/'DCF &amp; Sensitivity Analysis'!$E$53</f>
        <v>1342.0632064556798</v>
      </c>
      <c r="J9" s="408">
        <f>D9*1000/'DCF &amp; Sensitivity Analysis'!$E$53</f>
        <v>1565.98120441638</v>
      </c>
      <c r="K9" s="408">
        <f>E9*1000/'DCF &amp; Sensitivity Analysis'!$E$53</f>
        <v>1118.1452084949804</v>
      </c>
    </row>
    <row r="10" spans="2:11" x14ac:dyDescent="0.3">
      <c r="B10" t="s">
        <v>204</v>
      </c>
      <c r="C10" s="56">
        <f>'Further Sensitivity Analysis'!N63</f>
        <v>89055207.666987166</v>
      </c>
      <c r="D10" s="56">
        <f>'Further Sensitivity Analysis'!N60</f>
        <v>138797370.31735283</v>
      </c>
      <c r="E10" s="56">
        <f>'Further Sensitivity Analysis'!N64</f>
        <v>58206864.658676416</v>
      </c>
      <c r="H10" t="s">
        <v>204</v>
      </c>
      <c r="I10" s="408">
        <f>C10*1000/'DCF &amp; Sensitivity Analysis'!$E$53</f>
        <v>1342.0632064556798</v>
      </c>
      <c r="J10" s="408">
        <f>D10*1000/'DCF &amp; Sensitivity Analysis'!$E$53</f>
        <v>2091.6782828947935</v>
      </c>
      <c r="K10" s="408">
        <f>E10*1000/'DCF &amp; Sensitivity Analysis'!$E$53</f>
        <v>877.1782523226118</v>
      </c>
    </row>
    <row r="12" spans="2:11" x14ac:dyDescent="0.3">
      <c r="B12" s="62" t="s">
        <v>56</v>
      </c>
    </row>
    <row r="13" spans="2:11" ht="14.4" customHeight="1" x14ac:dyDescent="0.3">
      <c r="B13" s="438" t="s">
        <v>423</v>
      </c>
      <c r="C13" s="438"/>
      <c r="D13" s="438"/>
      <c r="E13" s="438"/>
      <c r="F13" s="438"/>
      <c r="G13" s="58"/>
    </row>
    <row r="14" spans="2:11" x14ac:dyDescent="0.3">
      <c r="B14" s="438"/>
      <c r="C14" s="438"/>
      <c r="D14" s="438"/>
      <c r="E14" s="438"/>
      <c r="F14" s="438"/>
      <c r="G14" s="58"/>
    </row>
    <row r="15" spans="2:11" x14ac:dyDescent="0.3">
      <c r="B15" s="438"/>
      <c r="C15" s="438"/>
      <c r="D15" s="438"/>
      <c r="E15" s="438"/>
      <c r="F15" s="438"/>
      <c r="G15" s="58"/>
    </row>
    <row r="16" spans="2:11" x14ac:dyDescent="0.3">
      <c r="B16" s="438"/>
      <c r="C16" s="438"/>
      <c r="D16" s="438"/>
      <c r="E16" s="438"/>
      <c r="F16" s="438"/>
      <c r="G16" s="58"/>
    </row>
    <row r="28" spans="10:11" x14ac:dyDescent="0.3">
      <c r="J28" s="272"/>
      <c r="K28" s="264" t="s">
        <v>417</v>
      </c>
    </row>
    <row r="29" spans="10:11" x14ac:dyDescent="0.3">
      <c r="J29" s="296"/>
      <c r="K29" s="264" t="s">
        <v>418</v>
      </c>
    </row>
  </sheetData>
  <mergeCells count="2">
    <mergeCell ref="B13:F16"/>
    <mergeCell ref="B2:E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7314-C082-4E62-8373-8DF54406B886}">
  <dimension ref="B1:O23"/>
  <sheetViews>
    <sheetView showGridLines="0" workbookViewId="0">
      <selection activeCell="C1" sqref="C1"/>
    </sheetView>
  </sheetViews>
  <sheetFormatPr defaultRowHeight="14.4" x14ac:dyDescent="0.3"/>
  <cols>
    <col min="1" max="1" width="5.5546875" customWidth="1"/>
    <col min="2" max="2" width="43.21875" customWidth="1"/>
    <col min="3" max="3" width="9.109375" bestFit="1" customWidth="1"/>
    <col min="4" max="4" width="32.109375" customWidth="1"/>
    <col min="5" max="6" width="14.77734375" customWidth="1"/>
    <col min="7" max="8" width="22.44140625" customWidth="1"/>
    <col min="9" max="9" width="14.77734375" customWidth="1"/>
    <col min="10" max="11" width="19.33203125" customWidth="1"/>
    <col min="12" max="12" width="30.44140625" customWidth="1"/>
    <col min="13" max="13" width="14.77734375" customWidth="1"/>
    <col min="14" max="14" width="14" customWidth="1"/>
    <col min="16" max="16" width="10.6640625" customWidth="1"/>
  </cols>
  <sheetData>
    <row r="1" spans="2:15" ht="15" thickBot="1" x14ac:dyDescent="0.35">
      <c r="D1" s="58"/>
    </row>
    <row r="2" spans="2:15" ht="29.4" thickBot="1" x14ac:dyDescent="0.35">
      <c r="C2" s="341" t="s">
        <v>3</v>
      </c>
      <c r="D2" s="340" t="s">
        <v>361</v>
      </c>
      <c r="F2" s="453" t="s">
        <v>3</v>
      </c>
      <c r="G2" s="454"/>
      <c r="H2" s="454"/>
      <c r="I2" s="455"/>
      <c r="J2" s="290"/>
      <c r="K2" s="290"/>
      <c r="L2" s="456" t="s">
        <v>360</v>
      </c>
      <c r="M2" s="456"/>
      <c r="N2" s="456"/>
      <c r="O2" s="456"/>
    </row>
    <row r="3" spans="2:15" ht="46.8" customHeight="1" x14ac:dyDescent="0.3">
      <c r="B3" s="265" t="s">
        <v>49</v>
      </c>
      <c r="C3" s="265" t="s">
        <v>243</v>
      </c>
      <c r="D3" s="266" t="s">
        <v>362</v>
      </c>
      <c r="E3" s="266" t="s">
        <v>245</v>
      </c>
      <c r="F3" s="338" t="s">
        <v>232</v>
      </c>
      <c r="G3" s="338" t="s">
        <v>229</v>
      </c>
      <c r="H3" s="338" t="s">
        <v>246</v>
      </c>
      <c r="I3" s="338" t="s">
        <v>247</v>
      </c>
      <c r="J3" s="266" t="s">
        <v>248</v>
      </c>
      <c r="K3" s="266" t="s">
        <v>249</v>
      </c>
      <c r="L3" s="266" t="s">
        <v>250</v>
      </c>
      <c r="M3" s="266" t="s">
        <v>251</v>
      </c>
      <c r="N3" s="266" t="s">
        <v>252</v>
      </c>
      <c r="O3" s="339" t="s">
        <v>253</v>
      </c>
    </row>
    <row r="4" spans="2:15" ht="18" customHeight="1" x14ac:dyDescent="0.3">
      <c r="B4" s="267"/>
      <c r="C4" s="267"/>
      <c r="D4" s="268"/>
      <c r="E4" s="268"/>
      <c r="F4" s="268"/>
      <c r="G4" s="268"/>
      <c r="H4" s="268"/>
      <c r="I4" s="268"/>
      <c r="J4" s="268"/>
      <c r="K4" s="268"/>
      <c r="L4" s="268"/>
      <c r="M4" s="268"/>
      <c r="N4" s="268"/>
    </row>
    <row r="5" spans="2:15" ht="18" customHeight="1" x14ac:dyDescent="0.3">
      <c r="B5" t="s">
        <v>16</v>
      </c>
      <c r="C5" s="2">
        <v>45.08</v>
      </c>
      <c r="D5" s="2">
        <v>59.06</v>
      </c>
      <c r="E5" s="2">
        <v>766596075</v>
      </c>
      <c r="F5" s="2">
        <f>D5*E5/1000000000</f>
        <v>45.275164189500003</v>
      </c>
      <c r="G5" s="2">
        <f>(51793*10^6)/10^9</f>
        <v>51.792999999999999</v>
      </c>
      <c r="H5" s="2">
        <f>(100235403*1000)/10^9</f>
        <v>100.23540300000001</v>
      </c>
      <c r="I5">
        <f>(1508786*1000)/10^9</f>
        <v>1.508786</v>
      </c>
      <c r="J5" s="71">
        <f>K5/H5</f>
        <v>6.2103805778084213E-2</v>
      </c>
      <c r="K5" s="65">
        <f>(6225*10^6)/10^9</f>
        <v>6.2249999999999996</v>
      </c>
      <c r="L5" s="2">
        <f>(G5*10^9)/E5</f>
        <v>67.562307829452422</v>
      </c>
      <c r="M5" s="2">
        <f>G5/H5</f>
        <v>0.51671364058864511</v>
      </c>
      <c r="N5" s="2">
        <f>G5/K5</f>
        <v>8.320160642570281</v>
      </c>
      <c r="O5">
        <v>41.6</v>
      </c>
    </row>
    <row r="6" spans="2:15" x14ac:dyDescent="0.3">
      <c r="B6" t="s">
        <v>18</v>
      </c>
      <c r="C6" s="2">
        <v>112.54</v>
      </c>
      <c r="D6" s="2">
        <v>17612</v>
      </c>
      <c r="E6" s="2">
        <v>6369950</v>
      </c>
      <c r="F6" s="2">
        <f t="shared" ref="F6:F9" si="0">D6*E6/1000000000</f>
        <v>112.1875594</v>
      </c>
      <c r="G6" s="56">
        <v>128.71</v>
      </c>
      <c r="H6" s="2">
        <f>34586732*1000/10^9</f>
        <v>34.586731999999998</v>
      </c>
      <c r="I6" s="269">
        <f>9744030*1000/10^9</f>
        <v>9.7440300000000004</v>
      </c>
      <c r="J6" s="270">
        <v>0.2427</v>
      </c>
      <c r="K6" s="2">
        <f>H6*J6</f>
        <v>8.3941998564000002</v>
      </c>
      <c r="L6" s="2">
        <f>(G6*10^9)/E6</f>
        <v>20205.810092700885</v>
      </c>
      <c r="M6" s="2">
        <f>G6/H6</f>
        <v>3.7213692233195093</v>
      </c>
      <c r="N6" s="2">
        <f>G6/K6</f>
        <v>15.333206523772184</v>
      </c>
      <c r="O6" s="2">
        <v>14.05</v>
      </c>
    </row>
    <row r="7" spans="2:15" ht="35.4" customHeight="1" x14ac:dyDescent="0.3">
      <c r="B7" s="331" t="s">
        <v>358</v>
      </c>
      <c r="C7" s="332">
        <v>109.49</v>
      </c>
      <c r="D7" s="332">
        <v>1233.55</v>
      </c>
      <c r="E7" s="332">
        <v>66356940</v>
      </c>
      <c r="F7" s="332">
        <f>D7*E7/1000000000</f>
        <v>81.854603337</v>
      </c>
      <c r="G7" s="334">
        <f>H7*M7</f>
        <v>104.53154303999999</v>
      </c>
      <c r="H7" s="333">
        <f>(Pnl!C9*1000)/10^9</f>
        <v>108.887024</v>
      </c>
      <c r="I7" s="332">
        <f>(Pnl!C17*1000)/10^9</f>
        <v>6.1320499999999996</v>
      </c>
      <c r="J7" s="335">
        <v>0.156</v>
      </c>
      <c r="K7" s="332">
        <f>H7*J7</f>
        <v>16.986375744</v>
      </c>
      <c r="L7" s="334">
        <v>1570.87</v>
      </c>
      <c r="M7" s="332">
        <v>0.96</v>
      </c>
      <c r="N7" s="332">
        <v>6.14</v>
      </c>
      <c r="O7" s="332">
        <v>13.35</v>
      </c>
    </row>
    <row r="8" spans="2:15" x14ac:dyDescent="0.3">
      <c r="B8" t="s">
        <v>20</v>
      </c>
      <c r="C8" s="2">
        <v>39.44</v>
      </c>
      <c r="D8" s="2">
        <v>169.17</v>
      </c>
      <c r="E8" s="2">
        <v>233115425</v>
      </c>
      <c r="F8" s="2">
        <f t="shared" si="0"/>
        <v>39.43613644725</v>
      </c>
      <c r="G8" s="56">
        <f>57889*10^6/10^9</f>
        <v>57.889000000000003</v>
      </c>
      <c r="H8">
        <v>86.38</v>
      </c>
      <c r="I8">
        <v>1.91</v>
      </c>
      <c r="J8" s="71">
        <f>K8/H8</f>
        <v>8.4336652002778428E-2</v>
      </c>
      <c r="K8" s="2">
        <f>7285*10^6/10^9</f>
        <v>7.2850000000000001</v>
      </c>
      <c r="L8" s="56">
        <f>G8*10^9/E8</f>
        <v>248.32762568156954</v>
      </c>
      <c r="M8" s="2">
        <f>G8/H8</f>
        <v>0.67016670525584632</v>
      </c>
      <c r="N8" s="2">
        <f>G8/K8</f>
        <v>7.946328071379547</v>
      </c>
      <c r="O8">
        <v>20.74</v>
      </c>
    </row>
    <row r="9" spans="2:15" x14ac:dyDescent="0.3">
      <c r="B9" t="s">
        <v>254</v>
      </c>
      <c r="C9" s="2">
        <v>294.92</v>
      </c>
      <c r="D9" s="2">
        <v>1202.9000000000001</v>
      </c>
      <c r="E9" s="2">
        <v>242773272</v>
      </c>
      <c r="F9" s="2">
        <f t="shared" si="0"/>
        <v>292.03196888880007</v>
      </c>
      <c r="G9" s="56">
        <f>272006*10^6/10^9</f>
        <v>272.00599999999997</v>
      </c>
      <c r="H9" s="56">
        <f>113231*10^6/10^9</f>
        <v>113.23099999999999</v>
      </c>
      <c r="I9">
        <f>17292230*1000/10^9</f>
        <v>17.29223</v>
      </c>
      <c r="J9" s="71">
        <f>K9/H9</f>
        <v>0.20955392074608545</v>
      </c>
      <c r="K9" s="2">
        <f>23728*10^6/10^9</f>
        <v>23.728000000000002</v>
      </c>
      <c r="L9" s="56">
        <f>G9*10^9/E9</f>
        <v>1120.4116407015347</v>
      </c>
      <c r="M9" s="2">
        <f>G9/H9</f>
        <v>2.4022220063410193</v>
      </c>
      <c r="N9" s="2">
        <f>G9/K9</f>
        <v>11.463503034389749</v>
      </c>
      <c r="O9">
        <v>16.649999999999999</v>
      </c>
    </row>
    <row r="10" spans="2:15" x14ac:dyDescent="0.3">
      <c r="B10" t="s">
        <v>21</v>
      </c>
      <c r="C10" s="2">
        <v>314.33999999999997</v>
      </c>
      <c r="D10" s="2">
        <v>6792</v>
      </c>
      <c r="E10" s="2">
        <v>45349584</v>
      </c>
      <c r="F10" s="2">
        <f>D10*E10/1000000000</f>
        <v>308.01437452800002</v>
      </c>
      <c r="G10">
        <f>387640*10^6/10^9</f>
        <v>387.64</v>
      </c>
      <c r="H10" s="2">
        <f>200605*10^6/10^9</f>
        <v>200.60499999999999</v>
      </c>
      <c r="I10">
        <f>16493*10^6/10^9</f>
        <v>16.492999999999999</v>
      </c>
      <c r="J10" s="71">
        <f>K10/H10</f>
        <v>0.19053363575185067</v>
      </c>
      <c r="K10" s="2">
        <f>38222*10^6/10^9</f>
        <v>38.222000000000001</v>
      </c>
      <c r="L10" s="56">
        <f>G10*10^9/E10</f>
        <v>8547.8182115187647</v>
      </c>
      <c r="M10" s="2">
        <f>G10/H10</f>
        <v>1.9323546272525611</v>
      </c>
      <c r="N10" s="2">
        <f>G10/K10</f>
        <v>10.141803150018314</v>
      </c>
      <c r="O10">
        <v>22.14</v>
      </c>
    </row>
    <row r="11" spans="2:15" x14ac:dyDescent="0.3">
      <c r="O11" s="56"/>
    </row>
    <row r="13" spans="2:15" x14ac:dyDescent="0.3">
      <c r="B13" s="62" t="s">
        <v>56</v>
      </c>
      <c r="L13" s="56"/>
    </row>
    <row r="14" spans="2:15" x14ac:dyDescent="0.3">
      <c r="B14" s="438" t="s">
        <v>255</v>
      </c>
      <c r="C14" s="438"/>
      <c r="D14" s="438"/>
      <c r="E14" s="438"/>
      <c r="F14" s="438"/>
      <c r="L14" s="56"/>
    </row>
    <row r="15" spans="2:15" x14ac:dyDescent="0.3">
      <c r="B15" s="438"/>
      <c r="C15" s="438"/>
      <c r="D15" s="438"/>
      <c r="E15" s="438"/>
      <c r="F15" s="438"/>
      <c r="L15" s="56"/>
    </row>
    <row r="16" spans="2:15" x14ac:dyDescent="0.3">
      <c r="B16" s="438"/>
      <c r="C16" s="438"/>
      <c r="D16" s="438"/>
      <c r="E16" s="438"/>
      <c r="F16" s="438"/>
    </row>
    <row r="17" spans="2:8" x14ac:dyDescent="0.3">
      <c r="G17" s="56"/>
    </row>
    <row r="18" spans="2:8" x14ac:dyDescent="0.3">
      <c r="G18" s="56"/>
    </row>
    <row r="19" spans="2:8" x14ac:dyDescent="0.3">
      <c r="B19" s="51" t="str">
        <f>'Beta-Ismail Industries Ltd'!B4:E4</f>
        <v>Ismail Industries Limited</v>
      </c>
    </row>
    <row r="20" spans="2:8" x14ac:dyDescent="0.3">
      <c r="C20" s="51">
        <v>2024</v>
      </c>
      <c r="D20" s="51">
        <f>C20-1</f>
        <v>2023</v>
      </c>
      <c r="E20" s="51">
        <f t="shared" ref="E20:H20" si="1">D20-1</f>
        <v>2022</v>
      </c>
      <c r="F20" s="51">
        <f t="shared" si="1"/>
        <v>2021</v>
      </c>
      <c r="G20" s="51">
        <f t="shared" si="1"/>
        <v>2020</v>
      </c>
      <c r="H20" s="51">
        <f t="shared" si="1"/>
        <v>2019</v>
      </c>
    </row>
    <row r="21" spans="2:8" x14ac:dyDescent="0.3">
      <c r="B21" t="s">
        <v>252</v>
      </c>
      <c r="C21">
        <v>6.14</v>
      </c>
      <c r="D21">
        <v>4.41</v>
      </c>
      <c r="E21">
        <v>8.24</v>
      </c>
      <c r="F21">
        <v>10.07</v>
      </c>
      <c r="G21">
        <v>12.51</v>
      </c>
      <c r="H21" s="2">
        <f>AVERAGE(C21:G21)</f>
        <v>8.2739999999999991</v>
      </c>
    </row>
    <row r="22" spans="2:8" x14ac:dyDescent="0.3">
      <c r="B22" t="s">
        <v>364</v>
      </c>
      <c r="C22">
        <v>1570.87</v>
      </c>
      <c r="D22">
        <v>846.3</v>
      </c>
      <c r="E22">
        <v>799.73</v>
      </c>
      <c r="F22">
        <v>611.59</v>
      </c>
      <c r="G22">
        <v>588</v>
      </c>
      <c r="H22" s="2">
        <f>AVERAGE(C22:G22)</f>
        <v>883.298</v>
      </c>
    </row>
    <row r="23" spans="2:8" x14ac:dyDescent="0.3">
      <c r="B23" t="s">
        <v>251</v>
      </c>
      <c r="C23">
        <v>0.96</v>
      </c>
      <c r="D23">
        <v>0.63</v>
      </c>
      <c r="E23">
        <v>0.96</v>
      </c>
      <c r="F23">
        <v>1.0900000000000001</v>
      </c>
      <c r="G23">
        <v>1.17</v>
      </c>
      <c r="H23" s="2">
        <f>AVERAGE(C23:G23)</f>
        <v>0.96199999999999997</v>
      </c>
    </row>
  </sheetData>
  <mergeCells count="3">
    <mergeCell ref="F2:I2"/>
    <mergeCell ref="B14:F16"/>
    <mergeCell ref="L2:O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3BC3C-FEB1-4048-B610-C64E1C69800C}">
  <dimension ref="B2:P44"/>
  <sheetViews>
    <sheetView showGridLines="0" topLeftCell="A22" workbookViewId="0">
      <selection activeCell="B39" sqref="B39:N44"/>
    </sheetView>
  </sheetViews>
  <sheetFormatPr defaultRowHeight="14.4" x14ac:dyDescent="0.3"/>
  <cols>
    <col min="1" max="1" width="5.109375" customWidth="1"/>
    <col min="2" max="2" width="33.33203125" customWidth="1"/>
    <col min="3" max="3" width="7.44140625" customWidth="1"/>
    <col min="4" max="4" width="11.109375" customWidth="1"/>
    <col min="5" max="5" width="18.21875" customWidth="1"/>
    <col min="6" max="6" width="12.33203125" customWidth="1"/>
    <col min="7" max="7" width="22.77734375" customWidth="1"/>
    <col min="8" max="8" width="10.21875" customWidth="1"/>
    <col min="9" max="9" width="4.44140625" customWidth="1"/>
    <col min="10" max="10" width="8.6640625" customWidth="1"/>
    <col min="11" max="11" width="10.21875" customWidth="1"/>
    <col min="12" max="12" width="12.88671875" customWidth="1"/>
    <col min="13" max="13" width="3.44140625" customWidth="1"/>
    <col min="14" max="14" width="11.77734375" customWidth="1"/>
    <col min="15" max="15" width="13.6640625" customWidth="1"/>
    <col min="16" max="16" width="10" customWidth="1"/>
  </cols>
  <sheetData>
    <row r="2" spans="2:16" ht="15" thickBot="1" x14ac:dyDescent="0.35">
      <c r="B2" s="271" t="s">
        <v>3</v>
      </c>
      <c r="C2" s="271"/>
      <c r="D2" s="271"/>
      <c r="E2" s="271"/>
    </row>
    <row r="3" spans="2:16" x14ac:dyDescent="0.3">
      <c r="B3" s="423" t="str">
        <f>"Comparable Company (Relative) Valuation"&amp;" - "&amp;'Beta-Ismail Industries Ltd'!$B$4:$E$4</f>
        <v>Comparable Company (Relative) Valuation - Ismail Industries Limited</v>
      </c>
      <c r="C3" s="423"/>
      <c r="D3" s="423"/>
      <c r="E3" s="423"/>
      <c r="F3" s="423"/>
      <c r="G3" s="423"/>
      <c r="H3" s="423"/>
      <c r="I3" s="423"/>
      <c r="J3" s="7"/>
      <c r="K3" s="7"/>
    </row>
    <row r="4" spans="2:16" ht="7.8" customHeight="1" x14ac:dyDescent="0.3"/>
    <row r="5" spans="2:16" ht="15" thickBot="1" x14ac:dyDescent="0.35">
      <c r="B5" s="51"/>
      <c r="C5" s="51"/>
      <c r="D5" s="457" t="s">
        <v>257</v>
      </c>
      <c r="E5" s="457"/>
      <c r="F5" s="457"/>
      <c r="G5" s="457"/>
      <c r="H5" s="457"/>
      <c r="I5" s="272"/>
      <c r="J5" s="457" t="s">
        <v>258</v>
      </c>
      <c r="K5" s="457"/>
      <c r="L5" s="457"/>
      <c r="M5" s="53"/>
      <c r="N5" s="457" t="s">
        <v>259</v>
      </c>
      <c r="O5" s="457"/>
      <c r="P5" s="457"/>
    </row>
    <row r="6" spans="2:16" ht="29.4" customHeight="1" x14ac:dyDescent="0.3">
      <c r="B6" s="53" t="s">
        <v>260</v>
      </c>
      <c r="C6" s="53" t="s">
        <v>261</v>
      </c>
      <c r="D6" s="273" t="s">
        <v>262</v>
      </c>
      <c r="E6" s="273" t="s">
        <v>263</v>
      </c>
      <c r="F6" s="273" t="s">
        <v>264</v>
      </c>
      <c r="G6" s="273" t="s">
        <v>265</v>
      </c>
      <c r="H6" s="273" t="s">
        <v>266</v>
      </c>
      <c r="I6" s="53"/>
      <c r="J6" s="53" t="s">
        <v>267</v>
      </c>
      <c r="K6" s="53" t="s">
        <v>249</v>
      </c>
      <c r="L6" s="273" t="s">
        <v>268</v>
      </c>
      <c r="M6" s="53"/>
      <c r="N6" s="53" t="s">
        <v>251</v>
      </c>
      <c r="O6" s="53" t="s">
        <v>252</v>
      </c>
      <c r="P6" s="53" t="s">
        <v>253</v>
      </c>
    </row>
    <row r="7" spans="2:16" ht="9" customHeight="1" x14ac:dyDescent="0.3"/>
    <row r="8" spans="2:16" x14ac:dyDescent="0.3">
      <c r="B8" s="274" t="s">
        <v>108</v>
      </c>
      <c r="C8" s="274" t="s">
        <v>359</v>
      </c>
      <c r="D8" s="275">
        <f>'Raw Data for Relative Valuation'!D7</f>
        <v>1233.55</v>
      </c>
      <c r="E8" s="275">
        <f>'Raw Data for Relative Valuation'!E7</f>
        <v>66356940</v>
      </c>
      <c r="F8" s="275">
        <f>D8*E8/10^9</f>
        <v>81.854603337</v>
      </c>
      <c r="G8" s="276">
        <f>H8-F8</f>
        <v>22.676939702999988</v>
      </c>
      <c r="H8" s="277">
        <f>'Raw Data for Relative Valuation'!G7</f>
        <v>104.53154303999999</v>
      </c>
      <c r="I8" s="277"/>
      <c r="J8" s="277">
        <f>'Raw Data for Relative Valuation'!H7</f>
        <v>108.887024</v>
      </c>
      <c r="K8" s="277">
        <f>'Raw Data for Relative Valuation'!K7</f>
        <v>16.986375744</v>
      </c>
      <c r="L8" s="277">
        <f>'Raw Data for Relative Valuation'!I7</f>
        <v>6.1320499999999996</v>
      </c>
      <c r="M8" s="277"/>
      <c r="N8" s="278">
        <f>H8/J8</f>
        <v>0.96</v>
      </c>
      <c r="O8" s="278">
        <f>H8/K8</f>
        <v>6.1538461538461533</v>
      </c>
      <c r="P8" s="279">
        <f>'Raw Data for Relative Valuation'!O7</f>
        <v>13.35</v>
      </c>
    </row>
    <row r="9" spans="2:16" x14ac:dyDescent="0.3">
      <c r="B9" s="7" t="s">
        <v>16</v>
      </c>
      <c r="C9" s="7" t="s">
        <v>269</v>
      </c>
      <c r="D9" s="336">
        <f>'Raw Data for Relative Valuation'!D5</f>
        <v>59.06</v>
      </c>
      <c r="E9" s="336">
        <f>'Raw Data for Relative Valuation'!E5</f>
        <v>766596075</v>
      </c>
      <c r="F9" s="336">
        <f>D9*E9/10^9</f>
        <v>45.275164189500003</v>
      </c>
      <c r="G9" s="280">
        <f>H9-F9</f>
        <v>6.5178358104999958</v>
      </c>
      <c r="H9" s="7">
        <f>'Raw Data for Relative Valuation'!G5</f>
        <v>51.792999999999999</v>
      </c>
      <c r="I9" s="7"/>
      <c r="J9" s="7">
        <f>'Raw Data for Relative Valuation'!H5</f>
        <v>100.23540300000001</v>
      </c>
      <c r="K9" s="7">
        <f>'Raw Data for Relative Valuation'!K5</f>
        <v>6.2249999999999996</v>
      </c>
      <c r="L9" s="7">
        <f>'Raw Data for Relative Valuation'!I5</f>
        <v>1.508786</v>
      </c>
      <c r="M9" s="7"/>
      <c r="N9" s="337">
        <f>H9/J9</f>
        <v>0.51671364058864511</v>
      </c>
      <c r="O9" s="337">
        <f>H9/K9</f>
        <v>8.320160642570281</v>
      </c>
      <c r="P9" s="282">
        <f>'Raw Data for Relative Valuation'!O5</f>
        <v>41.6</v>
      </c>
    </row>
    <row r="10" spans="2:16" x14ac:dyDescent="0.3">
      <c r="B10" s="7" t="str">
        <f>'Raw Data for Relative Valuation'!B6</f>
        <v>Unilever Pakistan Foods Limited</v>
      </c>
      <c r="C10" s="7" t="s">
        <v>270</v>
      </c>
      <c r="D10" s="68">
        <f>'Raw Data for Relative Valuation'!D6</f>
        <v>17612</v>
      </c>
      <c r="E10" s="68">
        <f>'Raw Data for Relative Valuation'!E6</f>
        <v>6369950</v>
      </c>
      <c r="F10" s="68">
        <f>D10*E10/10^9</f>
        <v>112.1875594</v>
      </c>
      <c r="G10" s="280">
        <f>H10-F10</f>
        <v>16.52244060000001</v>
      </c>
      <c r="H10" s="280">
        <f>'Raw Data for Relative Valuation'!G6</f>
        <v>128.71</v>
      </c>
      <c r="I10" s="7"/>
      <c r="J10" s="280">
        <f>'Raw Data for Relative Valuation'!H6</f>
        <v>34.586731999999998</v>
      </c>
      <c r="K10" s="280">
        <f>'Raw Data for Relative Valuation'!K6</f>
        <v>8.3941998564000002</v>
      </c>
      <c r="L10" s="7">
        <f>'Raw Data for Relative Valuation'!I6</f>
        <v>9.7440300000000004</v>
      </c>
      <c r="M10" s="7"/>
      <c r="N10" s="281">
        <f>H10/J10</f>
        <v>3.7213692233195093</v>
      </c>
      <c r="O10" s="281">
        <f>H10/K10</f>
        <v>15.333206523772184</v>
      </c>
      <c r="P10" s="282">
        <f>'Raw Data for Relative Valuation'!O6</f>
        <v>14.05</v>
      </c>
    </row>
    <row r="11" spans="2:16" x14ac:dyDescent="0.3">
      <c r="B11" s="7" t="str">
        <f>'Raw Data for Relative Valuation'!B8</f>
        <v>National Foods Limited</v>
      </c>
      <c r="C11" s="7" t="s">
        <v>271</v>
      </c>
      <c r="D11" s="68">
        <f>'Raw Data for Relative Valuation'!D8</f>
        <v>169.17</v>
      </c>
      <c r="E11" s="68">
        <f>'Raw Data for Relative Valuation'!E8</f>
        <v>233115425</v>
      </c>
      <c r="F11" s="68">
        <f t="shared" ref="F11:F13" si="0">D11*E11/10^9</f>
        <v>39.43613644725</v>
      </c>
      <c r="G11" s="280">
        <f t="shared" ref="G11:G13" si="1">H11-F11</f>
        <v>18.452863552750003</v>
      </c>
      <c r="H11" s="280">
        <f>'Raw Data for Relative Valuation'!G8</f>
        <v>57.889000000000003</v>
      </c>
      <c r="I11" s="7"/>
      <c r="J11" s="280">
        <f>'Raw Data for Relative Valuation'!H8</f>
        <v>86.38</v>
      </c>
      <c r="K11" s="280">
        <f>'Raw Data for Relative Valuation'!K8</f>
        <v>7.2850000000000001</v>
      </c>
      <c r="L11" s="7">
        <f>'Raw Data for Relative Valuation'!I8</f>
        <v>1.91</v>
      </c>
      <c r="M11" s="7"/>
      <c r="N11" s="281">
        <f t="shared" ref="N11:N13" si="2">H11/J11</f>
        <v>0.67016670525584632</v>
      </c>
      <c r="O11" s="281">
        <f t="shared" ref="O11:O13" si="3">H11/K11</f>
        <v>7.946328071379547</v>
      </c>
      <c r="P11" s="282">
        <f>'Raw Data for Relative Valuation'!O8</f>
        <v>20.74</v>
      </c>
    </row>
    <row r="12" spans="2:16" x14ac:dyDescent="0.3">
      <c r="B12" s="7" t="str">
        <f>'Raw Data for Relative Valuation'!B9</f>
        <v>Colgate-Palmolive Pakistan Ltd</v>
      </c>
      <c r="C12" s="7" t="s">
        <v>272</v>
      </c>
      <c r="D12" s="68">
        <f>'Raw Data for Relative Valuation'!D9</f>
        <v>1202.9000000000001</v>
      </c>
      <c r="E12" s="68">
        <f>'Raw Data for Relative Valuation'!E9</f>
        <v>242773272</v>
      </c>
      <c r="F12" s="68">
        <f t="shared" si="0"/>
        <v>292.03196888880007</v>
      </c>
      <c r="G12" s="280">
        <f t="shared" si="1"/>
        <v>-20.025968888800094</v>
      </c>
      <c r="H12" s="280">
        <f>'Raw Data for Relative Valuation'!G9</f>
        <v>272.00599999999997</v>
      </c>
      <c r="I12" s="7"/>
      <c r="J12" s="280">
        <f>'Raw Data for Relative Valuation'!H9</f>
        <v>113.23099999999999</v>
      </c>
      <c r="K12" s="280">
        <f>'Raw Data for Relative Valuation'!K9</f>
        <v>23.728000000000002</v>
      </c>
      <c r="L12" s="7">
        <f>'Raw Data for Relative Valuation'!I9</f>
        <v>17.29223</v>
      </c>
      <c r="M12" s="7"/>
      <c r="N12" s="281">
        <f t="shared" si="2"/>
        <v>2.4022220063410193</v>
      </c>
      <c r="O12" s="281">
        <f t="shared" si="3"/>
        <v>11.463503034389749</v>
      </c>
      <c r="P12" s="282">
        <f>'Raw Data for Relative Valuation'!O9</f>
        <v>16.649999999999999</v>
      </c>
    </row>
    <row r="13" spans="2:16" x14ac:dyDescent="0.3">
      <c r="B13" s="7" t="s">
        <v>21</v>
      </c>
      <c r="C13" s="7" t="s">
        <v>273</v>
      </c>
      <c r="D13" s="68">
        <f>'Raw Data for Relative Valuation'!D10</f>
        <v>6792</v>
      </c>
      <c r="E13" s="68">
        <f>'Raw Data for Relative Valuation'!E10</f>
        <v>45349584</v>
      </c>
      <c r="F13" s="68">
        <f t="shared" si="0"/>
        <v>308.01437452800002</v>
      </c>
      <c r="G13" s="280">
        <f t="shared" si="1"/>
        <v>79.625625471999967</v>
      </c>
      <c r="H13" s="280">
        <f>'Raw Data for Relative Valuation'!G10</f>
        <v>387.64</v>
      </c>
      <c r="I13" s="7"/>
      <c r="J13" s="280">
        <f>'Raw Data for Relative Valuation'!H10</f>
        <v>200.60499999999999</v>
      </c>
      <c r="K13" s="280">
        <f>'Raw Data for Relative Valuation'!K10</f>
        <v>38.222000000000001</v>
      </c>
      <c r="L13" s="7">
        <f>'Raw Data for Relative Valuation'!I10</f>
        <v>16.492999999999999</v>
      </c>
      <c r="M13" s="7"/>
      <c r="N13" s="281">
        <f t="shared" si="2"/>
        <v>1.9323546272525611</v>
      </c>
      <c r="O13" s="281">
        <f t="shared" si="3"/>
        <v>10.141803150018314</v>
      </c>
      <c r="P13" s="282">
        <f>'Raw Data for Relative Valuation'!O10</f>
        <v>22.14</v>
      </c>
    </row>
    <row r="14" spans="2:16" x14ac:dyDescent="0.3">
      <c r="H14" s="56"/>
    </row>
    <row r="16" spans="2:16" x14ac:dyDescent="0.3">
      <c r="B16" s="283" t="s">
        <v>274</v>
      </c>
      <c r="C16" s="283"/>
      <c r="D16" s="283"/>
      <c r="E16" s="283"/>
      <c r="F16" s="283"/>
      <c r="G16" s="283"/>
      <c r="H16" s="283"/>
      <c r="I16" s="283"/>
      <c r="J16" s="283"/>
      <c r="K16" s="283"/>
      <c r="L16" s="283"/>
      <c r="M16" s="283"/>
      <c r="N16" s="284">
        <f>MAX(N9:N13)</f>
        <v>3.7213692233195093</v>
      </c>
      <c r="O16" s="284">
        <f>MAX(O9:O13)</f>
        <v>15.333206523772184</v>
      </c>
      <c r="P16" s="284">
        <f>MAX(P9:P13)</f>
        <v>41.6</v>
      </c>
    </row>
    <row r="17" spans="2:16" x14ac:dyDescent="0.3">
      <c r="B17" s="283" t="s">
        <v>275</v>
      </c>
      <c r="C17" s="283"/>
      <c r="D17" s="283"/>
      <c r="E17" s="283"/>
      <c r="F17" s="283"/>
      <c r="G17" s="283"/>
      <c r="H17" s="283"/>
      <c r="I17" s="283"/>
      <c r="J17" s="283"/>
      <c r="K17" s="283"/>
      <c r="L17" s="283"/>
      <c r="M17" s="283"/>
      <c r="N17" s="285">
        <f>QUARTILE(N9:N13,3)</f>
        <v>2.4022220063410193</v>
      </c>
      <c r="O17" s="285">
        <f>QUARTILE(O9:O13,3)</f>
        <v>11.463503034389749</v>
      </c>
      <c r="P17" s="285">
        <f>QUARTILE(P9:P13,3)</f>
        <v>22.14</v>
      </c>
    </row>
    <row r="18" spans="2:16" x14ac:dyDescent="0.3">
      <c r="B18" s="49" t="s">
        <v>61</v>
      </c>
      <c r="C18" s="283"/>
      <c r="D18" s="283"/>
      <c r="E18" s="283"/>
      <c r="F18" s="283"/>
      <c r="G18" s="283"/>
      <c r="H18" s="283"/>
      <c r="I18" s="283"/>
      <c r="J18" s="283"/>
      <c r="K18" s="283"/>
      <c r="L18" s="283"/>
      <c r="M18" s="283"/>
      <c r="N18" s="286">
        <f>AVERAGE(N9:N13)</f>
        <v>1.8485652405515161</v>
      </c>
      <c r="O18" s="286">
        <f>AVERAGE(O9:O13)</f>
        <v>10.641000284426015</v>
      </c>
      <c r="P18" s="286">
        <f>AVERAGE(P9:P13)</f>
        <v>23.035999999999998</v>
      </c>
    </row>
    <row r="19" spans="2:16" x14ac:dyDescent="0.3">
      <c r="B19" s="49" t="s">
        <v>24</v>
      </c>
      <c r="C19" s="283"/>
      <c r="D19" s="283"/>
      <c r="E19" s="283"/>
      <c r="F19" s="283"/>
      <c r="G19" s="283"/>
      <c r="H19" s="283"/>
      <c r="I19" s="283"/>
      <c r="J19" s="283"/>
      <c r="K19" s="283"/>
      <c r="L19" s="283"/>
      <c r="M19" s="283"/>
      <c r="N19" s="286">
        <f>MEDIAN(N9:N13)</f>
        <v>1.9323546272525611</v>
      </c>
      <c r="O19" s="286">
        <f>MEDIAN(O9:O13)</f>
        <v>10.141803150018314</v>
      </c>
      <c r="P19" s="286">
        <f>MEDIAN(P9:P13)</f>
        <v>20.74</v>
      </c>
    </row>
    <row r="20" spans="2:16" x14ac:dyDescent="0.3">
      <c r="B20" s="283" t="s">
        <v>276</v>
      </c>
      <c r="C20" s="283"/>
      <c r="D20" s="283"/>
      <c r="E20" s="283"/>
      <c r="F20" s="283"/>
      <c r="G20" s="283"/>
      <c r="H20" s="283"/>
      <c r="I20" s="283"/>
      <c r="J20" s="283"/>
      <c r="K20" s="283"/>
      <c r="L20" s="283"/>
      <c r="M20" s="283"/>
      <c r="N20" s="285">
        <f>QUARTILE(N9:N13,1)</f>
        <v>0.67016670525584632</v>
      </c>
      <c r="O20" s="285">
        <f>QUARTILE(O9:O13,1)</f>
        <v>8.320160642570281</v>
      </c>
      <c r="P20" s="285">
        <f>QUARTILE(P9:P13,1)</f>
        <v>16.649999999999999</v>
      </c>
    </row>
    <row r="21" spans="2:16" x14ac:dyDescent="0.3">
      <c r="B21" s="283" t="s">
        <v>277</v>
      </c>
      <c r="C21" s="283"/>
      <c r="D21" s="283"/>
      <c r="E21" s="283"/>
      <c r="F21" s="283"/>
      <c r="G21" s="283"/>
      <c r="H21" s="283"/>
      <c r="I21" s="283"/>
      <c r="J21" s="283"/>
      <c r="K21" s="283"/>
      <c r="L21" s="283"/>
      <c r="M21" s="283"/>
      <c r="N21" s="284">
        <f>MIN(N9:N13)</f>
        <v>0.51671364058864511</v>
      </c>
      <c r="O21" s="284">
        <f>MIN(O9:O13)</f>
        <v>7.946328071379547</v>
      </c>
      <c r="P21" s="284">
        <f>MIN(P9:P13)</f>
        <v>14.05</v>
      </c>
    </row>
    <row r="23" spans="2:16" ht="13.8" customHeight="1" x14ac:dyDescent="0.3">
      <c r="N23" s="458" t="s">
        <v>3</v>
      </c>
      <c r="O23" s="458"/>
      <c r="P23" s="458"/>
    </row>
    <row r="24" spans="2:16" x14ac:dyDescent="0.3">
      <c r="B24" s="423" t="str">
        <f>B3</f>
        <v>Comparable Company (Relative) Valuation - Ismail Industries Limited</v>
      </c>
      <c r="C24" s="423"/>
      <c r="D24" s="423"/>
      <c r="E24" s="423"/>
      <c r="F24" s="423"/>
      <c r="G24" s="202"/>
      <c r="H24" s="287"/>
      <c r="I24" s="287"/>
      <c r="J24" s="287"/>
      <c r="K24" s="287"/>
      <c r="L24" s="287"/>
      <c r="M24" s="287"/>
      <c r="N24" s="53" t="s">
        <v>251</v>
      </c>
      <c r="O24" s="53" t="s">
        <v>252</v>
      </c>
      <c r="P24" s="53" t="s">
        <v>253</v>
      </c>
    </row>
    <row r="25" spans="2:16" ht="4.8" customHeight="1" x14ac:dyDescent="0.3"/>
    <row r="26" spans="2:16" x14ac:dyDescent="0.3">
      <c r="B26" s="70" t="s">
        <v>278</v>
      </c>
      <c r="N26" s="2">
        <f>N19*J8</f>
        <v>210.40834467416067</v>
      </c>
      <c r="O26" s="2">
        <f>O19*K8</f>
        <v>172.27247902789387</v>
      </c>
      <c r="P26" s="2">
        <f>P28+P27</f>
        <v>53.969161342999982</v>
      </c>
    </row>
    <row r="27" spans="2:16" x14ac:dyDescent="0.3">
      <c r="B27" t="s">
        <v>279</v>
      </c>
      <c r="N27" s="2">
        <f>$G$8</f>
        <v>22.676939702999988</v>
      </c>
      <c r="O27" s="2">
        <f>$G$8</f>
        <v>22.676939702999988</v>
      </c>
      <c r="P27" s="2">
        <f>$G$8</f>
        <v>22.676939702999988</v>
      </c>
    </row>
    <row r="28" spans="2:16" x14ac:dyDescent="0.3">
      <c r="B28" s="70" t="s">
        <v>280</v>
      </c>
      <c r="N28" s="2">
        <f>N26-N27</f>
        <v>187.73140497116069</v>
      </c>
      <c r="O28" s="2">
        <f t="shared" ref="O28" si="4">O26-O27</f>
        <v>149.59553932489388</v>
      </c>
      <c r="P28" s="2">
        <f>P19*L9</f>
        <v>31.292221639999998</v>
      </c>
    </row>
    <row r="29" spans="2:16" x14ac:dyDescent="0.3">
      <c r="B29" t="s">
        <v>281</v>
      </c>
      <c r="N29" s="65">
        <f>($E$8)/1000000000</f>
        <v>6.6356940000000003E-2</v>
      </c>
      <c r="O29" s="65">
        <f t="shared" ref="O29:P29" si="5">($E$8)/1000000000</f>
        <v>6.6356940000000003E-2</v>
      </c>
      <c r="P29" s="65">
        <f t="shared" si="5"/>
        <v>6.6356940000000003E-2</v>
      </c>
    </row>
    <row r="30" spans="2:16" ht="2.4" customHeight="1" thickBot="1" x14ac:dyDescent="0.35">
      <c r="N30" s="2"/>
      <c r="O30" s="2"/>
      <c r="P30" s="2"/>
    </row>
    <row r="31" spans="2:16" ht="15" thickBot="1" x14ac:dyDescent="0.35">
      <c r="B31" s="288" t="s">
        <v>282</v>
      </c>
      <c r="C31" s="288"/>
      <c r="D31" s="288"/>
      <c r="E31" s="288"/>
      <c r="F31" s="288"/>
      <c r="G31" s="288"/>
      <c r="H31" s="288"/>
      <c r="I31" s="288"/>
      <c r="J31" s="288"/>
      <c r="K31" s="288"/>
      <c r="L31" s="288"/>
      <c r="M31" s="288"/>
      <c r="N31" s="289">
        <f>N28/N29</f>
        <v>2829.1148592921959</v>
      </c>
      <c r="O31" s="289">
        <f t="shared" ref="O31" si="6">O28/O29</f>
        <v>2254.4068386048825</v>
      </c>
      <c r="P31" s="289">
        <f>P28/P29</f>
        <v>471.57421122794386</v>
      </c>
    </row>
    <row r="32" spans="2:16" x14ac:dyDescent="0.3">
      <c r="B32" s="70"/>
      <c r="C32" s="70"/>
      <c r="D32" s="70"/>
      <c r="E32" s="70"/>
      <c r="F32" s="70"/>
      <c r="G32" s="70"/>
      <c r="H32" s="70"/>
      <c r="I32" s="70"/>
      <c r="J32" s="70"/>
      <c r="K32" s="70"/>
      <c r="L32" s="70"/>
      <c r="M32" s="70"/>
      <c r="N32" s="342"/>
      <c r="O32" s="342"/>
      <c r="P32" s="342"/>
    </row>
    <row r="33" spans="2:16" x14ac:dyDescent="0.3">
      <c r="B33" s="70" t="s">
        <v>244</v>
      </c>
      <c r="C33" s="70"/>
      <c r="D33" s="70"/>
      <c r="E33" s="70"/>
      <c r="F33" s="70"/>
      <c r="G33" s="70"/>
      <c r="H33" s="70"/>
      <c r="I33" s="70"/>
      <c r="J33" s="70"/>
      <c r="K33" s="70"/>
      <c r="L33" s="70"/>
      <c r="M33" s="70"/>
      <c r="N33" s="342">
        <v>1703.97</v>
      </c>
      <c r="O33" s="342">
        <v>1703.97</v>
      </c>
      <c r="P33" s="342">
        <v>1703.97</v>
      </c>
    </row>
    <row r="35" spans="2:16" x14ac:dyDescent="0.3">
      <c r="B35" s="62" t="s">
        <v>283</v>
      </c>
      <c r="N35" s="62" t="str">
        <f>IF(N31&gt;$N$33,"UnderValued","OverValued")</f>
        <v>UnderValued</v>
      </c>
      <c r="O35" s="62" t="str">
        <f t="shared" ref="O35:P35" si="7">IF(O31&gt;$N$33,"UnderValued","OverValued")</f>
        <v>UnderValued</v>
      </c>
      <c r="P35" s="62" t="str">
        <f t="shared" si="7"/>
        <v>OverValued</v>
      </c>
    </row>
    <row r="38" spans="2:16" x14ac:dyDescent="0.3">
      <c r="B38" s="62" t="s">
        <v>284</v>
      </c>
    </row>
    <row r="39" spans="2:16" x14ac:dyDescent="0.3">
      <c r="B39" s="419" t="s">
        <v>363</v>
      </c>
      <c r="C39" s="419"/>
      <c r="D39" s="419"/>
      <c r="E39" s="419"/>
      <c r="F39" s="419"/>
      <c r="G39" s="419"/>
      <c r="H39" s="419"/>
      <c r="I39" s="419"/>
      <c r="J39" s="419"/>
      <c r="K39" s="419"/>
      <c r="L39" s="419"/>
      <c r="M39" s="419"/>
      <c r="N39" s="419"/>
    </row>
    <row r="40" spans="2:16" x14ac:dyDescent="0.3">
      <c r="B40" s="419"/>
      <c r="C40" s="419"/>
      <c r="D40" s="419"/>
      <c r="E40" s="419"/>
      <c r="F40" s="419"/>
      <c r="G40" s="419"/>
      <c r="H40" s="419"/>
      <c r="I40" s="419"/>
      <c r="J40" s="419"/>
      <c r="K40" s="419"/>
      <c r="L40" s="419"/>
      <c r="M40" s="419"/>
      <c r="N40" s="419"/>
    </row>
    <row r="41" spans="2:16" x14ac:dyDescent="0.3">
      <c r="B41" s="419"/>
      <c r="C41" s="419"/>
      <c r="D41" s="419"/>
      <c r="E41" s="419"/>
      <c r="F41" s="419"/>
      <c r="G41" s="419"/>
      <c r="H41" s="419"/>
      <c r="I41" s="419"/>
      <c r="J41" s="419"/>
      <c r="K41" s="419"/>
      <c r="L41" s="419"/>
      <c r="M41" s="419"/>
      <c r="N41" s="419"/>
    </row>
    <row r="42" spans="2:16" x14ac:dyDescent="0.3">
      <c r="B42" s="419"/>
      <c r="C42" s="419"/>
      <c r="D42" s="419"/>
      <c r="E42" s="419"/>
      <c r="F42" s="419"/>
      <c r="G42" s="419"/>
      <c r="H42" s="419"/>
      <c r="I42" s="419"/>
      <c r="J42" s="419"/>
      <c r="K42" s="419"/>
      <c r="L42" s="419"/>
      <c r="M42" s="419"/>
      <c r="N42" s="419"/>
    </row>
    <row r="43" spans="2:16" x14ac:dyDescent="0.3">
      <c r="B43" s="419"/>
      <c r="C43" s="419"/>
      <c r="D43" s="419"/>
      <c r="E43" s="419"/>
      <c r="F43" s="419"/>
      <c r="G43" s="419"/>
      <c r="H43" s="419"/>
      <c r="I43" s="419"/>
      <c r="J43" s="419"/>
      <c r="K43" s="419"/>
      <c r="L43" s="419"/>
      <c r="M43" s="419"/>
      <c r="N43" s="419"/>
    </row>
    <row r="44" spans="2:16" x14ac:dyDescent="0.3">
      <c r="B44" s="419"/>
      <c r="C44" s="419"/>
      <c r="D44" s="419"/>
      <c r="E44" s="419"/>
      <c r="F44" s="419"/>
      <c r="G44" s="419"/>
      <c r="H44" s="419"/>
      <c r="I44" s="419"/>
      <c r="J44" s="419"/>
      <c r="K44" s="419"/>
      <c r="L44" s="419"/>
      <c r="M44" s="419"/>
      <c r="N44" s="419"/>
    </row>
  </sheetData>
  <mergeCells count="7">
    <mergeCell ref="B3:I3"/>
    <mergeCell ref="B39:N44"/>
    <mergeCell ref="D5:H5"/>
    <mergeCell ref="J5:L5"/>
    <mergeCell ref="N5:P5"/>
    <mergeCell ref="B24:F24"/>
    <mergeCell ref="N23:P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9D384-A0AE-4DA0-9916-64A68403F966}">
  <dimension ref="B2:P80"/>
  <sheetViews>
    <sheetView showGridLines="0" workbookViewId="0">
      <selection activeCell="C10" sqref="C10"/>
    </sheetView>
  </sheetViews>
  <sheetFormatPr defaultRowHeight="14.4" x14ac:dyDescent="0.3"/>
  <cols>
    <col min="2" max="2" width="30.6640625" customWidth="1"/>
    <col min="3" max="3" width="18" customWidth="1"/>
    <col min="4" max="4" width="18.6640625" customWidth="1"/>
    <col min="5" max="5" width="14.5546875" customWidth="1"/>
    <col min="7" max="7" width="12.21875" customWidth="1"/>
    <col min="8" max="8" width="20.21875" bestFit="1" customWidth="1"/>
    <col min="9" max="9" width="15.5546875" customWidth="1"/>
    <col min="10" max="10" width="17.44140625" customWidth="1"/>
    <col min="11" max="11" width="14.77734375" customWidth="1"/>
  </cols>
  <sheetData>
    <row r="2" spans="2:16" x14ac:dyDescent="0.3">
      <c r="B2" s="423" t="str">
        <f>"Dividend Discounting Valuation"&amp;" - "&amp;'Beta-Ismail Industries Ltd'!$B$4:$E$4</f>
        <v>Dividend Discounting Valuation - Ismail Industries Limited</v>
      </c>
      <c r="C2" s="423"/>
      <c r="D2" s="423"/>
      <c r="E2" s="423"/>
      <c r="F2" s="423"/>
      <c r="G2" s="423"/>
      <c r="H2" s="423"/>
      <c r="I2" s="423"/>
    </row>
    <row r="4" spans="2:16" x14ac:dyDescent="0.3">
      <c r="B4" s="423" t="s">
        <v>367</v>
      </c>
      <c r="C4" s="423"/>
      <c r="D4" s="423"/>
      <c r="E4" s="423"/>
      <c r="F4" s="213"/>
      <c r="G4" s="213"/>
      <c r="H4" s="213"/>
      <c r="I4" s="213"/>
    </row>
    <row r="6" spans="2:16" x14ac:dyDescent="0.3">
      <c r="B6" s="346" t="s">
        <v>398</v>
      </c>
      <c r="C6" s="347"/>
      <c r="D6" s="347"/>
      <c r="E6" s="347"/>
      <c r="F6" s="347"/>
      <c r="G6" s="347"/>
      <c r="I6" s="462" t="s">
        <v>376</v>
      </c>
      <c r="J6" s="462"/>
      <c r="K6" s="462"/>
      <c r="L6" s="462"/>
      <c r="M6" s="356"/>
      <c r="N6" s="357" t="s">
        <v>375</v>
      </c>
      <c r="O6" s="356">
        <v>0.8</v>
      </c>
    </row>
    <row r="7" spans="2:16" x14ac:dyDescent="0.3">
      <c r="B7" s="346" t="s">
        <v>372</v>
      </c>
      <c r="C7" s="358"/>
      <c r="D7" s="358"/>
      <c r="E7" s="358"/>
      <c r="F7" s="347"/>
      <c r="G7" s="347"/>
      <c r="I7" s="460" t="s">
        <v>372</v>
      </c>
      <c r="J7" s="460"/>
      <c r="K7" s="460"/>
      <c r="L7" s="460"/>
      <c r="M7" s="358"/>
      <c r="N7" s="357"/>
      <c r="O7" s="356"/>
    </row>
    <row r="8" spans="2:16" x14ac:dyDescent="0.3">
      <c r="B8" s="346" t="s">
        <v>369</v>
      </c>
      <c r="C8" s="346" t="s">
        <v>373</v>
      </c>
      <c r="D8" s="346" t="s">
        <v>374</v>
      </c>
      <c r="F8" s="347"/>
      <c r="G8" s="347"/>
      <c r="I8" s="346" t="s">
        <v>59</v>
      </c>
      <c r="J8" s="346" t="s">
        <v>373</v>
      </c>
      <c r="K8" s="346" t="s">
        <v>377</v>
      </c>
      <c r="L8" s="346" t="s">
        <v>166</v>
      </c>
      <c r="M8" s="356"/>
      <c r="N8" s="357" t="s">
        <v>378</v>
      </c>
      <c r="O8" s="356">
        <v>0.2</v>
      </c>
    </row>
    <row r="9" spans="2:16" x14ac:dyDescent="0.3">
      <c r="B9" s="348">
        <v>2019</v>
      </c>
      <c r="C9" s="349">
        <f>Pnl!H$52</f>
        <v>3.5</v>
      </c>
      <c r="D9" s="372">
        <v>0</v>
      </c>
      <c r="F9" s="347"/>
      <c r="G9" s="347"/>
      <c r="I9" s="356">
        <f t="shared" ref="I9:J14" si="0">B9</f>
        <v>2019</v>
      </c>
      <c r="J9" s="359">
        <f t="shared" si="0"/>
        <v>3.5</v>
      </c>
      <c r="K9" s="359">
        <f>J9</f>
        <v>3.5</v>
      </c>
      <c r="L9" s="360">
        <f>0</f>
        <v>0</v>
      </c>
      <c r="M9" s="356"/>
      <c r="N9" s="356"/>
      <c r="O9" s="356"/>
      <c r="P9" s="356"/>
    </row>
    <row r="10" spans="2:16" x14ac:dyDescent="0.3">
      <c r="B10" s="348">
        <f>B9+1</f>
        <v>2020</v>
      </c>
      <c r="C10" s="349">
        <f>Pnl!G$52</f>
        <v>3</v>
      </c>
      <c r="D10" s="350">
        <f>(C10-C9)/C9</f>
        <v>-0.14285714285714285</v>
      </c>
      <c r="F10" s="347"/>
      <c r="G10" s="347"/>
      <c r="I10" s="356">
        <f t="shared" si="0"/>
        <v>2020</v>
      </c>
      <c r="J10" s="359">
        <f t="shared" si="0"/>
        <v>3</v>
      </c>
      <c r="K10" s="359">
        <f>($O$6*J10)+((1-$O$6)*(K9+L9))</f>
        <v>3.1</v>
      </c>
      <c r="L10" s="359">
        <f>($O$8*(K10-K9))+((1-$O$8)*L9)</f>
        <v>-7.9999999999999988E-2</v>
      </c>
      <c r="M10" s="356"/>
      <c r="N10" s="356"/>
      <c r="O10" s="356"/>
      <c r="P10" s="356"/>
    </row>
    <row r="11" spans="2:16" x14ac:dyDescent="0.3">
      <c r="B11" s="348">
        <f t="shared" ref="B11:B14" si="1">B10+1</f>
        <v>2021</v>
      </c>
      <c r="C11" s="349">
        <f>Pnl!F$52</f>
        <v>15</v>
      </c>
      <c r="D11" s="350">
        <f t="shared" ref="D11:D20" si="2">(C11-C10)/C10</f>
        <v>4</v>
      </c>
      <c r="F11" s="347"/>
      <c r="G11" s="347"/>
      <c r="I11" s="356">
        <f t="shared" si="0"/>
        <v>2021</v>
      </c>
      <c r="J11" s="359">
        <f t="shared" si="0"/>
        <v>15</v>
      </c>
      <c r="K11" s="359">
        <f>($O$6*J11)+((1-$O$6)*(K10+L10))</f>
        <v>12.603999999999999</v>
      </c>
      <c r="L11" s="359">
        <f>($O$8*(K11-K10))+((1-$O$8)*L10)</f>
        <v>1.8368</v>
      </c>
      <c r="M11" s="356"/>
      <c r="N11" s="356"/>
      <c r="O11" s="356"/>
      <c r="P11" s="356"/>
    </row>
    <row r="12" spans="2:16" x14ac:dyDescent="0.3">
      <c r="B12" s="348">
        <f t="shared" si="1"/>
        <v>2022</v>
      </c>
      <c r="C12" s="349">
        <f>Pnl!E$52</f>
        <v>4</v>
      </c>
      <c r="D12" s="350">
        <f t="shared" si="2"/>
        <v>-0.73333333333333328</v>
      </c>
      <c r="F12" s="347"/>
      <c r="G12" s="347"/>
      <c r="I12" s="356">
        <f t="shared" si="0"/>
        <v>2022</v>
      </c>
      <c r="J12" s="359">
        <f t="shared" si="0"/>
        <v>4</v>
      </c>
      <c r="K12" s="359">
        <f>($O$6*J12)+((1-$O$6)*(K11+L11))</f>
        <v>6.0881599999999993</v>
      </c>
      <c r="L12" s="359">
        <f>($O$8*(K12-K11))+((1-$O$8)*L11)</f>
        <v>0.16627199999999998</v>
      </c>
      <c r="M12" s="356"/>
      <c r="N12" s="356"/>
      <c r="O12" s="356"/>
      <c r="P12" s="356"/>
    </row>
    <row r="13" spans="2:16" x14ac:dyDescent="0.3">
      <c r="B13" s="348">
        <f t="shared" si="1"/>
        <v>2023</v>
      </c>
      <c r="C13" s="349">
        <f>Pnl!D$52</f>
        <v>12</v>
      </c>
      <c r="D13" s="350">
        <f t="shared" si="2"/>
        <v>2</v>
      </c>
      <c r="F13" s="347"/>
      <c r="G13" s="347"/>
      <c r="I13" s="356">
        <f t="shared" si="0"/>
        <v>2023</v>
      </c>
      <c r="J13" s="359">
        <f t="shared" si="0"/>
        <v>12</v>
      </c>
      <c r="K13" s="359">
        <f>($O$6*J13)+((1-$O$6)*(K12+L12))</f>
        <v>10.8508864</v>
      </c>
      <c r="L13" s="359">
        <f>($O$8*(K13-K12))+((1-$O$8)*L12)</f>
        <v>1.0855628800000003</v>
      </c>
      <c r="M13" s="356"/>
      <c r="N13" s="356"/>
      <c r="O13" s="356"/>
      <c r="P13" s="356"/>
    </row>
    <row r="14" spans="2:16" x14ac:dyDescent="0.3">
      <c r="B14" s="348">
        <f t="shared" si="1"/>
        <v>2024</v>
      </c>
      <c r="C14" s="349">
        <f>Pnl!C$52</f>
        <v>10</v>
      </c>
      <c r="D14" s="350">
        <f t="shared" si="2"/>
        <v>-0.16666666666666666</v>
      </c>
      <c r="F14" s="347"/>
      <c r="G14" s="347"/>
      <c r="I14" s="356">
        <f t="shared" si="0"/>
        <v>2024</v>
      </c>
      <c r="J14" s="359">
        <f t="shared" si="0"/>
        <v>10</v>
      </c>
      <c r="K14" s="359">
        <f>($O$6*J14)+((1-$O$6)*(K13+L13))</f>
        <v>10.387289855999999</v>
      </c>
      <c r="L14" s="359">
        <f>($O$8*(K14-K13))+((1-$O$8)*L13)</f>
        <v>0.7757309952</v>
      </c>
      <c r="M14" s="356"/>
      <c r="N14" s="356"/>
      <c r="O14" s="356"/>
      <c r="P14" s="356"/>
    </row>
    <row r="15" spans="2:16" x14ac:dyDescent="0.3">
      <c r="B15" s="351">
        <v>2025</v>
      </c>
      <c r="C15" s="352">
        <f>_xlfn.FORECAST.ETS(B15,C9:C14,B9:B14,0,0,1)</f>
        <v>11.23987721134452</v>
      </c>
      <c r="D15" s="353">
        <f t="shared" si="2"/>
        <v>0.12398772113445204</v>
      </c>
      <c r="F15" s="347"/>
      <c r="G15" s="347"/>
      <c r="I15" s="356">
        <f t="shared" ref="I15:I20" si="3">B15</f>
        <v>2025</v>
      </c>
      <c r="J15" s="361">
        <f>$K$14+(1*$L$14)</f>
        <v>11.163020851199999</v>
      </c>
      <c r="K15" s="356"/>
      <c r="L15" s="356"/>
      <c r="M15" s="356"/>
      <c r="N15" s="356"/>
      <c r="O15" s="356"/>
      <c r="P15" s="356"/>
    </row>
    <row r="16" spans="2:16" x14ac:dyDescent="0.3">
      <c r="B16" s="351">
        <f>B15+1</f>
        <v>2026</v>
      </c>
      <c r="C16" s="352">
        <f t="shared" ref="C16:C20" si="4">_xlfn.FORECAST.ETS(B16,C10:C15,B10:B15,0,0,1)</f>
        <v>10.62206051848084</v>
      </c>
      <c r="D16" s="354">
        <f t="shared" si="2"/>
        <v>-5.4966498409796859E-2</v>
      </c>
      <c r="F16" s="347"/>
      <c r="G16" s="347"/>
      <c r="I16" s="356">
        <f t="shared" si="3"/>
        <v>2026</v>
      </c>
      <c r="J16" s="361">
        <f>$K$14+(2*$L$14)</f>
        <v>11.938751846399999</v>
      </c>
      <c r="K16" s="356"/>
      <c r="L16" s="356"/>
      <c r="M16" s="356"/>
      <c r="N16" s="356"/>
      <c r="O16" s="356"/>
      <c r="P16" s="356"/>
    </row>
    <row r="17" spans="2:16" x14ac:dyDescent="0.3">
      <c r="B17" s="351">
        <f t="shared" ref="B17:B20" si="5">B16+1</f>
        <v>2027</v>
      </c>
      <c r="C17" s="352">
        <f t="shared" si="4"/>
        <v>11.492229568018812</v>
      </c>
      <c r="D17" s="354">
        <f t="shared" si="2"/>
        <v>8.1920927490857831E-2</v>
      </c>
      <c r="F17" s="347"/>
      <c r="G17" s="347"/>
      <c r="I17" s="356">
        <f t="shared" si="3"/>
        <v>2027</v>
      </c>
      <c r="J17" s="361">
        <f>$K$14+(3*$L$14)</f>
        <v>12.714482841599999</v>
      </c>
      <c r="K17" s="356"/>
      <c r="L17" s="356"/>
      <c r="M17" s="356"/>
      <c r="N17" s="356"/>
      <c r="O17" s="356"/>
      <c r="P17" s="356"/>
    </row>
    <row r="18" spans="2:16" x14ac:dyDescent="0.3">
      <c r="B18" s="351">
        <f t="shared" si="5"/>
        <v>2028</v>
      </c>
      <c r="C18" s="352">
        <f t="shared" si="4"/>
        <v>12.129398947243841</v>
      </c>
      <c r="D18" s="354">
        <f t="shared" si="2"/>
        <v>5.5443495577061672E-2</v>
      </c>
      <c r="F18" s="347"/>
      <c r="G18" s="347"/>
      <c r="I18" s="356">
        <f t="shared" si="3"/>
        <v>2028</v>
      </c>
      <c r="J18" s="361">
        <f>$K$14+(4*$L$14)</f>
        <v>13.490213836799999</v>
      </c>
      <c r="K18" s="356"/>
      <c r="L18" s="356"/>
      <c r="M18" s="356"/>
      <c r="N18" s="356"/>
      <c r="O18" s="356"/>
      <c r="P18" s="356"/>
    </row>
    <row r="19" spans="2:16" x14ac:dyDescent="0.3">
      <c r="B19" s="351">
        <f t="shared" si="5"/>
        <v>2029</v>
      </c>
      <c r="C19" s="352">
        <f t="shared" si="4"/>
        <v>12.245233294809177</v>
      </c>
      <c r="D19" s="354">
        <f t="shared" si="2"/>
        <v>9.5498835572274642E-3</v>
      </c>
      <c r="F19" s="347"/>
      <c r="G19" s="347"/>
      <c r="I19" s="356">
        <f t="shared" si="3"/>
        <v>2029</v>
      </c>
      <c r="J19" s="361">
        <f>$K$14+(5*$L$14)</f>
        <v>14.265944831999999</v>
      </c>
      <c r="K19" s="356"/>
      <c r="L19" s="356"/>
      <c r="M19" s="356"/>
      <c r="N19" s="356"/>
      <c r="O19" s="356"/>
      <c r="P19" s="356"/>
    </row>
    <row r="20" spans="2:16" x14ac:dyDescent="0.3">
      <c r="B20" s="351">
        <f t="shared" si="5"/>
        <v>2030</v>
      </c>
      <c r="C20" s="352">
        <f t="shared" si="4"/>
        <v>12.823352326773291</v>
      </c>
      <c r="D20" s="354">
        <f t="shared" si="2"/>
        <v>4.7211761347918296E-2</v>
      </c>
      <c r="F20" s="347"/>
      <c r="G20" s="347"/>
      <c r="I20" s="356">
        <f t="shared" si="3"/>
        <v>2030</v>
      </c>
      <c r="J20" s="361">
        <f>$K$14+(6*$L$14)</f>
        <v>15.041675827199999</v>
      </c>
      <c r="K20" s="356"/>
      <c r="L20" s="356"/>
      <c r="M20" s="356"/>
      <c r="N20" s="356"/>
      <c r="O20" s="356"/>
      <c r="P20" s="356"/>
    </row>
    <row r="21" spans="2:16" x14ac:dyDescent="0.3">
      <c r="B21" s="347"/>
      <c r="C21" s="347"/>
      <c r="D21" s="347"/>
      <c r="E21" s="347"/>
      <c r="F21" s="347"/>
      <c r="G21" s="347"/>
      <c r="I21" s="356"/>
      <c r="J21" s="362"/>
      <c r="K21" s="356"/>
      <c r="L21" s="356"/>
      <c r="M21" s="356"/>
      <c r="N21" s="356"/>
      <c r="O21" s="356"/>
      <c r="P21" s="356"/>
    </row>
    <row r="22" spans="2:16" x14ac:dyDescent="0.3">
      <c r="B22" s="355" t="s">
        <v>56</v>
      </c>
      <c r="C22" s="347"/>
      <c r="D22" s="347"/>
      <c r="E22" s="347"/>
      <c r="F22" s="347"/>
      <c r="G22" s="347"/>
      <c r="I22" s="355" t="s">
        <v>56</v>
      </c>
      <c r="J22" s="347"/>
      <c r="K22" s="347"/>
      <c r="L22" s="347"/>
      <c r="M22" s="347"/>
      <c r="N22" s="347"/>
    </row>
    <row r="23" spans="2:16" x14ac:dyDescent="0.3">
      <c r="B23" s="461" t="s">
        <v>371</v>
      </c>
      <c r="C23" s="461"/>
      <c r="D23" s="461"/>
      <c r="E23" s="461"/>
      <c r="F23" s="461"/>
      <c r="G23" s="461"/>
      <c r="I23" s="461" t="s">
        <v>379</v>
      </c>
      <c r="J23" s="461"/>
      <c r="K23" s="461"/>
      <c r="L23" s="461"/>
      <c r="M23" s="461"/>
      <c r="N23" s="461"/>
      <c r="O23" s="461"/>
    </row>
    <row r="26" spans="2:16" x14ac:dyDescent="0.3">
      <c r="B26" s="423" t="s">
        <v>383</v>
      </c>
      <c r="C26" s="423"/>
      <c r="D26" s="423"/>
      <c r="E26" s="423"/>
    </row>
    <row r="28" spans="2:16" x14ac:dyDescent="0.3">
      <c r="B28" s="51" t="s">
        <v>384</v>
      </c>
    </row>
    <row r="29" spans="2:16" x14ac:dyDescent="0.3">
      <c r="B29" s="366" t="s">
        <v>381</v>
      </c>
      <c r="F29" s="35">
        <v>0.25329748754238424</v>
      </c>
      <c r="G29" s="42">
        <v>0.89178669449857717</v>
      </c>
      <c r="H29" s="410">
        <f>F29*G29</f>
        <v>0.22588732914021736</v>
      </c>
    </row>
    <row r="30" spans="2:16" x14ac:dyDescent="0.3">
      <c r="B30" t="s">
        <v>382</v>
      </c>
      <c r="C30" s="7">
        <f>B14-B9</f>
        <v>5</v>
      </c>
      <c r="E30" s="35"/>
    </row>
    <row r="32" spans="2:16" ht="15" thickBot="1" x14ac:dyDescent="0.35">
      <c r="B32" s="70" t="s">
        <v>380</v>
      </c>
      <c r="C32" s="363">
        <f>((C14/C9)^(1/C30))-1</f>
        <v>0.23363417251672081</v>
      </c>
    </row>
    <row r="33" spans="2:12" ht="15" thickTop="1" x14ac:dyDescent="0.3"/>
    <row r="34" spans="2:12" x14ac:dyDescent="0.3">
      <c r="B34" s="51" t="s">
        <v>385</v>
      </c>
      <c r="I34" s="358"/>
      <c r="J34" s="347"/>
      <c r="K34" s="347"/>
      <c r="L34" s="347"/>
    </row>
    <row r="35" spans="2:12" x14ac:dyDescent="0.3">
      <c r="B35" s="459" t="s">
        <v>430</v>
      </c>
      <c r="C35" s="459"/>
      <c r="L35" s="358"/>
    </row>
    <row r="36" spans="2:12" x14ac:dyDescent="0.3">
      <c r="L36" s="358"/>
    </row>
    <row r="37" spans="2:12" ht="15" hidden="1" thickBot="1" x14ac:dyDescent="0.35">
      <c r="B37" s="70" t="s">
        <v>380</v>
      </c>
      <c r="C37" s="363">
        <f>_xlfn.FORECAST.ETS(B15,D9:D14,B9:B14,0,0,1)</f>
        <v>0.1321354808749538</v>
      </c>
      <c r="L37" s="348"/>
    </row>
    <row r="38" spans="2:12" ht="15" hidden="1" thickTop="1" x14ac:dyDescent="0.3">
      <c r="J38" s="243"/>
      <c r="L38" s="367"/>
    </row>
    <row r="39" spans="2:12" x14ac:dyDescent="0.3">
      <c r="B39" t="s">
        <v>397</v>
      </c>
      <c r="C39" s="2">
        <f>_xlfn.FORECAST.ETS(B15,C9:C14,B9:B14,0,0,1)</f>
        <v>11.23987721134452</v>
      </c>
      <c r="L39" s="367"/>
    </row>
    <row r="40" spans="2:12" x14ac:dyDescent="0.3">
      <c r="L40" s="367"/>
    </row>
    <row r="41" spans="2:12" ht="15" thickBot="1" x14ac:dyDescent="0.35">
      <c r="B41" s="70" t="s">
        <v>380</v>
      </c>
      <c r="C41" s="401">
        <f>(C39-C14)/C14</f>
        <v>0.12398772113445204</v>
      </c>
      <c r="D41" s="243" t="s">
        <v>424</v>
      </c>
      <c r="L41" s="367"/>
    </row>
    <row r="42" spans="2:12" ht="15" thickTop="1" x14ac:dyDescent="0.3">
      <c r="B42" s="70"/>
      <c r="C42" s="373"/>
      <c r="L42" s="367"/>
    </row>
    <row r="43" spans="2:12" x14ac:dyDescent="0.3">
      <c r="B43" s="62" t="s">
        <v>81</v>
      </c>
      <c r="C43" s="373"/>
      <c r="L43" s="367"/>
    </row>
    <row r="44" spans="2:12" x14ac:dyDescent="0.3">
      <c r="B44" s="419" t="s">
        <v>399</v>
      </c>
      <c r="C44" s="419"/>
      <c r="D44" s="419"/>
      <c r="E44" s="419"/>
      <c r="F44" s="419"/>
      <c r="G44" s="419"/>
      <c r="H44" s="419"/>
      <c r="L44" s="367"/>
    </row>
    <row r="45" spans="2:12" x14ac:dyDescent="0.3">
      <c r="B45" s="419"/>
      <c r="C45" s="419"/>
      <c r="D45" s="419"/>
      <c r="E45" s="419"/>
      <c r="F45" s="419"/>
      <c r="G45" s="419"/>
      <c r="H45" s="419"/>
      <c r="L45" s="367"/>
    </row>
    <row r="46" spans="2:12" x14ac:dyDescent="0.3">
      <c r="B46" s="70"/>
      <c r="C46" s="373"/>
      <c r="L46" s="367"/>
    </row>
    <row r="47" spans="2:12" x14ac:dyDescent="0.3">
      <c r="L47" s="367"/>
    </row>
    <row r="48" spans="2:12" x14ac:dyDescent="0.3">
      <c r="B48" s="51" t="s">
        <v>389</v>
      </c>
      <c r="E48" s="460" t="s">
        <v>390</v>
      </c>
      <c r="F48" s="460"/>
      <c r="G48" s="460"/>
      <c r="L48" s="369"/>
    </row>
    <row r="49" spans="2:12" x14ac:dyDescent="0.3">
      <c r="B49" s="459" t="s">
        <v>386</v>
      </c>
      <c r="C49" s="459"/>
      <c r="E49" s="346" t="s">
        <v>368</v>
      </c>
      <c r="F49" s="346" t="s">
        <v>369</v>
      </c>
      <c r="G49" s="346" t="s">
        <v>391</v>
      </c>
      <c r="I49" s="348"/>
      <c r="J49" s="348"/>
      <c r="K49" s="364"/>
      <c r="L49" s="367"/>
    </row>
    <row r="50" spans="2:12" x14ac:dyDescent="0.3">
      <c r="E50" s="348">
        <v>1</v>
      </c>
      <c r="F50" s="348">
        <v>2019</v>
      </c>
      <c r="G50" s="368">
        <f>[3]Pnl!$H$38</f>
        <v>0.23103364739355578</v>
      </c>
    </row>
    <row r="51" spans="2:12" x14ac:dyDescent="0.3">
      <c r="B51" s="70" t="s">
        <v>387</v>
      </c>
      <c r="C51" s="56">
        <f>'[3]Forecasting-EPS'!$D$10</f>
        <v>129.91481993596045</v>
      </c>
      <c r="E51" s="348">
        <v>2</v>
      </c>
      <c r="F51" s="348">
        <f>F50+1</f>
        <v>2020</v>
      </c>
      <c r="G51" s="368">
        <f>[3]Pnl!$G$38</f>
        <v>0.2070984371730698</v>
      </c>
    </row>
    <row r="52" spans="2:12" x14ac:dyDescent="0.3">
      <c r="B52" s="365" t="s">
        <v>388</v>
      </c>
      <c r="E52" s="348">
        <v>3</v>
      </c>
      <c r="F52" s="348">
        <f t="shared" ref="F52:F55" si="6">F51+1</f>
        <v>2021</v>
      </c>
      <c r="G52" s="368">
        <f>[3]Pnl!$F$38</f>
        <v>0.56023703948857018</v>
      </c>
    </row>
    <row r="53" spans="2:12" x14ac:dyDescent="0.3">
      <c r="E53" s="348">
        <v>4</v>
      </c>
      <c r="F53" s="348">
        <f t="shared" si="6"/>
        <v>2022</v>
      </c>
      <c r="G53" s="368">
        <f>[3]Pnl!$E$38</f>
        <v>0.1040476577809434</v>
      </c>
    </row>
    <row r="54" spans="2:12" x14ac:dyDescent="0.3">
      <c r="B54" t="s">
        <v>392</v>
      </c>
      <c r="C54" s="36">
        <f>G56</f>
        <v>9.0841998353359155E-2</v>
      </c>
      <c r="E54" s="348">
        <v>5</v>
      </c>
      <c r="F54" s="348">
        <f t="shared" si="6"/>
        <v>2023</v>
      </c>
      <c r="G54" s="368">
        <f>[3]Pnl!$D$38</f>
        <v>0.12477633728396184</v>
      </c>
    </row>
    <row r="55" spans="2:12" x14ac:dyDescent="0.3">
      <c r="E55" s="348">
        <v>6</v>
      </c>
      <c r="F55" s="348">
        <f t="shared" si="6"/>
        <v>2024</v>
      </c>
      <c r="G55" s="368">
        <f>[3]Pnl!$C$38</f>
        <v>0.10821330550142286</v>
      </c>
    </row>
    <row r="56" spans="2:12" x14ac:dyDescent="0.3">
      <c r="B56" t="s">
        <v>393</v>
      </c>
      <c r="C56" s="56">
        <f>C51*C54</f>
        <v>11.801721858699471</v>
      </c>
      <c r="E56" s="351">
        <v>7</v>
      </c>
      <c r="F56" s="351" t="s">
        <v>370</v>
      </c>
      <c r="G56" s="370">
        <f>FORECAST(E56,$G$50:$G$55,$E$50:$E$55)</f>
        <v>9.0841998353359155E-2</v>
      </c>
    </row>
    <row r="58" spans="2:12" ht="15" thickBot="1" x14ac:dyDescent="0.35">
      <c r="B58" s="70" t="s">
        <v>380</v>
      </c>
      <c r="C58" s="371">
        <f>(C56-C14)/C14</f>
        <v>0.18017218586994713</v>
      </c>
    </row>
    <row r="59" spans="2:12" ht="15" thickTop="1" x14ac:dyDescent="0.3"/>
    <row r="60" spans="2:12" x14ac:dyDescent="0.3">
      <c r="B60" s="62" t="s">
        <v>176</v>
      </c>
      <c r="C60" s="373"/>
    </row>
    <row r="61" spans="2:12" x14ac:dyDescent="0.3">
      <c r="B61" s="419" t="s">
        <v>402</v>
      </c>
      <c r="C61" s="419"/>
      <c r="D61" s="419"/>
      <c r="E61" s="419"/>
      <c r="F61" s="419"/>
      <c r="G61" s="419"/>
      <c r="H61" s="419"/>
    </row>
    <row r="62" spans="2:12" x14ac:dyDescent="0.3">
      <c r="B62" s="419"/>
      <c r="C62" s="419"/>
      <c r="D62" s="419"/>
      <c r="E62" s="419"/>
      <c r="F62" s="419"/>
      <c r="G62" s="419"/>
      <c r="H62" s="419"/>
    </row>
    <row r="63" spans="2:12" x14ac:dyDescent="0.3">
      <c r="B63" s="419"/>
      <c r="C63" s="419"/>
      <c r="D63" s="419"/>
      <c r="E63" s="419"/>
      <c r="F63" s="419"/>
      <c r="G63" s="419"/>
      <c r="H63" s="419"/>
    </row>
    <row r="66" spans="2:8" x14ac:dyDescent="0.3">
      <c r="B66" s="51" t="s">
        <v>425</v>
      </c>
    </row>
    <row r="67" spans="2:8" x14ac:dyDescent="0.3">
      <c r="B67" s="459" t="s">
        <v>182</v>
      </c>
      <c r="C67" s="459"/>
    </row>
    <row r="69" spans="2:8" x14ac:dyDescent="0.3">
      <c r="B69" t="s">
        <v>426</v>
      </c>
      <c r="C69" s="36">
        <f>'[3]Ratio Analysis-Profitability'!$C$11</f>
        <v>0.25329748754238424</v>
      </c>
    </row>
    <row r="70" spans="2:8" x14ac:dyDescent="0.3">
      <c r="B70" s="365" t="s">
        <v>388</v>
      </c>
    </row>
    <row r="72" spans="2:8" x14ac:dyDescent="0.3">
      <c r="B72" t="s">
        <v>427</v>
      </c>
      <c r="C72" s="40">
        <f>[3]Pnl!$C$40</f>
        <v>0.89178669449857717</v>
      </c>
    </row>
    <row r="73" spans="2:8" x14ac:dyDescent="0.3">
      <c r="B73" s="365" t="s">
        <v>388</v>
      </c>
    </row>
    <row r="75" spans="2:8" ht="15" thickBot="1" x14ac:dyDescent="0.35">
      <c r="B75" s="70" t="s">
        <v>380</v>
      </c>
      <c r="C75" s="371">
        <f>C69*C72</f>
        <v>0.22588732914021736</v>
      </c>
    </row>
    <row r="76" spans="2:8" ht="15" thickTop="1" x14ac:dyDescent="0.3"/>
    <row r="77" spans="2:8" x14ac:dyDescent="0.3">
      <c r="B77" s="62" t="s">
        <v>428</v>
      </c>
      <c r="C77" s="373"/>
    </row>
    <row r="78" spans="2:8" x14ac:dyDescent="0.3">
      <c r="B78" s="419" t="s">
        <v>429</v>
      </c>
      <c r="C78" s="419"/>
      <c r="D78" s="419"/>
      <c r="E78" s="419"/>
      <c r="F78" s="419"/>
      <c r="G78" s="419"/>
      <c r="H78" s="419"/>
    </row>
    <row r="79" spans="2:8" x14ac:dyDescent="0.3">
      <c r="B79" s="419"/>
      <c r="C79" s="419"/>
      <c r="D79" s="419"/>
      <c r="E79" s="419"/>
      <c r="F79" s="419"/>
      <c r="G79" s="419"/>
      <c r="H79" s="419"/>
    </row>
    <row r="80" spans="2:8" x14ac:dyDescent="0.3">
      <c r="B80" s="419"/>
      <c r="C80" s="419"/>
      <c r="D80" s="419"/>
      <c r="E80" s="419"/>
      <c r="F80" s="419"/>
      <c r="G80" s="419"/>
      <c r="H80" s="419"/>
    </row>
  </sheetData>
  <mergeCells count="14">
    <mergeCell ref="B2:I2"/>
    <mergeCell ref="B4:E4"/>
    <mergeCell ref="B23:G23"/>
    <mergeCell ref="I7:L7"/>
    <mergeCell ref="I6:L6"/>
    <mergeCell ref="I23:O23"/>
    <mergeCell ref="B61:H63"/>
    <mergeCell ref="B67:C67"/>
    <mergeCell ref="B78:H80"/>
    <mergeCell ref="B26:E26"/>
    <mergeCell ref="B49:C49"/>
    <mergeCell ref="E48:G48"/>
    <mergeCell ref="B35:C35"/>
    <mergeCell ref="B44:H4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F50E-145A-45BF-999D-8D13EDCDB0AD}">
  <dimension ref="B2:K29"/>
  <sheetViews>
    <sheetView showGridLines="0" workbookViewId="0">
      <selection activeCell="B4" sqref="B4:I4"/>
    </sheetView>
  </sheetViews>
  <sheetFormatPr defaultRowHeight="14.4" x14ac:dyDescent="0.3"/>
  <cols>
    <col min="2" max="2" width="25.109375" customWidth="1"/>
    <col min="3" max="3" width="17.21875" bestFit="1" customWidth="1"/>
    <col min="6" max="6" width="10.77734375" customWidth="1"/>
    <col min="7" max="7" width="10" customWidth="1"/>
  </cols>
  <sheetData>
    <row r="2" spans="2:9" x14ac:dyDescent="0.3">
      <c r="B2" s="423" t="str">
        <f>"Dividend Discounting Valuation"&amp;" - "&amp;'Beta-Ismail Industries Ltd'!$B$4:$E$4</f>
        <v>Dividend Discounting Valuation - Ismail Industries Limited</v>
      </c>
      <c r="C2" s="423"/>
      <c r="D2" s="423"/>
      <c r="E2" s="423"/>
      <c r="F2" s="423"/>
      <c r="G2" s="423"/>
      <c r="H2" s="423"/>
      <c r="I2" s="423"/>
    </row>
    <row r="4" spans="2:9" x14ac:dyDescent="0.3">
      <c r="B4" s="423" t="s">
        <v>394</v>
      </c>
      <c r="C4" s="423"/>
      <c r="D4" s="423"/>
      <c r="E4" s="423"/>
      <c r="F4" s="423"/>
      <c r="G4" s="423"/>
      <c r="H4" s="423"/>
      <c r="I4" s="423"/>
    </row>
    <row r="6" spans="2:9" x14ac:dyDescent="0.3">
      <c r="B6" t="s">
        <v>405</v>
      </c>
      <c r="C6" s="56">
        <f>'Div Discouting-initial calculat'!C14</f>
        <v>10</v>
      </c>
    </row>
    <row r="7" spans="2:9" x14ac:dyDescent="0.3">
      <c r="B7" t="s">
        <v>396</v>
      </c>
      <c r="C7" s="36">
        <f>WACC!L29</f>
        <v>0.14597132528319323</v>
      </c>
    </row>
    <row r="8" spans="2:9" x14ac:dyDescent="0.3">
      <c r="B8" t="s">
        <v>380</v>
      </c>
      <c r="C8" s="36">
        <f>'Div Discouting-initial calculat'!C41</f>
        <v>0.12398772113445204</v>
      </c>
    </row>
    <row r="10" spans="2:9" x14ac:dyDescent="0.3">
      <c r="B10" s="70" t="s">
        <v>395</v>
      </c>
      <c r="C10" s="258">
        <f>(C6*(1+C8)/(C7-C8))</f>
        <v>511.28455258270878</v>
      </c>
    </row>
    <row r="12" spans="2:9" x14ac:dyDescent="0.3">
      <c r="B12" s="70" t="s">
        <v>400</v>
      </c>
      <c r="C12" s="374">
        <f>(C10*'IIL-Comp company Valuation'!E8)/10^9</f>
        <v>33.927278378657647</v>
      </c>
    </row>
    <row r="14" spans="2:9" x14ac:dyDescent="0.3">
      <c r="B14" t="s">
        <v>401</v>
      </c>
      <c r="C14" s="56">
        <f>'IIL-Comp company Valuation'!G8</f>
        <v>22.676939702999988</v>
      </c>
    </row>
    <row r="16" spans="2:9" x14ac:dyDescent="0.3">
      <c r="B16" s="70" t="s">
        <v>278</v>
      </c>
      <c r="C16" s="258">
        <f>C12+C14</f>
        <v>56.604218081657635</v>
      </c>
    </row>
    <row r="19" spans="2:11" x14ac:dyDescent="0.3">
      <c r="B19" s="375" t="s">
        <v>403</v>
      </c>
      <c r="C19" s="376" t="s">
        <v>404</v>
      </c>
      <c r="D19" s="377"/>
      <c r="E19" s="377"/>
      <c r="F19" s="377"/>
      <c r="G19" s="377"/>
      <c r="H19" s="377"/>
      <c r="I19" s="377"/>
      <c r="J19" s="86"/>
      <c r="K19" s="86"/>
    </row>
    <row r="20" spans="2:11" x14ac:dyDescent="0.3">
      <c r="B20" s="377"/>
      <c r="C20" s="377"/>
      <c r="D20" s="377"/>
      <c r="E20" s="377"/>
      <c r="F20" s="377"/>
      <c r="G20" s="377"/>
      <c r="H20" s="377"/>
      <c r="I20" s="377"/>
      <c r="J20" s="86"/>
      <c r="K20" s="86"/>
    </row>
    <row r="21" spans="2:11" x14ac:dyDescent="0.3">
      <c r="B21" s="378"/>
      <c r="C21" s="379"/>
      <c r="D21" s="463" t="s">
        <v>406</v>
      </c>
      <c r="E21" s="463"/>
      <c r="F21" s="463"/>
      <c r="G21" s="463"/>
      <c r="H21" s="463"/>
      <c r="I21" s="463"/>
      <c r="J21" s="463"/>
      <c r="K21" s="463"/>
    </row>
    <row r="22" spans="2:11" x14ac:dyDescent="0.3">
      <c r="B22" s="380"/>
      <c r="C22" s="381">
        <f>C10</f>
        <v>511.28455258270878</v>
      </c>
      <c r="D22" s="382">
        <v>0.06</v>
      </c>
      <c r="E22" s="383">
        <f>D22+2%</f>
        <v>0.08</v>
      </c>
      <c r="F22" s="383">
        <v>0.09</v>
      </c>
      <c r="G22" s="384">
        <v>0.12398772113445204</v>
      </c>
      <c r="H22" s="383">
        <f t="shared" ref="H22:K22" si="0">G22+2%</f>
        <v>0.14398772113445205</v>
      </c>
      <c r="I22" s="383">
        <f t="shared" si="0"/>
        <v>0.16398772113445204</v>
      </c>
      <c r="J22" s="383">
        <f t="shared" si="0"/>
        <v>0.18398772113445203</v>
      </c>
      <c r="K22" s="383">
        <f t="shared" si="0"/>
        <v>0.20398772113445202</v>
      </c>
    </row>
    <row r="23" spans="2:11" x14ac:dyDescent="0.3">
      <c r="B23" s="380"/>
      <c r="C23" s="402">
        <v>0.1</v>
      </c>
      <c r="D23" s="385">
        <f t="dataTable" ref="D23:K29" dt2D="1" dtr="1" r1="C8" r2="C7"/>
        <v>265</v>
      </c>
      <c r="E23" s="386">
        <v>539.99999999999989</v>
      </c>
      <c r="F23" s="386">
        <v>1089.9999999999991</v>
      </c>
      <c r="G23" s="386">
        <v>-468.56794558952083</v>
      </c>
      <c r="H23" s="386">
        <v>-260.06978575629336</v>
      </c>
      <c r="I23" s="386">
        <v>-181.90798179679854</v>
      </c>
      <c r="J23" s="387">
        <v>-140.97152597331001</v>
      </c>
      <c r="K23" s="388">
        <v>-115.78171999535826</v>
      </c>
    </row>
    <row r="24" spans="2:11" x14ac:dyDescent="0.3">
      <c r="B24" s="380"/>
      <c r="C24" s="402">
        <v>0.13</v>
      </c>
      <c r="D24" s="389">
        <v>151.42857142857144</v>
      </c>
      <c r="E24" s="390">
        <v>216</v>
      </c>
      <c r="F24" s="390">
        <v>272.49999999999994</v>
      </c>
      <c r="G24" s="390">
        <v>1869.487005293809</v>
      </c>
      <c r="H24" s="390">
        <v>-817.85139275960182</v>
      </c>
      <c r="I24" s="390">
        <v>-342.47301151196132</v>
      </c>
      <c r="J24" s="391">
        <v>-219.30685279080905</v>
      </c>
      <c r="K24" s="392">
        <v>-162.72804496120929</v>
      </c>
    </row>
    <row r="25" spans="2:11" x14ac:dyDescent="0.3">
      <c r="B25" s="380"/>
      <c r="C25" s="403">
        <v>0.14597132528319323</v>
      </c>
      <c r="D25" s="389">
        <v>123.29692446967807</v>
      </c>
      <c r="E25" s="390">
        <v>163.70748887701055</v>
      </c>
      <c r="F25" s="390">
        <v>194.74257478896953</v>
      </c>
      <c r="G25" s="393">
        <v>511.28455258270878</v>
      </c>
      <c r="H25" s="390">
        <v>5767.2178285190494</v>
      </c>
      <c r="I25" s="390">
        <v>-646.07135119820555</v>
      </c>
      <c r="J25" s="391">
        <v>-311.44133856530431</v>
      </c>
      <c r="K25" s="392">
        <v>-207.52542509210855</v>
      </c>
    </row>
    <row r="26" spans="2:11" x14ac:dyDescent="0.3">
      <c r="B26" s="380"/>
      <c r="C26" s="402">
        <f t="shared" ref="C26:C29" si="1">C25+2%</f>
        <v>0.16597132528319322</v>
      </c>
      <c r="D26" s="389">
        <v>100.02705893951044</v>
      </c>
      <c r="E26" s="390">
        <v>125.62328153514372</v>
      </c>
      <c r="F26" s="390">
        <v>143.47518566207447</v>
      </c>
      <c r="G26" s="390">
        <v>267.72063616842985</v>
      </c>
      <c r="H26" s="390">
        <v>520.38224187181743</v>
      </c>
      <c r="I26" s="390">
        <v>5868.0443972308176</v>
      </c>
      <c r="J26" s="391">
        <v>-657.17235062401608</v>
      </c>
      <c r="K26" s="392">
        <v>-316.70222654591436</v>
      </c>
    </row>
    <row r="27" spans="2:11" x14ac:dyDescent="0.3">
      <c r="B27" s="394" t="str">
        <f>B7</f>
        <v>Cost of Equity (Ke)</v>
      </c>
      <c r="C27" s="402">
        <f t="shared" si="1"/>
        <v>0.18597132528319321</v>
      </c>
      <c r="D27" s="389">
        <v>84.146133861578321</v>
      </c>
      <c r="E27" s="390">
        <v>101.91436193836914</v>
      </c>
      <c r="F27" s="390">
        <v>113.57559112407965</v>
      </c>
      <c r="G27" s="390">
        <v>181.33629635947511</v>
      </c>
      <c r="H27" s="390">
        <v>272.48440059635834</v>
      </c>
      <c r="I27" s="390">
        <v>529.47993116092584</v>
      </c>
      <c r="J27" s="391">
        <v>5968.870965942584</v>
      </c>
      <c r="K27" s="392">
        <v>-668.27335004982672</v>
      </c>
    </row>
    <row r="28" spans="2:11" x14ac:dyDescent="0.3">
      <c r="B28" s="380"/>
      <c r="C28" s="402">
        <f t="shared" si="1"/>
        <v>0.2059713252831932</v>
      </c>
      <c r="D28" s="389">
        <v>72.617001862765576</v>
      </c>
      <c r="E28" s="390">
        <v>85.733796764626959</v>
      </c>
      <c r="F28" s="390">
        <v>93.988750869087895</v>
      </c>
      <c r="G28" s="390">
        <v>137.09908618987089</v>
      </c>
      <c r="H28" s="390">
        <v>184.56295609871947</v>
      </c>
      <c r="I28" s="390">
        <v>277.24816502428678</v>
      </c>
      <c r="J28" s="391">
        <v>538.57762045003415</v>
      </c>
      <c r="K28" s="392">
        <v>6069.6975346543522</v>
      </c>
    </row>
    <row r="29" spans="2:11" x14ac:dyDescent="0.3">
      <c r="B29" s="395"/>
      <c r="C29" s="404">
        <f t="shared" si="1"/>
        <v>0.22597132528319319</v>
      </c>
      <c r="D29" s="396">
        <v>63.866453930601907</v>
      </c>
      <c r="E29" s="397">
        <v>73.987133973383806</v>
      </c>
      <c r="F29" s="397">
        <v>80.16396087408954</v>
      </c>
      <c r="G29" s="397">
        <v>110.21259059398777</v>
      </c>
      <c r="H29" s="397">
        <v>139.538598359123</v>
      </c>
      <c r="I29" s="397">
        <v>187.78961583796379</v>
      </c>
      <c r="J29" s="398">
        <v>282.01192945221516</v>
      </c>
      <c r="K29" s="399">
        <v>547.67530973914245</v>
      </c>
    </row>
  </sheetData>
  <mergeCells count="3">
    <mergeCell ref="B2:I2"/>
    <mergeCell ref="B4:I4"/>
    <mergeCell ref="D21:K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1B35C-195E-4B7A-A4BD-6FEAC281B23F}">
  <dimension ref="B2:T46"/>
  <sheetViews>
    <sheetView showGridLines="0" workbookViewId="0">
      <selection activeCell="L9" sqref="L9"/>
    </sheetView>
  </sheetViews>
  <sheetFormatPr defaultRowHeight="14.4" x14ac:dyDescent="0.3"/>
  <cols>
    <col min="13" max="13" width="4.33203125" customWidth="1"/>
    <col min="15" max="15" width="31.109375" customWidth="1"/>
    <col min="16" max="19" width="10.109375" bestFit="1" customWidth="1"/>
  </cols>
  <sheetData>
    <row r="2" spans="2:19" x14ac:dyDescent="0.3">
      <c r="B2" s="423" t="str">
        <f>"Football Field Analysis"&amp;" - "&amp;'Beta-Ismail Industries Ltd'!B4:E4</f>
        <v>Football Field Analysis - Ismail Industries Limited</v>
      </c>
      <c r="C2" s="423"/>
      <c r="D2" s="423"/>
      <c r="E2" s="423"/>
      <c r="F2" s="423"/>
      <c r="G2" s="423"/>
      <c r="H2" s="423"/>
      <c r="I2" s="423"/>
      <c r="O2" s="416" t="s">
        <v>285</v>
      </c>
      <c r="P2" s="416"/>
      <c r="Q2" s="416"/>
      <c r="R2" s="416"/>
      <c r="S2" s="416"/>
    </row>
    <row r="3" spans="2:19" x14ac:dyDescent="0.3">
      <c r="P3" s="290" t="s">
        <v>286</v>
      </c>
      <c r="Q3" s="290" t="s">
        <v>277</v>
      </c>
      <c r="R3" s="290" t="s">
        <v>287</v>
      </c>
      <c r="S3" s="290" t="s">
        <v>274</v>
      </c>
    </row>
    <row r="4" spans="2:19" x14ac:dyDescent="0.3">
      <c r="N4" s="26" t="s">
        <v>44</v>
      </c>
      <c r="O4" s="70" t="s">
        <v>289</v>
      </c>
      <c r="P4" s="291">
        <f t="shared" ref="P4:P10" si="0">Q4</f>
        <v>471.57421122794386</v>
      </c>
      <c r="Q4" s="291">
        <f>'IIL-Comp company Valuation'!P31</f>
        <v>471.57421122794386</v>
      </c>
      <c r="R4" s="291">
        <f t="shared" ref="R4:R10" si="1">S4</f>
        <v>2829.1148592921959</v>
      </c>
      <c r="S4" s="291">
        <f>'IIL-Comp company Valuation'!N31</f>
        <v>2829.1148592921959</v>
      </c>
    </row>
    <row r="5" spans="2:19" x14ac:dyDescent="0.3">
      <c r="N5" s="26" t="s">
        <v>290</v>
      </c>
      <c r="O5" s="70" t="s">
        <v>291</v>
      </c>
      <c r="P5" s="291">
        <f t="shared" si="0"/>
        <v>651.09703779023801</v>
      </c>
      <c r="Q5" s="291">
        <f>'DCF &amp; Sensitivity Analysis'!P45</f>
        <v>651.09703779023801</v>
      </c>
      <c r="R5" s="291">
        <f t="shared" si="1"/>
        <v>767.92355693093293</v>
      </c>
      <c r="S5" s="291">
        <f>'DCF &amp; Sensitivity Analysis'!P49</f>
        <v>767.92355693093293</v>
      </c>
    </row>
    <row r="6" spans="2:19" x14ac:dyDescent="0.3">
      <c r="N6" s="26" t="s">
        <v>295</v>
      </c>
      <c r="O6" s="70" t="s">
        <v>293</v>
      </c>
      <c r="P6" s="291">
        <f t="shared" si="0"/>
        <v>1280.8012854732672</v>
      </c>
      <c r="Q6" s="291">
        <f>'DCF &amp; Sensitivity Analysis'!N45</f>
        <v>1280.8012854732672</v>
      </c>
      <c r="R6" s="291">
        <f t="shared" si="1"/>
        <v>1664.8306726470396</v>
      </c>
      <c r="S6" s="291">
        <f>'DCF &amp; Sensitivity Analysis'!N49</f>
        <v>1664.8306726470396</v>
      </c>
    </row>
    <row r="7" spans="2:19" x14ac:dyDescent="0.3">
      <c r="N7" s="26" t="s">
        <v>288</v>
      </c>
      <c r="O7" s="70" t="s">
        <v>294</v>
      </c>
      <c r="P7" s="291">
        <f t="shared" si="0"/>
        <v>3264.8457917288915</v>
      </c>
      <c r="Q7" s="291">
        <f>'DCF &amp; Sensitivity Analysis'!L45</f>
        <v>3264.8457917288915</v>
      </c>
      <c r="R7" s="291">
        <f t="shared" si="1"/>
        <v>6400.4931024527887</v>
      </c>
      <c r="S7" s="291">
        <f>'DCF &amp; Sensitivity Analysis'!L49</f>
        <v>6400.4931024527887</v>
      </c>
    </row>
    <row r="8" spans="2:19" x14ac:dyDescent="0.3">
      <c r="N8" s="26" t="s">
        <v>292</v>
      </c>
      <c r="O8" s="70" t="s">
        <v>296</v>
      </c>
      <c r="P8" s="291">
        <f t="shared" si="0"/>
        <v>700</v>
      </c>
      <c r="Q8" s="291">
        <v>700</v>
      </c>
      <c r="R8" s="291">
        <f t="shared" si="1"/>
        <v>1990</v>
      </c>
      <c r="S8" s="291">
        <v>1990</v>
      </c>
    </row>
    <row r="9" spans="2:19" x14ac:dyDescent="0.3">
      <c r="N9" s="26" t="s">
        <v>407</v>
      </c>
      <c r="O9" s="70" t="s">
        <v>409</v>
      </c>
      <c r="P9" s="291">
        <f t="shared" si="0"/>
        <v>63.866453930601907</v>
      </c>
      <c r="Q9" s="56">
        <f>'Dividend Discounting-Valuation'!D29</f>
        <v>63.866453930601907</v>
      </c>
      <c r="R9" s="291">
        <f t="shared" si="1"/>
        <v>547.67530973914245</v>
      </c>
      <c r="S9" s="56">
        <f>'Dividend Discounting-Valuation'!K29</f>
        <v>547.67530973914245</v>
      </c>
    </row>
    <row r="10" spans="2:19" x14ac:dyDescent="0.3">
      <c r="N10" s="26" t="s">
        <v>411</v>
      </c>
      <c r="O10" s="70" t="s">
        <v>410</v>
      </c>
      <c r="P10" s="291">
        <f t="shared" si="0"/>
        <v>265</v>
      </c>
      <c r="Q10" s="56">
        <f>'Dividend Discounting-Valuation'!D23</f>
        <v>265</v>
      </c>
      <c r="R10" s="291">
        <f t="shared" si="1"/>
        <v>1089.9999999999991</v>
      </c>
      <c r="S10" s="56">
        <f>'Dividend Discounting-Valuation'!F23</f>
        <v>1089.9999999999991</v>
      </c>
    </row>
    <row r="11" spans="2:19" x14ac:dyDescent="0.3">
      <c r="O11" s="365" t="s">
        <v>408</v>
      </c>
    </row>
    <row r="12" spans="2:19" x14ac:dyDescent="0.3">
      <c r="O12" s="365"/>
    </row>
    <row r="13" spans="2:19" x14ac:dyDescent="0.3">
      <c r="N13" s="26" t="s">
        <v>44</v>
      </c>
    </row>
    <row r="14" spans="2:19" ht="32.4" customHeight="1" x14ac:dyDescent="0.3">
      <c r="N14" s="438" t="s">
        <v>300</v>
      </c>
      <c r="O14" s="438"/>
      <c r="P14" s="438"/>
      <c r="Q14" s="438"/>
      <c r="R14" s="438"/>
      <c r="S14" s="438"/>
    </row>
    <row r="16" spans="2:19" x14ac:dyDescent="0.3">
      <c r="N16" s="26" t="s">
        <v>290</v>
      </c>
    </row>
    <row r="17" spans="2:20" x14ac:dyDescent="0.3">
      <c r="N17" s="243" t="s">
        <v>298</v>
      </c>
    </row>
    <row r="20" spans="2:20" x14ac:dyDescent="0.3">
      <c r="N20" s="26" t="s">
        <v>295</v>
      </c>
    </row>
    <row r="21" spans="2:20" ht="14.4" customHeight="1" x14ac:dyDescent="0.3">
      <c r="N21" s="243" t="s">
        <v>301</v>
      </c>
    </row>
    <row r="23" spans="2:20" ht="18" customHeight="1" x14ac:dyDescent="0.3">
      <c r="B23" s="62" t="s">
        <v>237</v>
      </c>
      <c r="N23" s="26" t="s">
        <v>288</v>
      </c>
      <c r="O23" s="73"/>
      <c r="P23" s="73"/>
      <c r="Q23" s="73"/>
      <c r="R23" s="73"/>
      <c r="S23" s="73"/>
      <c r="T23" s="73"/>
    </row>
    <row r="24" spans="2:20" ht="19.95" customHeight="1" x14ac:dyDescent="0.3">
      <c r="B24" s="419" t="s">
        <v>414</v>
      </c>
      <c r="C24" s="419"/>
      <c r="D24" s="419"/>
      <c r="E24" s="419"/>
      <c r="F24" s="419"/>
      <c r="G24" s="419"/>
      <c r="H24" s="419"/>
      <c r="I24" s="419"/>
      <c r="J24" s="419"/>
      <c r="K24" s="419"/>
      <c r="N24" s="243" t="s">
        <v>297</v>
      </c>
      <c r="O24" s="73"/>
      <c r="P24" s="73"/>
      <c r="Q24" s="73"/>
      <c r="R24" s="73"/>
      <c r="S24" s="73"/>
      <c r="T24" s="73"/>
    </row>
    <row r="25" spans="2:20" x14ac:dyDescent="0.3">
      <c r="B25" s="419"/>
      <c r="C25" s="419"/>
      <c r="D25" s="419"/>
      <c r="E25" s="419"/>
      <c r="F25" s="419"/>
      <c r="G25" s="419"/>
      <c r="H25" s="419"/>
      <c r="I25" s="419"/>
      <c r="J25" s="419"/>
      <c r="K25" s="419"/>
    </row>
    <row r="26" spans="2:20" x14ac:dyDescent="0.3">
      <c r="B26" s="419"/>
      <c r="C26" s="419"/>
      <c r="D26" s="419"/>
      <c r="E26" s="419"/>
      <c r="F26" s="419"/>
      <c r="G26" s="419"/>
      <c r="H26" s="419"/>
      <c r="I26" s="419"/>
      <c r="J26" s="419"/>
      <c r="K26" s="419"/>
      <c r="N26" s="26" t="s">
        <v>292</v>
      </c>
    </row>
    <row r="27" spans="2:20" x14ac:dyDescent="0.3">
      <c r="B27" s="419"/>
      <c r="C27" s="419"/>
      <c r="D27" s="419"/>
      <c r="E27" s="419"/>
      <c r="F27" s="419"/>
      <c r="G27" s="419"/>
      <c r="H27" s="419"/>
      <c r="I27" s="419"/>
      <c r="J27" s="419"/>
      <c r="K27" s="419"/>
      <c r="N27" s="243" t="s">
        <v>299</v>
      </c>
    </row>
    <row r="28" spans="2:20" x14ac:dyDescent="0.3">
      <c r="B28" s="419"/>
      <c r="C28" s="419"/>
      <c r="D28" s="419"/>
      <c r="E28" s="419"/>
      <c r="F28" s="419"/>
      <c r="G28" s="419"/>
      <c r="H28" s="419"/>
      <c r="I28" s="419"/>
      <c r="J28" s="419"/>
      <c r="K28" s="419"/>
      <c r="N28" s="243"/>
    </row>
    <row r="29" spans="2:20" x14ac:dyDescent="0.3">
      <c r="B29" s="419"/>
      <c r="C29" s="419"/>
      <c r="D29" s="419"/>
      <c r="E29" s="419"/>
      <c r="F29" s="419"/>
      <c r="G29" s="419"/>
      <c r="H29" s="419"/>
      <c r="I29" s="419"/>
      <c r="J29" s="419"/>
      <c r="K29" s="419"/>
      <c r="N29" s="243"/>
    </row>
    <row r="30" spans="2:20" x14ac:dyDescent="0.3">
      <c r="B30" s="419"/>
      <c r="C30" s="419"/>
      <c r="D30" s="419"/>
      <c r="E30" s="419"/>
      <c r="F30" s="419"/>
      <c r="G30" s="419"/>
      <c r="H30" s="419"/>
      <c r="I30" s="419"/>
      <c r="J30" s="419"/>
      <c r="K30" s="419"/>
      <c r="N30" s="26" t="s">
        <v>407</v>
      </c>
    </row>
    <row r="31" spans="2:20" x14ac:dyDescent="0.3">
      <c r="B31" s="419"/>
      <c r="C31" s="419"/>
      <c r="D31" s="419"/>
      <c r="E31" s="419"/>
      <c r="F31" s="419"/>
      <c r="G31" s="419"/>
      <c r="H31" s="419"/>
      <c r="I31" s="419"/>
      <c r="J31" s="419"/>
      <c r="K31" s="419"/>
      <c r="N31" s="243" t="s">
        <v>412</v>
      </c>
    </row>
    <row r="32" spans="2:20" x14ac:dyDescent="0.3">
      <c r="B32" s="419"/>
      <c r="C32" s="419"/>
      <c r="D32" s="419"/>
      <c r="E32" s="419"/>
      <c r="F32" s="419"/>
      <c r="G32" s="419"/>
      <c r="H32" s="419"/>
      <c r="I32" s="419"/>
      <c r="J32" s="419"/>
      <c r="K32" s="419"/>
      <c r="N32" s="243"/>
    </row>
    <row r="33" spans="2:16" x14ac:dyDescent="0.3">
      <c r="B33" s="419"/>
      <c r="C33" s="419"/>
      <c r="D33" s="419"/>
      <c r="E33" s="419"/>
      <c r="F33" s="419"/>
      <c r="G33" s="419"/>
      <c r="H33" s="419"/>
      <c r="I33" s="419"/>
      <c r="J33" s="419"/>
      <c r="K33" s="419"/>
      <c r="N33" s="243"/>
    </row>
    <row r="34" spans="2:16" x14ac:dyDescent="0.3">
      <c r="B34" s="419"/>
      <c r="C34" s="419"/>
      <c r="D34" s="419"/>
      <c r="E34" s="419"/>
      <c r="F34" s="419"/>
      <c r="G34" s="419"/>
      <c r="H34" s="419"/>
      <c r="I34" s="419"/>
      <c r="J34" s="419"/>
      <c r="K34" s="419"/>
      <c r="N34" s="26" t="s">
        <v>411</v>
      </c>
    </row>
    <row r="35" spans="2:16" x14ac:dyDescent="0.3">
      <c r="B35" s="419"/>
      <c r="C35" s="419"/>
      <c r="D35" s="419"/>
      <c r="E35" s="419"/>
      <c r="F35" s="419"/>
      <c r="G35" s="419"/>
      <c r="H35" s="419"/>
      <c r="I35" s="419"/>
      <c r="J35" s="419"/>
      <c r="K35" s="419"/>
      <c r="N35" s="243" t="s">
        <v>413</v>
      </c>
    </row>
    <row r="36" spans="2:16" x14ac:dyDescent="0.3">
      <c r="B36" s="419"/>
      <c r="C36" s="419"/>
      <c r="D36" s="419"/>
      <c r="E36" s="419"/>
      <c r="F36" s="419"/>
      <c r="G36" s="419"/>
      <c r="H36" s="419"/>
      <c r="I36" s="419"/>
      <c r="J36" s="419"/>
      <c r="K36" s="419"/>
      <c r="N36" s="243"/>
    </row>
    <row r="37" spans="2:16" ht="14.4" customHeight="1" x14ac:dyDescent="0.3">
      <c r="C37" s="73"/>
      <c r="D37" s="73"/>
      <c r="E37" s="73"/>
      <c r="F37" s="73"/>
      <c r="G37" s="73"/>
      <c r="H37" s="73"/>
      <c r="I37" s="73"/>
      <c r="J37" s="73"/>
      <c r="K37" s="73"/>
      <c r="L37" s="73"/>
      <c r="M37" s="73"/>
      <c r="N37" s="73"/>
      <c r="O37" s="73"/>
      <c r="P37" s="73"/>
    </row>
    <row r="38" spans="2:16" x14ac:dyDescent="0.3">
      <c r="B38" s="73"/>
      <c r="C38" s="73"/>
      <c r="D38" s="73"/>
      <c r="E38" s="73"/>
      <c r="F38" s="73"/>
      <c r="G38" s="73"/>
      <c r="H38" s="73"/>
      <c r="I38" s="73"/>
      <c r="J38" s="73"/>
      <c r="K38" s="73"/>
      <c r="L38" s="73"/>
      <c r="M38" s="73"/>
      <c r="N38" s="73"/>
      <c r="O38" s="73"/>
      <c r="P38" s="73"/>
    </row>
    <row r="39" spans="2:16" x14ac:dyDescent="0.3">
      <c r="B39" s="73"/>
      <c r="C39" s="73"/>
      <c r="D39" s="73"/>
      <c r="E39" s="73"/>
      <c r="F39" s="73"/>
      <c r="G39" s="73"/>
      <c r="H39" s="73"/>
      <c r="I39" s="73"/>
      <c r="J39" s="73"/>
      <c r="K39" s="73"/>
      <c r="L39" s="73"/>
      <c r="M39" s="73"/>
      <c r="N39" s="73"/>
      <c r="O39" s="73"/>
      <c r="P39" s="73"/>
    </row>
    <row r="40" spans="2:16" x14ac:dyDescent="0.3">
      <c r="B40" s="73"/>
      <c r="C40" s="73"/>
      <c r="D40" s="73"/>
      <c r="E40" s="73"/>
      <c r="F40" s="73"/>
      <c r="G40" s="73"/>
      <c r="H40" s="73"/>
      <c r="I40" s="73"/>
      <c r="J40" s="73"/>
      <c r="K40" s="73"/>
      <c r="L40" s="73"/>
      <c r="M40" s="73"/>
      <c r="N40" s="73"/>
      <c r="O40" s="73"/>
      <c r="P40" s="73"/>
    </row>
    <row r="41" spans="2:16" x14ac:dyDescent="0.3">
      <c r="B41" s="73"/>
      <c r="C41" s="73"/>
      <c r="D41" s="73"/>
      <c r="E41" s="73"/>
      <c r="F41" s="73"/>
      <c r="G41" s="73"/>
      <c r="H41" s="73"/>
      <c r="I41" s="73"/>
      <c r="J41" s="73"/>
      <c r="K41" s="73"/>
      <c r="L41" s="73"/>
      <c r="M41" s="73"/>
      <c r="N41" s="73"/>
      <c r="O41" s="73"/>
      <c r="P41" s="73"/>
    </row>
    <row r="42" spans="2:16" x14ac:dyDescent="0.3">
      <c r="B42" s="73"/>
      <c r="C42" s="73"/>
      <c r="D42" s="73"/>
      <c r="E42" s="73"/>
      <c r="F42" s="73"/>
      <c r="G42" s="73"/>
      <c r="H42" s="73"/>
      <c r="I42" s="73"/>
      <c r="J42" s="73"/>
      <c r="K42" s="73"/>
      <c r="L42" s="73"/>
      <c r="M42" s="73"/>
      <c r="N42" s="73"/>
      <c r="O42" s="73"/>
      <c r="P42" s="73"/>
    </row>
    <row r="43" spans="2:16" x14ac:dyDescent="0.3">
      <c r="B43" s="73"/>
      <c r="C43" s="73"/>
      <c r="D43" s="73"/>
      <c r="E43" s="73"/>
      <c r="F43" s="73"/>
      <c r="G43" s="73"/>
      <c r="H43" s="73"/>
      <c r="I43" s="73"/>
      <c r="J43" s="73"/>
      <c r="K43" s="73"/>
      <c r="L43" s="73"/>
      <c r="M43" s="73"/>
      <c r="N43" s="73"/>
      <c r="O43" s="73"/>
      <c r="P43" s="73"/>
    </row>
    <row r="44" spans="2:16" x14ac:dyDescent="0.3">
      <c r="B44" s="73"/>
      <c r="C44" s="73"/>
      <c r="D44" s="73"/>
      <c r="E44" s="73"/>
      <c r="F44" s="73"/>
      <c r="G44" s="73"/>
      <c r="H44" s="73"/>
      <c r="I44" s="73"/>
      <c r="J44" s="73"/>
      <c r="K44" s="73"/>
      <c r="L44" s="73"/>
      <c r="M44" s="73"/>
      <c r="N44" s="73"/>
      <c r="O44" s="73"/>
      <c r="P44" s="73"/>
    </row>
    <row r="45" spans="2:16" x14ac:dyDescent="0.3">
      <c r="B45" s="73"/>
      <c r="C45" s="73"/>
      <c r="D45" s="73"/>
      <c r="E45" s="73"/>
      <c r="F45" s="73"/>
      <c r="G45" s="73"/>
      <c r="H45" s="73"/>
      <c r="I45" s="73"/>
      <c r="J45" s="73"/>
      <c r="K45" s="73"/>
      <c r="L45" s="73"/>
      <c r="M45" s="73"/>
      <c r="N45" s="73"/>
      <c r="O45" s="73"/>
      <c r="P45" s="73"/>
    </row>
    <row r="46" spans="2:16" x14ac:dyDescent="0.3">
      <c r="B46" s="292"/>
      <c r="C46" s="292"/>
      <c r="D46" s="292"/>
      <c r="E46" s="292"/>
      <c r="F46" s="292"/>
      <c r="G46" s="292"/>
      <c r="H46" s="292"/>
      <c r="I46" s="292"/>
      <c r="J46" s="292"/>
      <c r="K46" s="292"/>
      <c r="L46" s="292"/>
      <c r="M46" s="292"/>
      <c r="N46" s="292"/>
      <c r="O46" s="292"/>
      <c r="P46" s="292"/>
    </row>
  </sheetData>
  <mergeCells count="4">
    <mergeCell ref="B24:K36"/>
    <mergeCell ref="B2:I2"/>
    <mergeCell ref="O2:S2"/>
    <mergeCell ref="N14:S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WACC</vt:lpstr>
      <vt:lpstr>Data-competitors</vt:lpstr>
      <vt:lpstr>Rm (KSE-100 Returns)</vt:lpstr>
      <vt:lpstr>Beta-UFPL</vt:lpstr>
      <vt:lpstr>Beta-Nestle Pak Ltd</vt:lpstr>
      <vt:lpstr>Beta-FCEPL</vt:lpstr>
      <vt:lpstr>Beta-Ismail Industries Ltd</vt:lpstr>
      <vt:lpstr>Beta-National Foods Ltd</vt:lpstr>
      <vt:lpstr>BS</vt:lpstr>
      <vt:lpstr>Pnl</vt:lpstr>
      <vt:lpstr>Raw CF Stm</vt:lpstr>
      <vt:lpstr>Ratio Analysis-Profitability</vt:lpstr>
      <vt:lpstr>Intrinsic Growth Rate</vt:lpstr>
      <vt:lpstr>DCF &amp; Sensitivity Analysis</vt:lpstr>
      <vt:lpstr>Further Sensitivity Analysis</vt:lpstr>
      <vt:lpstr>Compr Scenario Analysis-DCF</vt:lpstr>
      <vt:lpstr>Raw Data for Relative Valuation</vt:lpstr>
      <vt:lpstr>IIL-Comp company Valuation</vt:lpstr>
      <vt:lpstr>Div Discouting-initial calculat</vt:lpstr>
      <vt:lpstr>Dividend Discounting-Valuation</vt:lpstr>
      <vt:lpstr>Football Field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Muhammad</dc:creator>
  <cp:lastModifiedBy>Hussain Muhammad</cp:lastModifiedBy>
  <dcterms:created xsi:type="dcterms:W3CDTF">2024-10-22T08:26:23Z</dcterms:created>
  <dcterms:modified xsi:type="dcterms:W3CDTF">2024-11-06T20:55:34Z</dcterms:modified>
</cp:coreProperties>
</file>