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Waleed Ghani\Desktop\Upwork and Assirience work\Financial Modelling Whole\ISIL Data\"/>
    </mc:Choice>
  </mc:AlternateContent>
  <xr:revisionPtr revIDLastSave="0" documentId="13_ncr:1_{DE742BFE-3194-4DCD-B8AB-8927ED1C03A5}" xr6:coauthVersionLast="47" xr6:coauthVersionMax="47" xr10:uidLastSave="{00000000-0000-0000-0000-000000000000}"/>
  <bookViews>
    <workbookView xWindow="-108" yWindow="-108" windowWidth="23256" windowHeight="12576" firstSheet="20" activeTab="21" xr2:uid="{1C12C92A-5B33-4085-8D9D-5D7FB52FFEF7}"/>
  </bookViews>
  <sheets>
    <sheet name="Table of Contents" sheetId="45" r:id="rId1"/>
    <sheet name="BS" sheetId="1" r:id="rId2"/>
    <sheet name="Pnl" sheetId="2" r:id="rId3"/>
    <sheet name="Ratio Analysis-Profitability" sheetId="3" r:id="rId4"/>
    <sheet name="Ratio Analysis-Liquidity" sheetId="31" r:id="rId5"/>
    <sheet name="Ratio Analysis-Solvency" sheetId="32" r:id="rId6"/>
    <sheet name="Ratio Analysis-Investment" sheetId="33" r:id="rId7"/>
    <sheet name="Ratio Analysis-Activity" sheetId="34" r:id="rId8"/>
    <sheet name="Common Size Statement" sheetId="4" r:id="rId9"/>
    <sheet name="Forecasting-Sales" sheetId="5" r:id="rId10"/>
    <sheet name="Forecasting-Sales-other methods" sheetId="6" r:id="rId11"/>
    <sheet name="Forecasting-Profitability" sheetId="7" r:id="rId12"/>
    <sheet name="Forecasting-EPS" sheetId="8" r:id="rId13"/>
    <sheet name="Forecasting-Inevstment Ratios" sheetId="10" r:id="rId14"/>
    <sheet name="Forecasting-Solvency Ratios" sheetId="35" r:id="rId15"/>
    <sheet name="Forecasting-Liquidity Ratios" sheetId="36" r:id="rId16"/>
    <sheet name="Forecasting-Activity Ratio" sheetId="37" r:id="rId17"/>
    <sheet name="Scenario Analsis-PE Ratio" sheetId="11" r:id="rId18"/>
    <sheet name="Scen Analysis-Div Payout policy" sheetId="12" r:id="rId19"/>
    <sheet name="Scen Analysis-div cover ratio" sheetId="38" r:id="rId20"/>
    <sheet name="Scenario Analysis-Gross Profit" sheetId="14" r:id="rId21"/>
    <sheet name="Scenario Analysis-PAT" sheetId="16" r:id="rId22"/>
    <sheet name="What if Analysis-Sales Growth" sheetId="17" r:id="rId23"/>
    <sheet name="Sensit Analysis-Int Cover Ratio" sheetId="19" r:id="rId24"/>
    <sheet name="Sensitivity Analysis-AR days" sheetId="24" r:id="rId25"/>
    <sheet name="Sensitivity Analysis-Inv days" sheetId="25" r:id="rId26"/>
    <sheet name="Raw Data for Dupont" sheetId="26" r:id="rId27"/>
    <sheet name="DuPont Analysis &amp; Summary" sheetId="27" r:id="rId28"/>
    <sheet name="One Page co. Profie" sheetId="39" r:id="rId29"/>
    <sheet name="Key Brands" sheetId="40" r:id="rId30"/>
    <sheet name="SWOT Analysis-IIL" sheetId="41" r:id="rId31"/>
    <sheet name="BCG Matrix Analysis-IIL" sheetId="43" r:id="rId32"/>
    <sheet name="MOAT Analysis-IIL" sheetId="42" r:id="rId33"/>
    <sheet name="Altman Z Score Modelling" sheetId="28" r:id="rId34"/>
    <sheet name="ESG Metric Analysis" sheetId="46" r:id="rId35"/>
  </sheets>
  <externalReferences>
    <externalReference r:id="rId36"/>
    <externalReference r:id="rId37"/>
  </externalReferences>
  <definedNames>
    <definedName name="Beta">'[1]WACC, Ke, Kd calc'!$C$5</definedName>
    <definedName name="Costofdebt">'[1]WACC, Ke, Kd calc'!$C$8</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40218.8268634259</definedName>
    <definedName name="IQ_NTM" hidden="1">6000</definedName>
    <definedName name="IQ_TODAY" hidden="1">0</definedName>
    <definedName name="IQ_WEEK" hidden="1">50000</definedName>
    <definedName name="IQ_YTD" hidden="1">3000</definedName>
    <definedName name="Marketreturn">'[1]WACC, Ke, Kd calc'!$C$4</definedName>
    <definedName name="MVofdebt">'[1]WACC, Ke, Kd calc'!$C$13</definedName>
    <definedName name="MVofequity">'[1]WACC, Ke, Kd calc'!$C$12</definedName>
    <definedName name="Riskfreerate">'[1]WACC, Ke, Kd calc'!$C$3</definedName>
    <definedName name="Taxrate">'[1]WACC, Ke, Kd calc'!$C$9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8" i="2" l="1"/>
  <c r="C12" i="6"/>
  <c r="E7" i="6"/>
  <c r="D7" i="6"/>
  <c r="D8" i="6"/>
  <c r="D6" i="6"/>
  <c r="B2" i="45"/>
  <c r="C22" i="19"/>
  <c r="B2" i="11"/>
  <c r="B2" i="38"/>
  <c r="B2" i="12"/>
  <c r="C7" i="16"/>
  <c r="C6" i="16"/>
  <c r="C5" i="37"/>
  <c r="C6" i="37"/>
  <c r="C7" i="37"/>
  <c r="C8" i="37"/>
  <c r="C9" i="37"/>
  <c r="C10" i="37"/>
  <c r="C11" i="37"/>
  <c r="C12" i="37"/>
  <c r="C13" i="37"/>
  <c r="C14" i="37"/>
  <c r="C15" i="37"/>
  <c r="C4" i="37"/>
  <c r="C5" i="36"/>
  <c r="C6" i="36"/>
  <c r="C7" i="36"/>
  <c r="C8" i="36"/>
  <c r="C9" i="36"/>
  <c r="C10" i="36"/>
  <c r="C11" i="36"/>
  <c r="C12" i="36"/>
  <c r="C13" i="36"/>
  <c r="C14" i="36"/>
  <c r="C15" i="36"/>
  <c r="C4" i="36"/>
  <c r="C5" i="35"/>
  <c r="C6" i="35"/>
  <c r="C7" i="35"/>
  <c r="C8" i="35"/>
  <c r="C9" i="35"/>
  <c r="C10" i="35"/>
  <c r="C11" i="35"/>
  <c r="C12" i="35"/>
  <c r="C13" i="35"/>
  <c r="C14" i="35"/>
  <c r="C15" i="35"/>
  <c r="C4" i="35"/>
  <c r="D33" i="10"/>
  <c r="D32" i="10"/>
  <c r="D10" i="10"/>
  <c r="C5" i="10"/>
  <c r="C6" i="10"/>
  <c r="C7" i="10"/>
  <c r="C8" i="10"/>
  <c r="C9" i="10"/>
  <c r="C10" i="10"/>
  <c r="C11" i="10"/>
  <c r="C12" i="10"/>
  <c r="C13" i="10"/>
  <c r="C14" i="10"/>
  <c r="C15" i="10"/>
  <c r="C4" i="10"/>
  <c r="D32" i="7"/>
  <c r="D33" i="7"/>
  <c r="E33" i="7" s="1"/>
  <c r="D34" i="7"/>
  <c r="E35" i="7" s="1"/>
  <c r="D35" i="7"/>
  <c r="D36" i="7"/>
  <c r="E36" i="7" s="1"/>
  <c r="D31" i="7"/>
  <c r="E31" i="7" s="1"/>
  <c r="C26" i="7"/>
  <c r="C27" i="7"/>
  <c r="C28" i="7"/>
  <c r="C29" i="7"/>
  <c r="C30" i="7"/>
  <c r="C31" i="7"/>
  <c r="C32" i="7"/>
  <c r="C33" i="7"/>
  <c r="C34" i="7"/>
  <c r="C35" i="7"/>
  <c r="C36" i="7"/>
  <c r="C25" i="7"/>
  <c r="B23" i="7"/>
  <c r="E30" i="7"/>
  <c r="D30" i="7"/>
  <c r="D29" i="7"/>
  <c r="E29" i="7" s="1"/>
  <c r="D28" i="7"/>
  <c r="E28" i="7" s="1"/>
  <c r="D27" i="7"/>
  <c r="E27" i="7" s="1"/>
  <c r="D26" i="7"/>
  <c r="E26" i="7" s="1"/>
  <c r="D25" i="7"/>
  <c r="C63" i="46"/>
  <c r="B21" i="46"/>
  <c r="B2" i="46"/>
  <c r="F13" i="39"/>
  <c r="G13" i="39"/>
  <c r="H13" i="39"/>
  <c r="I13" i="39"/>
  <c r="J13" i="39"/>
  <c r="K13" i="39"/>
  <c r="B2" i="39"/>
  <c r="B3" i="40"/>
  <c r="B2" i="41"/>
  <c r="B2" i="42"/>
  <c r="B2" i="43"/>
  <c r="R11" i="5"/>
  <c r="E34" i="7" l="1"/>
  <c r="E32" i="7"/>
  <c r="K32" i="39"/>
  <c r="J32" i="39"/>
  <c r="I32" i="39"/>
  <c r="H32" i="39"/>
  <c r="G32" i="39"/>
  <c r="F32" i="39"/>
  <c r="K31" i="39"/>
  <c r="J31" i="39"/>
  <c r="I31" i="39"/>
  <c r="H31" i="39"/>
  <c r="G31" i="39"/>
  <c r="F31" i="39"/>
  <c r="K30" i="39"/>
  <c r="J30" i="39"/>
  <c r="I30" i="39"/>
  <c r="H30" i="39"/>
  <c r="G30" i="39"/>
  <c r="F30" i="39"/>
  <c r="K29" i="39"/>
  <c r="J29" i="39"/>
  <c r="I29" i="39"/>
  <c r="H29" i="39"/>
  <c r="G29" i="39"/>
  <c r="F29" i="39"/>
  <c r="K28" i="39"/>
  <c r="J28" i="39"/>
  <c r="I28" i="39"/>
  <c r="H28" i="39"/>
  <c r="G28" i="39"/>
  <c r="F28" i="39"/>
  <c r="K27" i="39"/>
  <c r="J27" i="39"/>
  <c r="I27" i="39"/>
  <c r="H27" i="39"/>
  <c r="G27" i="39"/>
  <c r="F27" i="39"/>
  <c r="J25" i="39"/>
  <c r="K23" i="39"/>
  <c r="J23" i="39"/>
  <c r="I23" i="39"/>
  <c r="H23" i="39"/>
  <c r="G23" i="39"/>
  <c r="F23" i="39"/>
  <c r="K21" i="39"/>
  <c r="K22" i="39" s="1"/>
  <c r="J21" i="39"/>
  <c r="I21" i="39"/>
  <c r="H21" i="39"/>
  <c r="G21" i="39"/>
  <c r="F21" i="39"/>
  <c r="K20" i="39"/>
  <c r="J20" i="39"/>
  <c r="I20" i="39"/>
  <c r="H20" i="39"/>
  <c r="G20" i="39"/>
  <c r="F20" i="39"/>
  <c r="K19" i="39"/>
  <c r="J19" i="39"/>
  <c r="I19" i="39"/>
  <c r="H19" i="39"/>
  <c r="G19" i="39"/>
  <c r="F19" i="39"/>
  <c r="K18" i="39"/>
  <c r="J18" i="39"/>
  <c r="I18" i="39"/>
  <c r="H18" i="39"/>
  <c r="G18" i="39"/>
  <c r="F18" i="39"/>
  <c r="K17" i="39"/>
  <c r="J17" i="39"/>
  <c r="I17" i="39"/>
  <c r="H17" i="39"/>
  <c r="G17" i="39"/>
  <c r="F17" i="39"/>
  <c r="K15" i="39"/>
  <c r="J15" i="39"/>
  <c r="J16" i="39" s="1"/>
  <c r="I15" i="39"/>
  <c r="H15" i="39"/>
  <c r="G15" i="39"/>
  <c r="F15" i="39"/>
  <c r="K25" i="39"/>
  <c r="I25" i="39"/>
  <c r="H25" i="39"/>
  <c r="G25" i="39"/>
  <c r="F25" i="39"/>
  <c r="H16" i="39" l="1"/>
  <c r="G16" i="39"/>
  <c r="I22" i="39"/>
  <c r="I16" i="39"/>
  <c r="F22" i="39"/>
  <c r="H22" i="39"/>
  <c r="J22" i="39"/>
  <c r="F16" i="39"/>
  <c r="G22" i="39"/>
  <c r="K94" i="28"/>
  <c r="H48" i="2"/>
  <c r="G48" i="2"/>
  <c r="F48" i="2"/>
  <c r="I87" i="28" s="1"/>
  <c r="E48" i="2"/>
  <c r="D48" i="2"/>
  <c r="C48" i="2"/>
  <c r="K87" i="28"/>
  <c r="J87" i="28"/>
  <c r="H87" i="28"/>
  <c r="G87" i="28"/>
  <c r="F87" i="28"/>
  <c r="K88" i="28"/>
  <c r="J88" i="28"/>
  <c r="I88" i="28"/>
  <c r="H88" i="28"/>
  <c r="G88" i="28"/>
  <c r="F88" i="28"/>
  <c r="K82" i="28"/>
  <c r="J82" i="28"/>
  <c r="I82" i="28"/>
  <c r="H82" i="28"/>
  <c r="G82" i="28"/>
  <c r="F82" i="28"/>
  <c r="F71" i="28"/>
  <c r="K77" i="28"/>
  <c r="J77" i="28"/>
  <c r="I77" i="28"/>
  <c r="H77" i="28"/>
  <c r="G77" i="28"/>
  <c r="F77" i="28"/>
  <c r="H26" i="1"/>
  <c r="G26" i="1"/>
  <c r="F26" i="1"/>
  <c r="E26" i="1"/>
  <c r="D26" i="1"/>
  <c r="C26" i="1"/>
  <c r="J71" i="28"/>
  <c r="I71" i="28"/>
  <c r="H71" i="28"/>
  <c r="G71" i="28"/>
  <c r="J70" i="28"/>
  <c r="I70" i="28"/>
  <c r="H70" i="28"/>
  <c r="G70" i="28"/>
  <c r="F70" i="28"/>
  <c r="K69" i="28"/>
  <c r="K75" i="28" s="1"/>
  <c r="J69" i="28"/>
  <c r="J93" i="28" s="1"/>
  <c r="I69" i="28"/>
  <c r="I75" i="28" s="1"/>
  <c r="H69" i="28"/>
  <c r="G69" i="28"/>
  <c r="G100" i="28" s="1"/>
  <c r="F69" i="28"/>
  <c r="F75" i="28" s="1"/>
  <c r="B4" i="28"/>
  <c r="W62" i="27"/>
  <c r="V62" i="27"/>
  <c r="U62" i="27"/>
  <c r="T62" i="27"/>
  <c r="S62" i="27"/>
  <c r="R62" i="27"/>
  <c r="T60" i="27"/>
  <c r="U60" i="27" s="1"/>
  <c r="V60" i="27" s="1"/>
  <c r="W60" i="27" s="1"/>
  <c r="S60" i="27"/>
  <c r="K70" i="27"/>
  <c r="F42" i="1"/>
  <c r="I63" i="27" s="1"/>
  <c r="E42" i="1"/>
  <c r="H63" i="27" s="1"/>
  <c r="D42" i="1"/>
  <c r="G63" i="27" s="1"/>
  <c r="C42" i="1"/>
  <c r="F63" i="27" s="1"/>
  <c r="K62" i="27"/>
  <c r="J62" i="27"/>
  <c r="I62" i="27"/>
  <c r="H62" i="27"/>
  <c r="G62" i="27"/>
  <c r="F62" i="27"/>
  <c r="K33" i="38"/>
  <c r="J33" i="38"/>
  <c r="I33" i="38"/>
  <c r="H33" i="38"/>
  <c r="G33" i="38"/>
  <c r="F33" i="38"/>
  <c r="E33" i="38"/>
  <c r="D33" i="38"/>
  <c r="C35" i="38"/>
  <c r="C36" i="38"/>
  <c r="C37" i="38"/>
  <c r="C38" i="38"/>
  <c r="C39" i="38"/>
  <c r="C40" i="38"/>
  <c r="C41" i="38"/>
  <c r="C34" i="38"/>
  <c r="I23" i="38"/>
  <c r="I24" i="38" s="1"/>
  <c r="I25" i="38" s="1"/>
  <c r="I26" i="38" s="1"/>
  <c r="I27" i="38" s="1"/>
  <c r="I21" i="38"/>
  <c r="C11" i="38"/>
  <c r="B38" i="38"/>
  <c r="D32" i="38"/>
  <c r="B24" i="38"/>
  <c r="B25" i="38" s="1"/>
  <c r="B26" i="38" s="1"/>
  <c r="B27" i="38" s="1"/>
  <c r="B21" i="38"/>
  <c r="B22" i="38" s="1"/>
  <c r="C7" i="38"/>
  <c r="C6" i="38"/>
  <c r="C31" i="24"/>
  <c r="B2" i="19"/>
  <c r="C18" i="19"/>
  <c r="B34" i="19"/>
  <c r="B35" i="19" s="1"/>
  <c r="B36" i="19" s="1"/>
  <c r="B31" i="19"/>
  <c r="B32" i="19" s="1"/>
  <c r="C14" i="19"/>
  <c r="C13" i="19"/>
  <c r="C6" i="19"/>
  <c r="H31" i="16"/>
  <c r="I31" i="16" s="1"/>
  <c r="F31" i="16"/>
  <c r="E31" i="16"/>
  <c r="G32" i="14"/>
  <c r="H32" i="14" s="1"/>
  <c r="I32" i="14" s="1"/>
  <c r="E32" i="14"/>
  <c r="B20" i="14"/>
  <c r="B21" i="14" s="1"/>
  <c r="B22" i="14" s="1"/>
  <c r="B24" i="14" s="1"/>
  <c r="B25" i="14" s="1"/>
  <c r="B26" i="14" s="1"/>
  <c r="B19" i="14"/>
  <c r="B28" i="11"/>
  <c r="C10" i="11"/>
  <c r="D56" i="10"/>
  <c r="D57" i="10"/>
  <c r="D58" i="10"/>
  <c r="D59" i="10"/>
  <c r="D60" i="10"/>
  <c r="D55" i="10"/>
  <c r="D49" i="10"/>
  <c r="D50" i="10"/>
  <c r="D51" i="10"/>
  <c r="D52" i="10"/>
  <c r="D53" i="10"/>
  <c r="D54" i="10"/>
  <c r="C50" i="10"/>
  <c r="B47" i="10"/>
  <c r="C6" i="11"/>
  <c r="B2" i="37"/>
  <c r="D13" i="5"/>
  <c r="D12" i="5"/>
  <c r="D11" i="5"/>
  <c r="D11" i="36"/>
  <c r="D4" i="36"/>
  <c r="D5" i="36"/>
  <c r="E5" i="36" s="1"/>
  <c r="D6" i="36"/>
  <c r="D7" i="36"/>
  <c r="D8" i="36"/>
  <c r="D9" i="36"/>
  <c r="B2" i="36"/>
  <c r="B2" i="35"/>
  <c r="D27" i="10"/>
  <c r="D28" i="10"/>
  <c r="D29" i="10"/>
  <c r="D30" i="10"/>
  <c r="D31" i="10"/>
  <c r="D26" i="10"/>
  <c r="B24" i="10"/>
  <c r="B2" i="10"/>
  <c r="D5" i="10"/>
  <c r="D6" i="10"/>
  <c r="D7" i="10"/>
  <c r="D8" i="10"/>
  <c r="D9" i="10"/>
  <c r="C27" i="10"/>
  <c r="C28" i="10"/>
  <c r="C51" i="10" s="1"/>
  <c r="C29" i="10"/>
  <c r="C52" i="10" s="1"/>
  <c r="C30" i="10"/>
  <c r="C53" i="10" s="1"/>
  <c r="C31" i="10"/>
  <c r="C54" i="10" s="1"/>
  <c r="C32" i="10"/>
  <c r="C55" i="10" s="1"/>
  <c r="C33" i="10"/>
  <c r="C56" i="10" s="1"/>
  <c r="C34" i="10"/>
  <c r="C57" i="10" s="1"/>
  <c r="C35" i="10"/>
  <c r="C58" i="10" s="1"/>
  <c r="C36" i="10"/>
  <c r="C59" i="10" s="1"/>
  <c r="C37" i="10"/>
  <c r="C60" i="10" s="1"/>
  <c r="C26" i="10"/>
  <c r="C49" i="10" s="1"/>
  <c r="B2" i="8"/>
  <c r="D10" i="8"/>
  <c r="D5" i="8"/>
  <c r="D6" i="8"/>
  <c r="D7" i="8"/>
  <c r="D8" i="8"/>
  <c r="D9" i="8"/>
  <c r="D4" i="8"/>
  <c r="C5" i="8"/>
  <c r="C6" i="8"/>
  <c r="C7" i="8"/>
  <c r="C8" i="8"/>
  <c r="C9" i="8"/>
  <c r="C10" i="8"/>
  <c r="C11" i="8"/>
  <c r="C12" i="8"/>
  <c r="C13" i="8"/>
  <c r="C14" i="8"/>
  <c r="C15" i="8"/>
  <c r="C4" i="8"/>
  <c r="D4" i="7"/>
  <c r="D5" i="7"/>
  <c r="D6" i="7"/>
  <c r="D7" i="7"/>
  <c r="D8" i="7"/>
  <c r="D9" i="7"/>
  <c r="C5" i="7"/>
  <c r="C6" i="7"/>
  <c r="C7" i="7"/>
  <c r="C8" i="7"/>
  <c r="C9" i="7"/>
  <c r="C4" i="7"/>
  <c r="B2" i="7"/>
  <c r="Q14" i="5"/>
  <c r="Q15" i="5" s="1"/>
  <c r="Q16" i="5" s="1"/>
  <c r="Q12" i="5"/>
  <c r="Q13" i="5" s="1"/>
  <c r="Q5" i="5"/>
  <c r="Q6" i="5" s="1"/>
  <c r="Q7" i="5" s="1"/>
  <c r="Q8" i="5" s="1"/>
  <c r="Q9" i="5" s="1"/>
  <c r="Q10" i="5" s="1"/>
  <c r="D5" i="5"/>
  <c r="D6" i="5"/>
  <c r="G26" i="4"/>
  <c r="F26" i="4"/>
  <c r="E26" i="4"/>
  <c r="D26" i="4"/>
  <c r="G25" i="4"/>
  <c r="F25" i="4"/>
  <c r="E25" i="4"/>
  <c r="D25" i="4"/>
  <c r="G24" i="4"/>
  <c r="F24" i="4"/>
  <c r="E24" i="4"/>
  <c r="D24" i="4"/>
  <c r="G23" i="4"/>
  <c r="F23" i="4"/>
  <c r="E23" i="4"/>
  <c r="D23" i="4"/>
  <c r="G22" i="4"/>
  <c r="F22" i="4"/>
  <c r="E22" i="4"/>
  <c r="D22" i="4"/>
  <c r="C26" i="4"/>
  <c r="C24" i="4"/>
  <c r="C25" i="4"/>
  <c r="C23" i="4"/>
  <c r="C22" i="4"/>
  <c r="G20" i="4"/>
  <c r="F20" i="4"/>
  <c r="E20" i="4"/>
  <c r="D20" i="4"/>
  <c r="C20" i="4"/>
  <c r="B16" i="4"/>
  <c r="B2" i="4"/>
  <c r="H13" i="4"/>
  <c r="G13" i="4"/>
  <c r="F13" i="4"/>
  <c r="E13" i="4"/>
  <c r="D13" i="4"/>
  <c r="C13" i="4"/>
  <c r="H12" i="4"/>
  <c r="G12" i="4"/>
  <c r="F12" i="4"/>
  <c r="E12" i="4"/>
  <c r="D12" i="4"/>
  <c r="C12" i="4"/>
  <c r="H11" i="4"/>
  <c r="G11" i="4"/>
  <c r="F11" i="4"/>
  <c r="E11" i="4"/>
  <c r="D11" i="4"/>
  <c r="C11" i="4"/>
  <c r="H10" i="4"/>
  <c r="G10" i="4"/>
  <c r="F10" i="4"/>
  <c r="E10" i="4"/>
  <c r="D10" i="4"/>
  <c r="C10" i="4"/>
  <c r="H8" i="4"/>
  <c r="H7" i="4"/>
  <c r="H6" i="4"/>
  <c r="G7" i="4"/>
  <c r="F7" i="4"/>
  <c r="E7" i="4"/>
  <c r="D7" i="4"/>
  <c r="C7" i="4"/>
  <c r="H17" i="2"/>
  <c r="H21" i="2" s="1"/>
  <c r="G17" i="2"/>
  <c r="G11" i="3" s="1"/>
  <c r="F17" i="2"/>
  <c r="F11" i="3" s="1"/>
  <c r="E17" i="2"/>
  <c r="D17" i="2"/>
  <c r="C17" i="2"/>
  <c r="C21" i="2" s="1"/>
  <c r="C6" i="33" s="1"/>
  <c r="H11" i="2"/>
  <c r="H6" i="3" s="1"/>
  <c r="G11" i="2"/>
  <c r="F11" i="2"/>
  <c r="E11" i="2"/>
  <c r="D11" i="2"/>
  <c r="C11" i="2"/>
  <c r="C6" i="4"/>
  <c r="F40" i="1"/>
  <c r="F12" i="34" s="1"/>
  <c r="E40" i="1"/>
  <c r="E12" i="34" s="1"/>
  <c r="D40" i="1"/>
  <c r="D12" i="34" s="1"/>
  <c r="C40" i="1"/>
  <c r="C12" i="34" s="1"/>
  <c r="F38" i="1"/>
  <c r="F11" i="34" s="1"/>
  <c r="E38" i="1"/>
  <c r="E11" i="34" s="1"/>
  <c r="D38" i="1"/>
  <c r="D11" i="34" s="1"/>
  <c r="C38" i="1"/>
  <c r="C11" i="34" s="1"/>
  <c r="H36" i="1"/>
  <c r="H9" i="34" s="1"/>
  <c r="G36" i="1"/>
  <c r="G9" i="34" s="1"/>
  <c r="F36" i="1"/>
  <c r="F9" i="34" s="1"/>
  <c r="E36" i="1"/>
  <c r="E9" i="34" s="1"/>
  <c r="D36" i="1"/>
  <c r="D9" i="34" s="1"/>
  <c r="C36" i="1"/>
  <c r="C9" i="34" s="1"/>
  <c r="C7" i="24" s="1"/>
  <c r="C7" i="25" s="1"/>
  <c r="H34" i="1"/>
  <c r="H8" i="34" s="1"/>
  <c r="G34" i="1"/>
  <c r="G8" i="34" s="1"/>
  <c r="F34" i="1"/>
  <c r="F8" i="34" s="1"/>
  <c r="E34" i="1"/>
  <c r="E8" i="34" s="1"/>
  <c r="D34" i="1"/>
  <c r="D8" i="34" s="1"/>
  <c r="C34" i="1"/>
  <c r="C8" i="34" s="1"/>
  <c r="C6" i="24" s="1"/>
  <c r="B2" i="34"/>
  <c r="D3" i="34"/>
  <c r="E3" i="34" s="1"/>
  <c r="F3" i="34" s="1"/>
  <c r="G3" i="34" s="1"/>
  <c r="H3" i="34" s="1"/>
  <c r="F32" i="1"/>
  <c r="F7" i="34" s="1"/>
  <c r="E32" i="1"/>
  <c r="E6" i="34" s="1"/>
  <c r="D32" i="1"/>
  <c r="D7" i="34" s="1"/>
  <c r="C32" i="1"/>
  <c r="C7" i="34" s="1"/>
  <c r="G10" i="33"/>
  <c r="H8" i="33"/>
  <c r="G8" i="33"/>
  <c r="F8" i="33"/>
  <c r="E8" i="33"/>
  <c r="D8" i="33"/>
  <c r="C8" i="33"/>
  <c r="G7" i="33"/>
  <c r="D6" i="33"/>
  <c r="B2" i="33"/>
  <c r="K8" i="33"/>
  <c r="D3" i="33"/>
  <c r="E3" i="33" s="1"/>
  <c r="F3" i="33" s="1"/>
  <c r="G3" i="33" s="1"/>
  <c r="H3" i="33" s="1"/>
  <c r="F11" i="32"/>
  <c r="E11" i="32"/>
  <c r="D11" i="32"/>
  <c r="C11" i="32"/>
  <c r="G9" i="32"/>
  <c r="D5" i="35" s="1"/>
  <c r="F9" i="32"/>
  <c r="D6" i="35" s="1"/>
  <c r="E9" i="32"/>
  <c r="D7" i="35" s="1"/>
  <c r="D9" i="32"/>
  <c r="D8" i="35" s="1"/>
  <c r="C9" i="32"/>
  <c r="D9" i="35" s="1"/>
  <c r="G8" i="32"/>
  <c r="F8" i="32"/>
  <c r="E8" i="32"/>
  <c r="D8" i="32"/>
  <c r="C8" i="32"/>
  <c r="G7" i="32"/>
  <c r="F7" i="32"/>
  <c r="E7" i="32"/>
  <c r="D7" i="32"/>
  <c r="C7" i="32"/>
  <c r="G6" i="32"/>
  <c r="F6" i="32"/>
  <c r="E6" i="32"/>
  <c r="D6" i="32"/>
  <c r="C6" i="32"/>
  <c r="B2" i="32"/>
  <c r="H10" i="32"/>
  <c r="G10" i="32"/>
  <c r="F10" i="32"/>
  <c r="E10" i="32"/>
  <c r="D10" i="32"/>
  <c r="C10" i="32"/>
  <c r="D3" i="32"/>
  <c r="E3" i="32" s="1"/>
  <c r="F3" i="32" s="1"/>
  <c r="G3" i="32" s="1"/>
  <c r="H3" i="32" s="1"/>
  <c r="G8" i="31"/>
  <c r="F8" i="31"/>
  <c r="E8" i="31"/>
  <c r="D8" i="31"/>
  <c r="C8" i="31"/>
  <c r="H10" i="31"/>
  <c r="G10" i="31"/>
  <c r="F10" i="31"/>
  <c r="E10" i="31"/>
  <c r="D10" i="31"/>
  <c r="C10" i="31"/>
  <c r="G7" i="31"/>
  <c r="F7" i="31"/>
  <c r="E7" i="31"/>
  <c r="D7" i="31"/>
  <c r="C7" i="31"/>
  <c r="G6" i="31"/>
  <c r="F6" i="31"/>
  <c r="E6" i="31"/>
  <c r="D6" i="31"/>
  <c r="C6" i="31"/>
  <c r="B2" i="31"/>
  <c r="H9" i="31"/>
  <c r="G9" i="31"/>
  <c r="F9" i="31"/>
  <c r="E9" i="31"/>
  <c r="D9" i="31"/>
  <c r="C9" i="31"/>
  <c r="D3" i="31"/>
  <c r="E3" i="31" s="1"/>
  <c r="F3" i="31" s="1"/>
  <c r="G3" i="31" s="1"/>
  <c r="H3" i="31" s="1"/>
  <c r="B2" i="3"/>
  <c r="J13" i="3"/>
  <c r="K13" i="3"/>
  <c r="J12" i="3"/>
  <c r="K12" i="3"/>
  <c r="G28" i="1"/>
  <c r="G14" i="3" s="1"/>
  <c r="F28" i="1"/>
  <c r="F14" i="3" s="1"/>
  <c r="E28" i="1"/>
  <c r="E14" i="3" s="1"/>
  <c r="D28" i="1"/>
  <c r="D14" i="3" s="1"/>
  <c r="C28" i="1"/>
  <c r="C14" i="3" s="1"/>
  <c r="E11" i="3"/>
  <c r="D11" i="3"/>
  <c r="G10" i="3"/>
  <c r="F10" i="3"/>
  <c r="E10" i="3"/>
  <c r="D10" i="3"/>
  <c r="C10" i="3"/>
  <c r="H8" i="3"/>
  <c r="G8" i="3"/>
  <c r="E8" i="3"/>
  <c r="D8" i="3"/>
  <c r="C8" i="3"/>
  <c r="C7" i="3"/>
  <c r="D7" i="3"/>
  <c r="E7" i="3"/>
  <c r="F7" i="3"/>
  <c r="G7" i="3"/>
  <c r="H7" i="3"/>
  <c r="G6" i="3"/>
  <c r="F6" i="3"/>
  <c r="E6" i="3"/>
  <c r="D6" i="3"/>
  <c r="C6" i="3"/>
  <c r="D3" i="3"/>
  <c r="E3" i="3" s="1"/>
  <c r="F3" i="3" s="1"/>
  <c r="G3" i="3" s="1"/>
  <c r="H3" i="3" s="1"/>
  <c r="G44" i="2"/>
  <c r="G46" i="2" s="1"/>
  <c r="G12" i="33" s="1"/>
  <c r="F44" i="2"/>
  <c r="F46" i="2" s="1"/>
  <c r="F12" i="33" s="1"/>
  <c r="E44" i="2"/>
  <c r="E46" i="2" s="1"/>
  <c r="E12" i="33" s="1"/>
  <c r="D44" i="2"/>
  <c r="D46" i="2" s="1"/>
  <c r="D12" i="33" s="1"/>
  <c r="C44" i="2"/>
  <c r="C46" i="2" s="1"/>
  <c r="C12" i="33" s="1"/>
  <c r="D19" i="2"/>
  <c r="D21" i="2" s="1"/>
  <c r="G21" i="2"/>
  <c r="G22" i="1"/>
  <c r="F22" i="1"/>
  <c r="E22" i="1"/>
  <c r="D22" i="1"/>
  <c r="C22" i="1"/>
  <c r="H16" i="2"/>
  <c r="H15" i="2"/>
  <c r="H14" i="2"/>
  <c r="H13" i="2"/>
  <c r="H12" i="2"/>
  <c r="H10" i="2"/>
  <c r="H9" i="2"/>
  <c r="H9" i="1"/>
  <c r="H10" i="1"/>
  <c r="G32" i="1" s="1"/>
  <c r="H11" i="1"/>
  <c r="H12" i="1"/>
  <c r="H19" i="1"/>
  <c r="H20" i="1"/>
  <c r="H42" i="1" s="1"/>
  <c r="K63" i="27" s="1"/>
  <c r="H18" i="1"/>
  <c r="H17" i="1"/>
  <c r="H16" i="1"/>
  <c r="H14" i="1"/>
  <c r="H7" i="32" s="1"/>
  <c r="H13" i="1"/>
  <c r="H40" i="1" s="1"/>
  <c r="H12" i="34" s="1"/>
  <c r="J100" i="28"/>
  <c r="I100" i="28"/>
  <c r="H100" i="28"/>
  <c r="J94" i="28"/>
  <c r="I94" i="28"/>
  <c r="H94" i="28"/>
  <c r="G94" i="28"/>
  <c r="F94" i="28"/>
  <c r="K93" i="28"/>
  <c r="H93" i="28"/>
  <c r="F93" i="28"/>
  <c r="B83" i="28"/>
  <c r="H75" i="28"/>
  <c r="B3" i="28"/>
  <c r="B98" i="27"/>
  <c r="B95" i="27"/>
  <c r="K92" i="27"/>
  <c r="J92" i="27"/>
  <c r="I92" i="27"/>
  <c r="H92" i="27"/>
  <c r="G92" i="27"/>
  <c r="F92" i="27"/>
  <c r="B87" i="27"/>
  <c r="B86" i="27"/>
  <c r="K85" i="27"/>
  <c r="J85" i="27"/>
  <c r="I85" i="27"/>
  <c r="H85" i="27"/>
  <c r="G85" i="27"/>
  <c r="F85" i="27"/>
  <c r="B78" i="27"/>
  <c r="B77" i="27"/>
  <c r="B73" i="27"/>
  <c r="K73" i="27"/>
  <c r="J70" i="27"/>
  <c r="J95" i="27" s="1"/>
  <c r="J98" i="27" s="1"/>
  <c r="I70" i="27"/>
  <c r="I95" i="27" s="1"/>
  <c r="I98" i="27" s="1"/>
  <c r="H70" i="27"/>
  <c r="G70" i="27"/>
  <c r="G73" i="27" s="1"/>
  <c r="F70" i="27"/>
  <c r="F95" i="27" s="1"/>
  <c r="F98" i="27" s="1"/>
  <c r="B69" i="27"/>
  <c r="B94" i="27" s="1"/>
  <c r="K67" i="27"/>
  <c r="J67" i="27"/>
  <c r="I67" i="27"/>
  <c r="H67" i="27"/>
  <c r="G67" i="27"/>
  <c r="F67" i="27"/>
  <c r="B6" i="27"/>
  <c r="B3" i="27"/>
  <c r="F10" i="26"/>
  <c r="I9" i="26"/>
  <c r="F9" i="26"/>
  <c r="I8" i="26"/>
  <c r="F8" i="26"/>
  <c r="F7" i="26"/>
  <c r="I6" i="26"/>
  <c r="F6" i="26"/>
  <c r="F5" i="26"/>
  <c r="B34" i="25"/>
  <c r="C30" i="25"/>
  <c r="G29" i="25"/>
  <c r="D29" i="25"/>
  <c r="D28" i="25"/>
  <c r="B17" i="25"/>
  <c r="B18" i="25" s="1"/>
  <c r="B19" i="25" s="1"/>
  <c r="B20" i="25" s="1"/>
  <c r="B2" i="25"/>
  <c r="B34" i="24"/>
  <c r="C30" i="24"/>
  <c r="D29" i="24"/>
  <c r="D28" i="24"/>
  <c r="B2" i="24"/>
  <c r="C5" i="19"/>
  <c r="C27" i="17"/>
  <c r="C26" i="17"/>
  <c r="C25" i="17"/>
  <c r="C23" i="17"/>
  <c r="B2" i="17"/>
  <c r="C32" i="16"/>
  <c r="C35" i="16"/>
  <c r="C34" i="16"/>
  <c r="B2" i="16"/>
  <c r="C5" i="14"/>
  <c r="B2" i="14"/>
  <c r="B23" i="12"/>
  <c r="B21" i="12"/>
  <c r="B39" i="11"/>
  <c r="D33" i="11"/>
  <c r="I25" i="11"/>
  <c r="I22" i="11"/>
  <c r="B22" i="11"/>
  <c r="C9" i="11"/>
  <c r="C11" i="12" s="1"/>
  <c r="E6" i="6"/>
  <c r="B6" i="6"/>
  <c r="B2" i="6"/>
  <c r="D10" i="5"/>
  <c r="D9" i="5"/>
  <c r="R9" i="5" s="1"/>
  <c r="D8" i="5"/>
  <c r="C9" i="6" s="1"/>
  <c r="D7" i="5"/>
  <c r="C7" i="6"/>
  <c r="C6" i="5"/>
  <c r="B3" i="5"/>
  <c r="D8" i="4"/>
  <c r="G6" i="4"/>
  <c r="F6" i="4"/>
  <c r="E6" i="4"/>
  <c r="D6" i="4"/>
  <c r="D4" i="4"/>
  <c r="E4" i="4" s="1"/>
  <c r="F4" i="4" s="1"/>
  <c r="G4" i="4" s="1"/>
  <c r="H4" i="4" s="1"/>
  <c r="H9" i="3"/>
  <c r="G9" i="3"/>
  <c r="F9" i="3"/>
  <c r="E9" i="3"/>
  <c r="D9" i="3"/>
  <c r="C9" i="3"/>
  <c r="C33" i="2"/>
  <c r="F8" i="4"/>
  <c r="E8" i="4"/>
  <c r="D7" i="2"/>
  <c r="E7" i="2" s="1"/>
  <c r="F7" i="2" s="1"/>
  <c r="G7" i="2" s="1"/>
  <c r="B2" i="2"/>
  <c r="D7" i="1"/>
  <c r="E7" i="1" s="1"/>
  <c r="F7" i="1" s="1"/>
  <c r="G7" i="1" s="1"/>
  <c r="F100" i="28" l="1"/>
  <c r="K100" i="28"/>
  <c r="H25" i="4"/>
  <c r="K70" i="28"/>
  <c r="H22" i="4"/>
  <c r="E6" i="35"/>
  <c r="C6" i="25"/>
  <c r="H24" i="4"/>
  <c r="H26" i="4"/>
  <c r="G42" i="1"/>
  <c r="J63" i="27" s="1"/>
  <c r="J78" i="27" s="1"/>
  <c r="H23" i="4"/>
  <c r="F74" i="27"/>
  <c r="H20" i="4"/>
  <c r="G74" i="27"/>
  <c r="H74" i="27"/>
  <c r="I74" i="27"/>
  <c r="K71" i="28"/>
  <c r="J75" i="28"/>
  <c r="I93" i="28"/>
  <c r="G93" i="28"/>
  <c r="G75" i="28"/>
  <c r="C35" i="25"/>
  <c r="B22" i="25"/>
  <c r="B23" i="25" s="1"/>
  <c r="C34" i="25"/>
  <c r="G29" i="24"/>
  <c r="F29" i="24"/>
  <c r="E29" i="24"/>
  <c r="C32" i="24"/>
  <c r="C7" i="19"/>
  <c r="C9" i="19"/>
  <c r="B23" i="11"/>
  <c r="B25" i="11" s="1"/>
  <c r="B26" i="11" s="1"/>
  <c r="B27" i="11" s="1"/>
  <c r="E54" i="10"/>
  <c r="E51" i="10"/>
  <c r="E53" i="10"/>
  <c r="E50" i="10"/>
  <c r="E28" i="10"/>
  <c r="E55" i="10"/>
  <c r="E52" i="10"/>
  <c r="D34" i="10"/>
  <c r="E6" i="36"/>
  <c r="E7" i="36"/>
  <c r="D10" i="36"/>
  <c r="E10" i="36" s="1"/>
  <c r="D13" i="36"/>
  <c r="E9" i="36"/>
  <c r="E8" i="36"/>
  <c r="D14" i="36"/>
  <c r="D12" i="36"/>
  <c r="D15" i="36"/>
  <c r="E9" i="35"/>
  <c r="E8" i="35"/>
  <c r="E7" i="35"/>
  <c r="E31" i="10"/>
  <c r="E32" i="10"/>
  <c r="D37" i="10"/>
  <c r="E5" i="10"/>
  <c r="D36" i="10"/>
  <c r="D35" i="10"/>
  <c r="E30" i="10"/>
  <c r="E29" i="10"/>
  <c r="E27" i="10"/>
  <c r="E11" i="5"/>
  <c r="H22" i="2"/>
  <c r="H11" i="33" s="1"/>
  <c r="H10" i="33"/>
  <c r="H38" i="2"/>
  <c r="H7" i="33"/>
  <c r="D4" i="10" s="1"/>
  <c r="H6" i="33"/>
  <c r="F8" i="3"/>
  <c r="G22" i="2"/>
  <c r="G11" i="33" s="1"/>
  <c r="G6" i="33"/>
  <c r="D7" i="33"/>
  <c r="D10" i="33"/>
  <c r="H11" i="3"/>
  <c r="C11" i="3"/>
  <c r="C9" i="33"/>
  <c r="C10" i="33"/>
  <c r="C22" i="2"/>
  <c r="C11" i="33" s="1"/>
  <c r="C7" i="33"/>
  <c r="G40" i="1"/>
  <c r="G12" i="34" s="1"/>
  <c r="K12" i="34" s="1"/>
  <c r="D6" i="34"/>
  <c r="D10" i="34" s="1"/>
  <c r="D8" i="37" s="1"/>
  <c r="G38" i="1"/>
  <c r="H38" i="1"/>
  <c r="E10" i="34"/>
  <c r="D7" i="37" s="1"/>
  <c r="E7" i="34"/>
  <c r="H32" i="1"/>
  <c r="H6" i="34" s="1"/>
  <c r="H10" i="34" s="1"/>
  <c r="D4" i="37" s="1"/>
  <c r="G7" i="34"/>
  <c r="G6" i="34"/>
  <c r="G10" i="34" s="1"/>
  <c r="D5" i="37" s="1"/>
  <c r="H8" i="32"/>
  <c r="J8" i="32" s="1"/>
  <c r="C6" i="34"/>
  <c r="F6" i="34"/>
  <c r="F10" i="34" s="1"/>
  <c r="D6" i="37" s="1"/>
  <c r="K10" i="32"/>
  <c r="K9" i="32"/>
  <c r="K9" i="34"/>
  <c r="K8" i="34"/>
  <c r="J8" i="34"/>
  <c r="J9" i="34"/>
  <c r="K12" i="33"/>
  <c r="J12" i="33"/>
  <c r="G11" i="32"/>
  <c r="K11" i="32" s="1"/>
  <c r="H9" i="32"/>
  <c r="D4" i="35" s="1"/>
  <c r="H11" i="32"/>
  <c r="J9" i="32"/>
  <c r="J10" i="32"/>
  <c r="J8" i="33"/>
  <c r="J7" i="32"/>
  <c r="K7" i="32"/>
  <c r="H22" i="1"/>
  <c r="H7" i="31"/>
  <c r="J7" i="31" s="1"/>
  <c r="H8" i="31"/>
  <c r="K8" i="31" s="1"/>
  <c r="H6" i="32"/>
  <c r="J6" i="32" s="1"/>
  <c r="H44" i="2"/>
  <c r="H46" i="2" s="1"/>
  <c r="H28" i="1"/>
  <c r="H14" i="3" s="1"/>
  <c r="J14" i="3" s="1"/>
  <c r="H6" i="31"/>
  <c r="K6" i="31" s="1"/>
  <c r="K10" i="31"/>
  <c r="K9" i="31"/>
  <c r="J9" i="31"/>
  <c r="J10" i="31"/>
  <c r="H10" i="3"/>
  <c r="J73" i="27"/>
  <c r="R6" i="5"/>
  <c r="E10" i="5"/>
  <c r="E6" i="5"/>
  <c r="G95" i="27"/>
  <c r="G98" i="27" s="1"/>
  <c r="E19" i="2"/>
  <c r="G89" i="28"/>
  <c r="B7" i="6"/>
  <c r="C7" i="5"/>
  <c r="J9" i="3"/>
  <c r="K9" i="3"/>
  <c r="G78" i="27"/>
  <c r="I89" i="28"/>
  <c r="F89" i="28"/>
  <c r="C8" i="4"/>
  <c r="F78" i="27"/>
  <c r="H89" i="28"/>
  <c r="I78" i="27"/>
  <c r="G8" i="4"/>
  <c r="H78" i="27"/>
  <c r="J89" i="28"/>
  <c r="K89" i="28"/>
  <c r="K78" i="27"/>
  <c r="C18" i="4"/>
  <c r="D18" i="4" s="1"/>
  <c r="E18" i="4" s="1"/>
  <c r="F18" i="4" s="1"/>
  <c r="G18" i="4" s="1"/>
  <c r="H18" i="4" s="1"/>
  <c r="E8" i="5"/>
  <c r="D16" i="5"/>
  <c r="C11" i="6"/>
  <c r="B24" i="12"/>
  <c r="R8" i="5"/>
  <c r="C6" i="6"/>
  <c r="D14" i="5"/>
  <c r="C8" i="6"/>
  <c r="R7" i="5"/>
  <c r="R10" i="5"/>
  <c r="R5" i="5"/>
  <c r="E7" i="5"/>
  <c r="C10" i="6"/>
  <c r="E9" i="5"/>
  <c r="D15" i="5"/>
  <c r="I26" i="11"/>
  <c r="I73" i="27"/>
  <c r="C33" i="16"/>
  <c r="C31" i="25"/>
  <c r="E29" i="25"/>
  <c r="F29" i="25"/>
  <c r="K95" i="27"/>
  <c r="K98" i="27" s="1"/>
  <c r="H29" i="25"/>
  <c r="H95" i="27"/>
  <c r="H98" i="27" s="1"/>
  <c r="H73" i="27"/>
  <c r="C13" i="11"/>
  <c r="F73" i="27"/>
  <c r="R12" i="5"/>
  <c r="R13" i="5"/>
  <c r="E8" i="37" l="1"/>
  <c r="E7" i="37"/>
  <c r="E5" i="37"/>
  <c r="D11" i="35"/>
  <c r="E11" i="35" s="1"/>
  <c r="D10" i="35"/>
  <c r="E10" i="35" s="1"/>
  <c r="J12" i="34"/>
  <c r="D14" i="35"/>
  <c r="E6" i="37"/>
  <c r="H11" i="34"/>
  <c r="K74" i="27"/>
  <c r="C10" i="34"/>
  <c r="D9" i="37" s="1"/>
  <c r="D14" i="37" s="1"/>
  <c r="C8" i="24"/>
  <c r="J74" i="27"/>
  <c r="J75" i="27" s="1"/>
  <c r="V63" i="27" s="1"/>
  <c r="G11" i="34"/>
  <c r="E5" i="35"/>
  <c r="D12" i="35"/>
  <c r="D13" i="35"/>
  <c r="D15" i="35"/>
  <c r="H29" i="24"/>
  <c r="C33" i="24"/>
  <c r="C34" i="24"/>
  <c r="C35" i="24"/>
  <c r="E59" i="10"/>
  <c r="E58" i="10"/>
  <c r="E57" i="10"/>
  <c r="E36" i="10"/>
  <c r="E60" i="10"/>
  <c r="E56" i="10"/>
  <c r="E37" i="10"/>
  <c r="E13" i="36"/>
  <c r="E11" i="36"/>
  <c r="E14" i="36"/>
  <c r="E15" i="36"/>
  <c r="E12" i="36"/>
  <c r="E33" i="10"/>
  <c r="E34" i="10"/>
  <c r="E35" i="10"/>
  <c r="H40" i="2"/>
  <c r="H9" i="33"/>
  <c r="J10" i="34"/>
  <c r="K10" i="34"/>
  <c r="J6" i="34"/>
  <c r="J7" i="34"/>
  <c r="H7" i="34"/>
  <c r="K7" i="34" s="1"/>
  <c r="K6" i="34"/>
  <c r="H12" i="33"/>
  <c r="J11" i="32"/>
  <c r="K7" i="31"/>
  <c r="K8" i="32"/>
  <c r="K6" i="32"/>
  <c r="J6" i="31"/>
  <c r="J8" i="31"/>
  <c r="K14" i="3"/>
  <c r="E21" i="2"/>
  <c r="E14" i="5"/>
  <c r="J72" i="28"/>
  <c r="E15" i="5"/>
  <c r="E12" i="5"/>
  <c r="F19" i="2"/>
  <c r="F21" i="2" s="1"/>
  <c r="J77" i="27"/>
  <c r="E16" i="5"/>
  <c r="J6" i="3"/>
  <c r="K6" i="3"/>
  <c r="C7" i="14"/>
  <c r="I77" i="27"/>
  <c r="F72" i="28"/>
  <c r="F77" i="27"/>
  <c r="I27" i="11"/>
  <c r="J78" i="28"/>
  <c r="J95" i="28"/>
  <c r="J96" i="28" s="1"/>
  <c r="C33" i="25"/>
  <c r="C32" i="25"/>
  <c r="L89" i="28"/>
  <c r="B25" i="12"/>
  <c r="G72" i="28"/>
  <c r="E13" i="5"/>
  <c r="B8" i="6"/>
  <c r="C8" i="5"/>
  <c r="K72" i="28"/>
  <c r="C37" i="25"/>
  <c r="C36" i="25"/>
  <c r="I29" i="25"/>
  <c r="C37" i="16"/>
  <c r="C6" i="14"/>
  <c r="H72" i="28"/>
  <c r="H77" i="27"/>
  <c r="R14" i="5"/>
  <c r="R15" i="5"/>
  <c r="R16" i="5" s="1"/>
  <c r="D12" i="37" l="1"/>
  <c r="E12" i="37" s="1"/>
  <c r="D15" i="37"/>
  <c r="E15" i="37" s="1"/>
  <c r="D10" i="37"/>
  <c r="E10" i="37" s="1"/>
  <c r="E15" i="35"/>
  <c r="D11" i="37"/>
  <c r="E9" i="37"/>
  <c r="D13" i="37"/>
  <c r="E13" i="35"/>
  <c r="K11" i="34"/>
  <c r="J11" i="34"/>
  <c r="E14" i="35"/>
  <c r="C8" i="25"/>
  <c r="C10" i="25" s="1"/>
  <c r="M15" i="25" s="1"/>
  <c r="C10" i="24"/>
  <c r="C15" i="24" s="1"/>
  <c r="E12" i="35"/>
  <c r="I29" i="24"/>
  <c r="C37" i="24"/>
  <c r="C36" i="24"/>
  <c r="E6" i="33"/>
  <c r="E10" i="33"/>
  <c r="E7" i="33"/>
  <c r="D22" i="2"/>
  <c r="D11" i="33" s="1"/>
  <c r="F10" i="33"/>
  <c r="F7" i="33"/>
  <c r="F6" i="33"/>
  <c r="I75" i="27"/>
  <c r="U63" i="27" s="1"/>
  <c r="F75" i="27"/>
  <c r="R63" i="27" s="1"/>
  <c r="C10" i="19"/>
  <c r="C24" i="19" s="1"/>
  <c r="E29" i="19" s="1"/>
  <c r="K95" i="28"/>
  <c r="K96" i="28" s="1"/>
  <c r="K78" i="28"/>
  <c r="H75" i="27"/>
  <c r="T63" i="27" s="1"/>
  <c r="I79" i="27"/>
  <c r="U64" i="27" s="1"/>
  <c r="I87" i="27"/>
  <c r="I99" i="27" s="1"/>
  <c r="I100" i="27" s="1"/>
  <c r="C7" i="17"/>
  <c r="J83" i="28"/>
  <c r="J84" i="28" s="1"/>
  <c r="J79" i="28"/>
  <c r="I78" i="28"/>
  <c r="I95" i="28"/>
  <c r="I96" i="28" s="1"/>
  <c r="C5" i="17"/>
  <c r="C9" i="17" s="1"/>
  <c r="I28" i="11"/>
  <c r="B26" i="12"/>
  <c r="F79" i="27"/>
  <c r="R64" i="27" s="1"/>
  <c r="F87" i="27"/>
  <c r="F99" i="27" s="1"/>
  <c r="F100" i="27" s="1"/>
  <c r="C38" i="16"/>
  <c r="K64" i="27"/>
  <c r="K69" i="27"/>
  <c r="F95" i="28"/>
  <c r="F96" i="28" s="1"/>
  <c r="F78" i="28"/>
  <c r="E7" i="7"/>
  <c r="I72" i="28"/>
  <c r="J87" i="27"/>
  <c r="J99" i="27" s="1"/>
  <c r="J100" i="27" s="1"/>
  <c r="J79" i="27"/>
  <c r="V64" i="27" s="1"/>
  <c r="V66" i="27" s="1"/>
  <c r="C9" i="14"/>
  <c r="C10" i="14" s="1"/>
  <c r="H69" i="27"/>
  <c r="H64" i="27"/>
  <c r="H87" i="27"/>
  <c r="H99" i="27" s="1"/>
  <c r="H100" i="27" s="1"/>
  <c r="H79" i="27"/>
  <c r="T64" i="27" s="1"/>
  <c r="J29" i="25"/>
  <c r="K29" i="25"/>
  <c r="G77" i="27"/>
  <c r="G75" i="27"/>
  <c r="S63" i="27" s="1"/>
  <c r="C9" i="5"/>
  <c r="B9" i="6"/>
  <c r="J7" i="3"/>
  <c r="K7" i="3"/>
  <c r="H95" i="28"/>
  <c r="H96" i="28" s="1"/>
  <c r="H78" i="28"/>
  <c r="K77" i="27"/>
  <c r="K75" i="27"/>
  <c r="W63" i="27" s="1"/>
  <c r="E8" i="6"/>
  <c r="D9" i="6" s="1"/>
  <c r="G95" i="28"/>
  <c r="G96" i="28" s="1"/>
  <c r="G78" i="28"/>
  <c r="E38" i="2"/>
  <c r="E9" i="33" s="1"/>
  <c r="K102" i="28" l="1"/>
  <c r="E11" i="37"/>
  <c r="E13" i="37"/>
  <c r="E14" i="37"/>
  <c r="T66" i="27"/>
  <c r="C15" i="25"/>
  <c r="C29" i="25"/>
  <c r="C29" i="24"/>
  <c r="M15" i="24"/>
  <c r="R66" i="27"/>
  <c r="U66" i="27"/>
  <c r="L75" i="27"/>
  <c r="K29" i="24"/>
  <c r="J29" i="24"/>
  <c r="C16" i="19"/>
  <c r="K7" i="33"/>
  <c r="J7" i="33"/>
  <c r="J6" i="33"/>
  <c r="K6" i="33"/>
  <c r="J10" i="33"/>
  <c r="K10" i="33"/>
  <c r="M75" i="27"/>
  <c r="C11" i="14"/>
  <c r="L96" i="28"/>
  <c r="E40" i="2"/>
  <c r="E22" i="2"/>
  <c r="E11" i="33" s="1"/>
  <c r="L72" i="28"/>
  <c r="G38" i="2"/>
  <c r="G9" i="33" s="1"/>
  <c r="E6" i="7"/>
  <c r="J102" i="28"/>
  <c r="J104" i="28" s="1"/>
  <c r="E9" i="6"/>
  <c r="D10" i="6" s="1"/>
  <c r="C8" i="16"/>
  <c r="C28" i="2"/>
  <c r="C35" i="2" s="1"/>
  <c r="K87" i="27"/>
  <c r="K99" i="27" s="1"/>
  <c r="K100" i="27" s="1"/>
  <c r="K79" i="27"/>
  <c r="W64" i="27" s="1"/>
  <c r="W66" i="27" s="1"/>
  <c r="H79" i="28"/>
  <c r="H83" i="28"/>
  <c r="H84" i="28" s="1"/>
  <c r="K10" i="3"/>
  <c r="J10" i="3"/>
  <c r="D28" i="2"/>
  <c r="D35" i="2" s="1"/>
  <c r="E8" i="7"/>
  <c r="I83" i="28"/>
  <c r="I84" i="28" s="1"/>
  <c r="I79" i="28"/>
  <c r="C10" i="16"/>
  <c r="B27" i="12"/>
  <c r="H94" i="27"/>
  <c r="H96" i="27" s="1"/>
  <c r="H102" i="27" s="1"/>
  <c r="H71" i="27"/>
  <c r="H81" i="27" s="1"/>
  <c r="H86" i="27"/>
  <c r="H88" i="27" s="1"/>
  <c r="G83" i="28"/>
  <c r="G84" i="28" s="1"/>
  <c r="G79" i="28"/>
  <c r="C40" i="16"/>
  <c r="C39" i="16"/>
  <c r="K79" i="28"/>
  <c r="K83" i="28"/>
  <c r="K84" i="28" s="1"/>
  <c r="F38" i="2"/>
  <c r="F9" i="33" s="1"/>
  <c r="C10" i="5"/>
  <c r="B11" i="6" s="1"/>
  <c r="B10" i="6"/>
  <c r="G87" i="27"/>
  <c r="G99" i="27" s="1"/>
  <c r="G100" i="27" s="1"/>
  <c r="G79" i="27"/>
  <c r="F83" i="28"/>
  <c r="F84" i="28" s="1"/>
  <c r="F79" i="28"/>
  <c r="F102" i="28" s="1"/>
  <c r="I64" i="27"/>
  <c r="I69" i="27"/>
  <c r="C10" i="17"/>
  <c r="C11" i="17" s="1"/>
  <c r="K94" i="27"/>
  <c r="K96" i="27" s="1"/>
  <c r="K71" i="27"/>
  <c r="K86" i="27"/>
  <c r="M79" i="27" l="1"/>
  <c r="S64" i="27"/>
  <c r="S66" i="27" s="1"/>
  <c r="L79" i="27"/>
  <c r="C29" i="19"/>
  <c r="C20" i="19"/>
  <c r="K81" i="27"/>
  <c r="E9" i="7"/>
  <c r="K104" i="28"/>
  <c r="G102" i="28"/>
  <c r="G104" i="28" s="1"/>
  <c r="C11" i="16"/>
  <c r="C16" i="16" s="1"/>
  <c r="H102" i="28"/>
  <c r="H104" i="28" s="1"/>
  <c r="I102" i="28"/>
  <c r="I104" i="28" s="1"/>
  <c r="K102" i="27"/>
  <c r="J8" i="3"/>
  <c r="K8" i="3"/>
  <c r="G40" i="2"/>
  <c r="K11" i="3"/>
  <c r="J11" i="3"/>
  <c r="F64" i="27"/>
  <c r="F69" i="27"/>
  <c r="L79" i="28"/>
  <c r="F104" i="28"/>
  <c r="E10" i="6"/>
  <c r="D11" i="6" s="1"/>
  <c r="E7" i="8"/>
  <c r="G64" i="27"/>
  <c r="G69" i="27"/>
  <c r="E5" i="7"/>
  <c r="D14" i="7"/>
  <c r="D12" i="7"/>
  <c r="D13" i="7"/>
  <c r="D10" i="7"/>
  <c r="E10" i="7" s="1"/>
  <c r="D11" i="7"/>
  <c r="D15" i="7"/>
  <c r="F40" i="2"/>
  <c r="E6" i="8"/>
  <c r="I71" i="27"/>
  <c r="I81" i="27" s="1"/>
  <c r="I94" i="27"/>
  <c r="I96" i="27" s="1"/>
  <c r="I102" i="27" s="1"/>
  <c r="I86" i="27"/>
  <c r="I88" i="27" s="1"/>
  <c r="E8" i="8"/>
  <c r="D38" i="2"/>
  <c r="D9" i="33" s="1"/>
  <c r="J64" i="27"/>
  <c r="J69" i="27"/>
  <c r="C32" i="14"/>
  <c r="C17" i="14"/>
  <c r="K88" i="27"/>
  <c r="E7" i="10"/>
  <c r="F22" i="2"/>
  <c r="F11" i="33" s="1"/>
  <c r="K11" i="33" s="1"/>
  <c r="L84" i="28"/>
  <c r="D29" i="19" l="1"/>
  <c r="K9" i="33"/>
  <c r="J9" i="33"/>
  <c r="J11" i="33"/>
  <c r="E13" i="7"/>
  <c r="E12" i="7"/>
  <c r="E15" i="7"/>
  <c r="C31" i="16"/>
  <c r="E11" i="6"/>
  <c r="C13" i="6" s="1"/>
  <c r="E14" i="7"/>
  <c r="D40" i="2"/>
  <c r="E9" i="8"/>
  <c r="L64" i="27"/>
  <c r="M64" i="27"/>
  <c r="C7" i="12"/>
  <c r="C40" i="2"/>
  <c r="E5" i="8"/>
  <c r="G94" i="27"/>
  <c r="G96" i="27" s="1"/>
  <c r="G102" i="27" s="1"/>
  <c r="G86" i="27"/>
  <c r="G88" i="27" s="1"/>
  <c r="G71" i="27"/>
  <c r="G81" i="27" s="1"/>
  <c r="C6" i="12"/>
  <c r="E8" i="10"/>
  <c r="J86" i="27"/>
  <c r="J88" i="27" s="1"/>
  <c r="J94" i="27"/>
  <c r="J96" i="27" s="1"/>
  <c r="J102" i="27" s="1"/>
  <c r="J71" i="27"/>
  <c r="J81" i="27" s="1"/>
  <c r="E11" i="7"/>
  <c r="E6" i="10"/>
  <c r="F86" i="27"/>
  <c r="F88" i="27" s="1"/>
  <c r="F94" i="27"/>
  <c r="F96" i="27" s="1"/>
  <c r="F102" i="27" s="1"/>
  <c r="F71" i="27"/>
  <c r="D13" i="8"/>
  <c r="D11" i="8"/>
  <c r="D12" i="8"/>
  <c r="E10" i="8"/>
  <c r="C7" i="11" s="1"/>
  <c r="C12" i="11" s="1"/>
  <c r="C15" i="11" s="1"/>
  <c r="D15" i="8"/>
  <c r="D14" i="8"/>
  <c r="C9" i="12" l="1"/>
  <c r="C9" i="38" s="1"/>
  <c r="C12" i="38" s="1"/>
  <c r="C14" i="38" s="1"/>
  <c r="D14" i="10"/>
  <c r="C18" i="6"/>
  <c r="E9" i="10"/>
  <c r="E10" i="10"/>
  <c r="E12" i="8"/>
  <c r="D11" i="10"/>
  <c r="D12" i="10"/>
  <c r="E14" i="8"/>
  <c r="E11" i="8"/>
  <c r="D13" i="10"/>
  <c r="J20" i="11"/>
  <c r="C34" i="11"/>
  <c r="C20" i="11"/>
  <c r="L71" i="27"/>
  <c r="F81" i="27"/>
  <c r="M71" i="27"/>
  <c r="C14" i="6"/>
  <c r="E15" i="8"/>
  <c r="C15" i="6"/>
  <c r="C16" i="6"/>
  <c r="C17" i="6"/>
  <c r="E13" i="8"/>
  <c r="D15" i="10"/>
  <c r="J19" i="38" l="1"/>
  <c r="C33" i="38"/>
  <c r="C19" i="38"/>
  <c r="C14" i="12"/>
  <c r="C35" i="12" s="1"/>
  <c r="C12" i="12"/>
  <c r="J19" i="12" s="1"/>
  <c r="E15" i="10"/>
  <c r="E12" i="10"/>
  <c r="E11" i="10"/>
  <c r="E13" i="10"/>
  <c r="C19" i="12"/>
  <c r="E14" i="10"/>
  <c r="M81" i="27"/>
  <c r="L81" i="27"/>
</calcChain>
</file>

<file path=xl/sharedStrings.xml><?xml version="1.0" encoding="utf-8"?>
<sst xmlns="http://schemas.openxmlformats.org/spreadsheetml/2006/main" count="596" uniqueCount="399">
  <si>
    <t>Vertical  Analysis for 6 years</t>
  </si>
  <si>
    <t>Total Liabilities</t>
  </si>
  <si>
    <t>Note 1</t>
  </si>
  <si>
    <t>Cost of sales</t>
  </si>
  <si>
    <t>Gross profit</t>
  </si>
  <si>
    <t>Operating profit</t>
  </si>
  <si>
    <t>Profit before taxation</t>
  </si>
  <si>
    <t>Taxation</t>
  </si>
  <si>
    <t>Profit for the year</t>
  </si>
  <si>
    <t>EPS Growth rate</t>
  </si>
  <si>
    <r>
      <rPr>
        <b/>
        <sz val="11"/>
        <color theme="0"/>
        <rFont val="Calibri"/>
        <family val="2"/>
        <scheme val="minor"/>
      </rPr>
      <t>STATEMENT OF COMPREHENSIVE INCOME
FOR THE YEAR ENDED DECEMBER 31, 2023
(Amounts in thousand)</t>
    </r>
  </si>
  <si>
    <t xml:space="preserve">Profit for the year
</t>
  </si>
  <si>
    <t>Other comprehensive loss:</t>
  </si>
  <si>
    <t>Items that will not be reclassified to profit or loss</t>
  </si>
  <si>
    <t>Remeasurement loss on post employment benefits obligation</t>
  </si>
  <si>
    <t>Less: Income tax relating to remeasurement loss</t>
  </si>
  <si>
    <t>Other comprehensive loss for the year, net of tax</t>
  </si>
  <si>
    <t>Total comprehensive income for the year</t>
  </si>
  <si>
    <t>Dividend per share</t>
  </si>
  <si>
    <t>Dividend Payout ratio</t>
  </si>
  <si>
    <t>Retention Ratio</t>
  </si>
  <si>
    <t>Average Market Price per share</t>
  </si>
  <si>
    <t>N/A</t>
  </si>
  <si>
    <t>Years</t>
  </si>
  <si>
    <t>Trend</t>
  </si>
  <si>
    <t>Mean</t>
  </si>
  <si>
    <t>Median</t>
  </si>
  <si>
    <t>Profitability Ratios</t>
  </si>
  <si>
    <t xml:space="preserve">Gross Profit Margin  </t>
  </si>
  <si>
    <t>Operating Margin</t>
  </si>
  <si>
    <t>Net Profit Margin</t>
  </si>
  <si>
    <t>Operating/leverage ratio (Times)</t>
  </si>
  <si>
    <t xml:space="preserve">Pre Tax return on equity                            </t>
  </si>
  <si>
    <t xml:space="preserve">Post tax return on equity                            </t>
  </si>
  <si>
    <r>
      <t>Return on Capital Employed-</t>
    </r>
    <r>
      <rPr>
        <vertAlign val="superscript"/>
        <sz val="11"/>
        <color rgb="FF002060"/>
        <rFont val="Calibri"/>
        <family val="2"/>
        <scheme val="minor"/>
      </rPr>
      <t>Note 1</t>
    </r>
  </si>
  <si>
    <t>As a % of sales</t>
  </si>
  <si>
    <t>Liquidity Ratios</t>
  </si>
  <si>
    <t>Current Ratio (Times)</t>
  </si>
  <si>
    <t>Quick/ Acid Test Ratio (Times)</t>
  </si>
  <si>
    <t>Cash to current liabilities (Times)</t>
  </si>
  <si>
    <t>Cashflow from operations to sales</t>
  </si>
  <si>
    <t>Interest cover ratio (Times)</t>
  </si>
  <si>
    <t>Note 2</t>
  </si>
  <si>
    <t>Activity / Operating Performance Ratios</t>
  </si>
  <si>
    <t>Inventory Turnover Ratio (Days)</t>
  </si>
  <si>
    <t>Inventory Turnover Ratio (Times)</t>
  </si>
  <si>
    <t>Debtor Turnover ratio (Days)</t>
  </si>
  <si>
    <t>Creditor Turnover Ratio Days</t>
  </si>
  <si>
    <t>Total assets Turnover Ratio (Times)</t>
  </si>
  <si>
    <t>Fixed Assets Turnover Ratio (Times)</t>
  </si>
  <si>
    <t>Operating Cycle (Days)</t>
  </si>
  <si>
    <t>Earnings Per share (EPS) Rs.</t>
  </si>
  <si>
    <t>Price Earning Ratio Times</t>
  </si>
  <si>
    <t>Dividend Payout Ratio - Earnings Times</t>
  </si>
  <si>
    <t>Dividend Cover Ratio Times</t>
  </si>
  <si>
    <t>Dividend Growth Rate</t>
  </si>
  <si>
    <t>#</t>
  </si>
  <si>
    <t>Particulars</t>
  </si>
  <si>
    <t>Sales</t>
  </si>
  <si>
    <t xml:space="preserve"> Simple Exponential Smoothing (SES) Method</t>
  </si>
  <si>
    <t>Year Weight</t>
  </si>
  <si>
    <t>Year</t>
  </si>
  <si>
    <t>Sales growth</t>
  </si>
  <si>
    <t>2025-E</t>
  </si>
  <si>
    <t>2026-E</t>
  </si>
  <si>
    <t>2027-E</t>
  </si>
  <si>
    <t>2028-E</t>
  </si>
  <si>
    <t>2029-E</t>
  </si>
  <si>
    <t>Note</t>
  </si>
  <si>
    <t>We used the Forecast Excel Formula which forecasts the figures based on Linear Regression analysis.</t>
  </si>
  <si>
    <t>This method is used when there's no clear trend or seasonality in the data. It applies a smoothing factor (alpha) to give more weight to recent observations.</t>
  </si>
  <si>
    <t>a (alpha)</t>
  </si>
  <si>
    <t>Holt’s Linear Trend Model</t>
  </si>
  <si>
    <t>Level (L)</t>
  </si>
  <si>
    <t>beta (b)</t>
  </si>
  <si>
    <t>2025-F</t>
  </si>
  <si>
    <t>2026-F</t>
  </si>
  <si>
    <t>2027-F</t>
  </si>
  <si>
    <t>2028-F</t>
  </si>
  <si>
    <t>2029-F</t>
  </si>
  <si>
    <t>2030-F</t>
  </si>
  <si>
    <t>Explanation</t>
  </si>
  <si>
    <r>
      <rPr>
        <b/>
        <i/>
        <sz val="11"/>
        <color rgb="FF002060"/>
        <rFont val="Calibri"/>
        <family val="2"/>
        <scheme val="minor"/>
      </rPr>
      <t>Holt's Linear Trend Model</t>
    </r>
    <r>
      <rPr>
        <i/>
        <sz val="11"/>
        <color rgb="FF002060"/>
        <rFont val="Calibri"/>
        <family val="2"/>
        <scheme val="minor"/>
      </rPr>
      <t xml:space="preserve"> is a forecasting method that extends simple exponential smoothing by accounting for both level (the average value) and trend (the direction of the trend over time). L (Level) represents the current smoothed value of sales. It's essentially the average sales value at a particular time, adjusted for recent data. This value shows the underlying level of sales after smoothing out fluctuations.
T (Trend) captures the rate of change or direction in sales over time. It shows whether sales are consistently increasing or decreasing and by how much.
Together, L (the level) and T (the trend) help forecast future sales by projecting the current sales value (L) and adjusting it based on the trend (T) over time. This allows for more accurate predictions by considering both the base sales level and how it’s expected to grow or decline.</t>
    </r>
  </si>
  <si>
    <t>Net Profit</t>
  </si>
  <si>
    <t>Net Profit Growth</t>
  </si>
  <si>
    <t>We used the Forecast Excel Formula which forecasts the figures based on regression analysis.</t>
  </si>
  <si>
    <t>EPS</t>
  </si>
  <si>
    <t>EPS Growth</t>
  </si>
  <si>
    <t xml:space="preserve">We used the Forecast Excel Formula which forecasts the figures based on regression analysis. </t>
  </si>
  <si>
    <t>PE Ratio</t>
  </si>
  <si>
    <t>PE Ratio Growth</t>
  </si>
  <si>
    <t>Data taken from Financial Statements</t>
  </si>
  <si>
    <t>Current Basic EPS</t>
  </si>
  <si>
    <t>EPS Growth Forecasted</t>
  </si>
  <si>
    <t>Current Mkt price per share</t>
  </si>
  <si>
    <t>Mkt Price Growth Forecasted</t>
  </si>
  <si>
    <t>Next Year EPS</t>
  </si>
  <si>
    <t>Next Year Mkt Price</t>
  </si>
  <si>
    <t>Next Year PE Ratio</t>
  </si>
  <si>
    <t>Data Table</t>
  </si>
  <si>
    <t>If EPS Growth is as follows while keeping the Mkt Price Growth constant, what will be the PE Ratio in each scenario</t>
  </si>
  <si>
    <t>If Mkt Price Growth is as follows while keeping the EPS Growth constant, what will be the PE Ratio in each scenario</t>
  </si>
  <si>
    <t>EPS Growth Rate</t>
  </si>
  <si>
    <t>Mkt Price Growth Rate</t>
  </si>
  <si>
    <t>Scenario Analysis</t>
  </si>
  <si>
    <t>What will be the PE Ratio if EPS Growth Rate and the Mkt Price Growth Rate both keep fluctuating</t>
  </si>
  <si>
    <t>This Scenario Analysis depicts the value of PE Ratio under various levels of EPS and Market Price Growth Rate and can also be used to analyze the sensitivity of the PE Ratio to both the values</t>
  </si>
  <si>
    <t>Current Payout Ratio</t>
  </si>
  <si>
    <t>Current Dividend Per Share</t>
  </si>
  <si>
    <t>Current Div Yield</t>
  </si>
  <si>
    <t>If Dividend Payout Ratio is as follows, what will be the Div Per Share in each scenario</t>
  </si>
  <si>
    <t>If Dividend Payout Ratio is as follows, what will be the Div Yield Ratio in each scenario</t>
  </si>
  <si>
    <t>Dividend Payout Ratio</t>
  </si>
  <si>
    <t>Dividend Per Share</t>
  </si>
  <si>
    <t>Dividend Yield Ratio</t>
  </si>
  <si>
    <t>Current Sales</t>
  </si>
  <si>
    <t>Forecasted Sales Growth</t>
  </si>
  <si>
    <t>Current Gross Margin</t>
  </si>
  <si>
    <t>Next year sales Forecasted</t>
  </si>
  <si>
    <t>If sales growth is as follows, what will be the gross profit in each scenario</t>
  </si>
  <si>
    <t>Gross Profit</t>
  </si>
  <si>
    <t>What will be the Gross Profit if sales growth % and the Gross Margin % both keep fluctuating</t>
  </si>
  <si>
    <t>Gross Margin</t>
  </si>
  <si>
    <t>Sales Growth</t>
  </si>
  <si>
    <t>These values represent the Gross Profit figure for various levels of Gross Profit Margin and Sales Growth. This can also be done for Cost of Sales, Operating Profit, PBT, and PAT.</t>
  </si>
  <si>
    <t>Operating Profit</t>
  </si>
  <si>
    <t>Sales growth Forecasted</t>
  </si>
  <si>
    <t>Current Net Profit Margin</t>
  </si>
  <si>
    <t>Next year sales</t>
  </si>
  <si>
    <t>If sales growth is as follows, what will be the Net profit in each scenario</t>
  </si>
  <si>
    <t>What will be the Net Profit if sales growth % and the Net Profit Margin % both keep fluctuating</t>
  </si>
  <si>
    <t>These values represent the Net Profit figure for various levels of Net Profit Margin and Sales Growth. This can also be done for Cost of Sales, Operating Profit, and PBT</t>
  </si>
  <si>
    <t>Making of 3 Scenarios</t>
  </si>
  <si>
    <t>Base case, Best case, and the Worst case-using the What if Analysis (Scenario Manager in Data Tab)</t>
  </si>
  <si>
    <t>Base case, Best case, and the Worst case</t>
  </si>
  <si>
    <t>Scenario Summary</t>
  </si>
  <si>
    <t>Current Values:</t>
  </si>
  <si>
    <t xml:space="preserve">Base case </t>
  </si>
  <si>
    <t>Worst case</t>
  </si>
  <si>
    <t>Best case</t>
  </si>
  <si>
    <t>Changing Cells:</t>
  </si>
  <si>
    <t>Result Cells:</t>
  </si>
  <si>
    <t>Notes: Current Values column represents values of changing cells at time Scenario Summary Report was created. Changing cells for each scenario are highlighted in gray.</t>
  </si>
  <si>
    <t>What-if analysis is a process in Excel or financial modeling where you change input values to see how they impact the outcome of a formula or model. It helps in evaluating different scenarios and understanding the potential effects of different assumptions or decisions. We have performed a scenario analysis of "Sales-Growth Rate" displaying results of Gross Profit, COS, and Sales at various levels of Sales Growth</t>
  </si>
  <si>
    <t>The Base case is exactly the same as the current values. The Worst case is a scenario where the sales growth rate worsens and reaches 5%. The best case is more opimistic (although not highly optimistic) and is a scenario where sales growth reaches 25%. All of the cases are depicted and the resultant values of Sales, Cost of Sales, and the Gross Profit are shown.
The Percentages for the Best and the Worst Case Scenario are taken from the Bloomberg, PSX, and SCSTrade Website on the expected worst and best estimates for growth of the Pakistani FMCG and Dairy Industry.</t>
  </si>
  <si>
    <t>Current Finance Costs</t>
  </si>
  <si>
    <t>Finance Costs as a % of Sales</t>
  </si>
  <si>
    <t>Next year Sales</t>
  </si>
  <si>
    <t>Next year Finance Costs</t>
  </si>
  <si>
    <t>Finance Costs(% of sales)</t>
  </si>
  <si>
    <t>Account Receivable Days</t>
  </si>
  <si>
    <t>Account Payable Days</t>
  </si>
  <si>
    <t>Inventory Turnover Days</t>
  </si>
  <si>
    <t>Operating Cycle</t>
  </si>
  <si>
    <t>If Account Receivable Days are as follows, what would be the Operating Cycle (ceteris paribus)</t>
  </si>
  <si>
    <t>If Account Payable Days are as follows, what would be the Operating Cycle (ceteris paribus)</t>
  </si>
  <si>
    <t>What will be the Operating Cycle if Account Receivable Days and the Account Payable Days  both keep fluctuating</t>
  </si>
  <si>
    <t>These values represent the Operating Cycle (Days) for various levels of Account Receivable and Payable Days. This can also be done for Cost of Sales, PBT, and PAT.</t>
  </si>
  <si>
    <t>If Inventory Turnover Days are as follows, what would be the Operating Cycle (ceteris paribus)</t>
  </si>
  <si>
    <t>What will be the Operating Cycle if Inventory Turnover Days and the Account Payable Days  both keep fluctuating</t>
  </si>
  <si>
    <t>These values represent the Operating Cycle (Days) for various levels of Inventory Turnover and Payable Days. This can also be done for Cost of Sales, PBT, and PAT.</t>
  </si>
  <si>
    <t>Rs B</t>
  </si>
  <si>
    <t>Companies</t>
  </si>
  <si>
    <t>Mkt Cap</t>
  </si>
  <si>
    <t>Latest Share Price</t>
  </si>
  <si>
    <t>Shares outsdanding</t>
  </si>
  <si>
    <t>Equity Value</t>
  </si>
  <si>
    <t>Cash and bank balance at the end of latest Annual report</t>
  </si>
  <si>
    <t>Debt</t>
  </si>
  <si>
    <t>Enterprise Value</t>
  </si>
  <si>
    <t>52 Week High</t>
  </si>
  <si>
    <t>52 Week Low</t>
  </si>
  <si>
    <t>FrieslandCampina Engro Pakistan Ltd</t>
  </si>
  <si>
    <t>Unilever Pakistan Foods Limited</t>
  </si>
  <si>
    <t>Ismail Industries Ltd</t>
  </si>
  <si>
    <t>National Foods Limited</t>
  </si>
  <si>
    <t>Colgate-Palmolive Pakistan Ltd</t>
  </si>
  <si>
    <t>Nestle Pakistan Limited</t>
  </si>
  <si>
    <t>All of the data for the aforementioned companies was taken from the website "scstrade.com" and "Investing.com", and also cross-checked from the Annual Reports of the respective companies</t>
  </si>
  <si>
    <t>About the Company</t>
  </si>
  <si>
    <t>Financial Summary</t>
  </si>
  <si>
    <t>Recent Updates</t>
  </si>
  <si>
    <t xml:space="preserve">Nestle Pakistan Ltd. (NESTLE) Financial Results Half Yearly Results June 30, 2024 
EPS 2Q = Rs. 110.30 EPS Half Year = Rs. 222.05 
Last Half Year EPS = Rs. 242.25 
Half Yearly Growth = (8%) 
Interim Dividend = Rs. 111.00 
Financial Results Final Quarter Results December 31, 2023 
EPS 4Q = Rs. 15.47 Full Year EPS CY-23= Rs. 363.68
Last Full Year EPS CY-22 = Rs. 331.86 
Yearly Growth = 10% 
Final Dividend CY-23 Cash (Rs/share) 19.00 </t>
  </si>
  <si>
    <t>DuPont Analysis-Return on Equity and Return on Assets</t>
  </si>
  <si>
    <t>Return on Equity (ROE)</t>
  </si>
  <si>
    <t xml:space="preserve">Average </t>
  </si>
  <si>
    <t>Average Sharehoder's Equity</t>
  </si>
  <si>
    <t>ROE</t>
  </si>
  <si>
    <t>ROE- DuPont Equation</t>
  </si>
  <si>
    <t>Revenue</t>
  </si>
  <si>
    <t>Net Profit Margin (A)</t>
  </si>
  <si>
    <t>Average Total Assets</t>
  </si>
  <si>
    <t>Asset Turonver ratio-Times (B)</t>
  </si>
  <si>
    <t>Equity Multiplier-(C)</t>
  </si>
  <si>
    <t>ROE (A*B*C)</t>
  </si>
  <si>
    <t>Return on Asset (ROA)</t>
  </si>
  <si>
    <t>ROA</t>
  </si>
  <si>
    <t>ROA- DuPont Equation</t>
  </si>
  <si>
    <t>ROA=(A*B)</t>
  </si>
  <si>
    <t>DuPont Summary</t>
  </si>
  <si>
    <t>Altman's Z Score Analysis</t>
  </si>
  <si>
    <r>
      <t xml:space="preserve">The Altman Z-Score is a financial formula used to predict the likelihood that a company might go bankrupt. It combines several financial ratios to assess a company’s financial health.
How it works
</t>
    </r>
    <r>
      <rPr>
        <b/>
        <i/>
        <sz val="11"/>
        <color theme="1"/>
        <rFont val="Calibri"/>
        <family val="2"/>
        <scheme val="minor"/>
      </rPr>
      <t>Z &gt; 3</t>
    </r>
    <r>
      <rPr>
        <i/>
        <sz val="11"/>
        <color theme="1"/>
        <rFont val="Calibri"/>
        <family val="2"/>
        <scheme val="minor"/>
      </rPr>
      <t xml:space="preserve">: The company is in a healthy financial position with low risk of bankruptcy.
</t>
    </r>
    <r>
      <rPr>
        <b/>
        <i/>
        <sz val="11"/>
        <color theme="1"/>
        <rFont val="Calibri"/>
        <family val="2"/>
        <scheme val="minor"/>
      </rPr>
      <t>1.8 &lt; Z &lt; 3:</t>
    </r>
    <r>
      <rPr>
        <i/>
        <sz val="11"/>
        <color theme="1"/>
        <rFont val="Calibri"/>
        <family val="2"/>
        <scheme val="minor"/>
      </rPr>
      <t xml:space="preserve"> The company is in the gray zone, meaning it has a moderate risk of financial distress.
</t>
    </r>
    <r>
      <rPr>
        <b/>
        <i/>
        <sz val="11"/>
        <color theme="1"/>
        <rFont val="Calibri"/>
        <family val="2"/>
        <scheme val="minor"/>
      </rPr>
      <t>Z &lt; 1.8</t>
    </r>
    <r>
      <rPr>
        <i/>
        <sz val="11"/>
        <color theme="1"/>
        <rFont val="Calibri"/>
        <family val="2"/>
        <scheme val="minor"/>
      </rPr>
      <t>: The company is considered to have a high risk of bankruptcy.
Why it's useful:
The Altman Z-Score is particularly useful for identifying distress in manufacturing firms but can be adapted for non-manufacturing and private companies. It’s an important tool for investors and lenders to evaluate the creditworthiness and long-term viability of a business.</t>
    </r>
  </si>
  <si>
    <t>Altman's Z Score-Calculation</t>
  </si>
  <si>
    <t>Working Capital/Total Assets</t>
  </si>
  <si>
    <t>Working Capital</t>
  </si>
  <si>
    <t>Total Assets</t>
  </si>
  <si>
    <t>Working Capital/Total Assets (A)</t>
  </si>
  <si>
    <t>Retained Earnings/Total Assets</t>
  </si>
  <si>
    <t>Retained Earnings</t>
  </si>
  <si>
    <t>Retained Earnings/Total Assets (B)</t>
  </si>
  <si>
    <t>EBIT/Total Assets</t>
  </si>
  <si>
    <t>EBIT (Operating Profit)</t>
  </si>
  <si>
    <t>EBIT/Total Assets (C )</t>
  </si>
  <si>
    <t>Market Capitalization/Long-Term Liabilities</t>
  </si>
  <si>
    <t>Total Long-Term Liabilities</t>
  </si>
  <si>
    <t>Market Capitalization/Long-Term Liabilities (D)</t>
  </si>
  <si>
    <t>Asset Turnover (Sales/Total Assets)</t>
  </si>
  <si>
    <t>Sales/Total Assets (E )</t>
  </si>
  <si>
    <t>Altman's Z Score</t>
  </si>
  <si>
    <t>Final Score</t>
  </si>
  <si>
    <t>Financial Stability</t>
  </si>
  <si>
    <t>Altman's Z Score Summary</t>
  </si>
  <si>
    <t>Ismail Industries Limited</t>
  </si>
  <si>
    <t>Inventory</t>
  </si>
  <si>
    <t>Current Asset</t>
  </si>
  <si>
    <t>Investments</t>
  </si>
  <si>
    <t>Fixed Asset</t>
  </si>
  <si>
    <t>Current Liability</t>
  </si>
  <si>
    <t>Fixed Liability</t>
  </si>
  <si>
    <t>Paid Up Capital</t>
  </si>
  <si>
    <t>Total Equity</t>
  </si>
  <si>
    <t>Cash</t>
  </si>
  <si>
    <t>Cost Of Sales</t>
  </si>
  <si>
    <t>Other Income</t>
  </si>
  <si>
    <t>Finance Cost</t>
  </si>
  <si>
    <t>Profit Before Tax</t>
  </si>
  <si>
    <t>Profit After Tax</t>
  </si>
  <si>
    <t>Unconsolidated Statement Of Profit Or Loss  (Amounts In Thousands)</t>
  </si>
  <si>
    <r>
      <t>Unconsolidated Statement of Financial Position  (Amounts in thousands)-</t>
    </r>
    <r>
      <rPr>
        <b/>
        <vertAlign val="superscript"/>
        <sz val="14"/>
        <color theme="0"/>
        <rFont val="Calibri"/>
        <family val="2"/>
        <scheme val="minor"/>
      </rPr>
      <t>Note 1</t>
    </r>
  </si>
  <si>
    <t>Ismail Industries Ltd. operates through several subsidiaries, including Candyland Confectionery (Pvt) Ltd, Bisconni (Pvt) Ltd, Astro Films (Pvt) Ltd, SnackCity (Pvt) Ltd, and Ismail Global Trading (Pvt) Ltd. To streamline the financial modeling process, I’ve opted to use the unconsolidated financial statements of Ismail Industries. This approach simplifies the model by focusing solely on the parent company’s operations, making it easier to analyze key financial metrics without the complexities of subsidiary-level transactions and eliminations. This ensures a clearer and more efficient financial analysis while still capturing the performance of the core business.</t>
  </si>
  <si>
    <t>Total Equity and Liabilities</t>
  </si>
  <si>
    <t xml:space="preserve">Earnings per share - basic </t>
  </si>
  <si>
    <t>Market Price as at year end-30th June each year</t>
  </si>
  <si>
    <t>Book value of Equity</t>
  </si>
  <si>
    <t>Book value per share</t>
  </si>
  <si>
    <t xml:space="preserve">Weighted Average Number of Shares outsdanding </t>
  </si>
  <si>
    <t>Capital Employed</t>
  </si>
  <si>
    <r>
      <t>EBITDA Margin-</t>
    </r>
    <r>
      <rPr>
        <vertAlign val="superscript"/>
        <sz val="11"/>
        <color rgb="FF002060"/>
        <rFont val="Calibri"/>
        <family val="2"/>
        <scheme val="minor"/>
      </rPr>
      <t>Note 2</t>
    </r>
  </si>
  <si>
    <t>EBIT Margin</t>
  </si>
  <si>
    <t>We did not have the data in the Annual Report to calculate the EBITDA. Therefore, the Ratios were taken from the Website "Scstrade.com", and the Annual Report Ratio Analysis Section</t>
  </si>
  <si>
    <t>Ratio Analysis Summary</t>
  </si>
  <si>
    <r>
      <t xml:space="preserve">From 2019 to 2024, Ismail Industries Ltd. (IIL) has shown an overall positive profitability trend, reflecting improving operational efficiency and capital utilization. The Gross Profit Margin steadily increased from </t>
    </r>
    <r>
      <rPr>
        <b/>
        <i/>
        <sz val="11"/>
        <color rgb="FF002060"/>
        <rFont val="Calibri"/>
        <family val="2"/>
        <scheme val="minor"/>
      </rPr>
      <t>17.8%</t>
    </r>
    <r>
      <rPr>
        <i/>
        <sz val="11"/>
        <color rgb="FF002060"/>
        <rFont val="Calibri"/>
        <family val="2"/>
        <scheme val="minor"/>
      </rPr>
      <t xml:space="preserve"> in 2022 to </t>
    </r>
    <r>
      <rPr>
        <b/>
        <i/>
        <sz val="11"/>
        <color rgb="FF002060"/>
        <rFont val="Calibri"/>
        <family val="2"/>
        <scheme val="minor"/>
      </rPr>
      <t>22.06%</t>
    </r>
    <r>
      <rPr>
        <i/>
        <sz val="11"/>
        <color rgb="FF002060"/>
        <rFont val="Calibri"/>
        <family val="2"/>
        <scheme val="minor"/>
      </rPr>
      <t xml:space="preserve"> in 2024, indicating better cost control and pricing strategies.
However, the Net Profit Margin experienced some volatility, peaking at </t>
    </r>
    <r>
      <rPr>
        <b/>
        <i/>
        <sz val="11"/>
        <color rgb="FF002060"/>
        <rFont val="Calibri"/>
        <family val="2"/>
        <scheme val="minor"/>
      </rPr>
      <t>7.18%</t>
    </r>
    <r>
      <rPr>
        <i/>
        <sz val="11"/>
        <color rgb="FF002060"/>
        <rFont val="Calibri"/>
        <family val="2"/>
        <scheme val="minor"/>
      </rPr>
      <t xml:space="preserve"> in 2023 before slightly declining to </t>
    </r>
    <r>
      <rPr>
        <b/>
        <i/>
        <sz val="11"/>
        <color rgb="FF002060"/>
        <rFont val="Calibri"/>
        <family val="2"/>
        <scheme val="minor"/>
      </rPr>
      <t>5.63%</t>
    </r>
    <r>
      <rPr>
        <i/>
        <sz val="11"/>
        <color rgb="FF002060"/>
        <rFont val="Calibri"/>
        <family val="2"/>
        <scheme val="minor"/>
      </rPr>
      <t xml:space="preserve"> in 2024, suggesting potential pressures on bottom-line profitability, possibly from increased financing or non-operational costs. 
The consistent rise in the EBITDA Margin, from </t>
    </r>
    <r>
      <rPr>
        <b/>
        <i/>
        <sz val="11"/>
        <color rgb="FF002060"/>
        <rFont val="Calibri"/>
        <family val="2"/>
        <scheme val="minor"/>
      </rPr>
      <t>11.39%</t>
    </r>
    <r>
      <rPr>
        <i/>
        <sz val="11"/>
        <color rgb="FF002060"/>
        <rFont val="Calibri"/>
        <family val="2"/>
        <scheme val="minor"/>
      </rPr>
      <t xml:space="preserve"> in 2020 to </t>
    </r>
    <r>
      <rPr>
        <b/>
        <i/>
        <sz val="11"/>
        <color rgb="FF002060"/>
        <rFont val="Calibri"/>
        <family val="2"/>
        <scheme val="minor"/>
      </rPr>
      <t>16.59%</t>
    </r>
    <r>
      <rPr>
        <i/>
        <sz val="11"/>
        <color rgb="FF002060"/>
        <rFont val="Calibri"/>
        <family val="2"/>
        <scheme val="minor"/>
      </rPr>
      <t xml:space="preserve"> in 2024, points to strong operational performance and better cash generation. Most notably, the </t>
    </r>
    <r>
      <rPr>
        <b/>
        <i/>
        <sz val="11"/>
        <color rgb="FF002060"/>
        <rFont val="Calibri"/>
        <family val="2"/>
        <scheme val="minor"/>
      </rPr>
      <t>ROCE</t>
    </r>
    <r>
      <rPr>
        <i/>
        <sz val="11"/>
        <color rgb="FF002060"/>
        <rFont val="Calibri"/>
        <family val="2"/>
        <scheme val="minor"/>
      </rPr>
      <t xml:space="preserve"> has more than "Quadrupled, jumping from </t>
    </r>
    <r>
      <rPr>
        <b/>
        <i/>
        <sz val="11"/>
        <color rgb="FF002060"/>
        <rFont val="Calibri"/>
        <family val="2"/>
        <scheme val="minor"/>
      </rPr>
      <t>7.1%</t>
    </r>
    <r>
      <rPr>
        <i/>
        <sz val="11"/>
        <color rgb="FF002060"/>
        <rFont val="Calibri"/>
        <family val="2"/>
        <scheme val="minor"/>
      </rPr>
      <t xml:space="preserve"> in 2020 to </t>
    </r>
    <r>
      <rPr>
        <b/>
        <i/>
        <sz val="11"/>
        <color rgb="FF002060"/>
        <rFont val="Calibri"/>
        <family val="2"/>
        <scheme val="minor"/>
      </rPr>
      <t>29.49%</t>
    </r>
    <r>
      <rPr>
        <i/>
        <sz val="11"/>
        <color rgb="FF002060"/>
        <rFont val="Calibri"/>
        <family val="2"/>
        <scheme val="minor"/>
      </rPr>
      <t xml:space="preserve"> in 2024, showcasing significantly improved returns on capital employed, likely driven by higher profits and efficient asset utilization.
Looking ahead, the company's increasing margins and ROCE suggest strong future prospects with continued profitability growth, though maintaining cost discipline will be crucial to sustain net margins.</t>
    </r>
  </si>
  <si>
    <r>
      <t xml:space="preserve">From 2019 to 2024, Ismail Industries Ltd. (IIL) has displayed mixed liquidity trends, signaling some areas for improvement and strategic adjustments. The </t>
    </r>
    <r>
      <rPr>
        <b/>
        <i/>
        <sz val="11"/>
        <color rgb="FF002060"/>
        <rFont val="Calibri"/>
        <family val="2"/>
        <scheme val="minor"/>
      </rPr>
      <t>Current Ratio</t>
    </r>
    <r>
      <rPr>
        <i/>
        <sz val="11"/>
        <color rgb="FF002060"/>
        <rFont val="Calibri"/>
        <family val="2"/>
        <scheme val="minor"/>
      </rPr>
      <t xml:space="preserve">, which measures the company's ability to cover short-term liabilities with short-term assets, has remained relatively stable, hovering around </t>
    </r>
    <r>
      <rPr>
        <b/>
        <i/>
        <sz val="11"/>
        <color rgb="FF002060"/>
        <rFont val="Calibri"/>
        <family val="2"/>
        <scheme val="minor"/>
      </rPr>
      <t>1.0x</t>
    </r>
    <r>
      <rPr>
        <i/>
        <sz val="11"/>
        <color rgb="FF002060"/>
        <rFont val="Calibri"/>
        <family val="2"/>
        <scheme val="minor"/>
      </rPr>
      <t xml:space="preserve"> to </t>
    </r>
    <r>
      <rPr>
        <b/>
        <i/>
        <sz val="11"/>
        <color rgb="FF002060"/>
        <rFont val="Calibri"/>
        <family val="2"/>
        <scheme val="minor"/>
      </rPr>
      <t>1.2x</t>
    </r>
    <r>
      <rPr>
        <i/>
        <sz val="11"/>
        <color rgb="FF002060"/>
        <rFont val="Calibri"/>
        <family val="2"/>
        <scheme val="minor"/>
      </rPr>
      <t xml:space="preserve">. This indicates that IIL has just enough current assets to cover its current liabilities, but it also suggests a thin buffer, as seen by the slight decline from </t>
    </r>
    <r>
      <rPr>
        <b/>
        <i/>
        <sz val="11"/>
        <color rgb="FF002060"/>
        <rFont val="Calibri"/>
        <family val="2"/>
        <scheme val="minor"/>
      </rPr>
      <t>1.19x</t>
    </r>
    <r>
      <rPr>
        <i/>
        <sz val="11"/>
        <color rgb="FF002060"/>
        <rFont val="Calibri"/>
        <family val="2"/>
        <scheme val="minor"/>
      </rPr>
      <t xml:space="preserve"> in 2023 to </t>
    </r>
    <r>
      <rPr>
        <b/>
        <i/>
        <sz val="11"/>
        <color rgb="FF002060"/>
        <rFont val="Calibri"/>
        <family val="2"/>
        <scheme val="minor"/>
      </rPr>
      <t>1.12x</t>
    </r>
    <r>
      <rPr>
        <i/>
        <sz val="11"/>
        <color rgb="FF002060"/>
        <rFont val="Calibri"/>
        <family val="2"/>
        <scheme val="minor"/>
      </rPr>
      <t xml:space="preserve"> in 2024. While this ratio remains acceptable, it implies the need for better cash flow management to avoid potential liquidity issues.
The Quick Ratio, shows a gradual improvement from </t>
    </r>
    <r>
      <rPr>
        <b/>
        <i/>
        <sz val="11"/>
        <color rgb="FF002060"/>
        <rFont val="Calibri"/>
        <family val="2"/>
        <scheme val="minor"/>
      </rPr>
      <t>0.53x</t>
    </r>
    <r>
      <rPr>
        <i/>
        <sz val="11"/>
        <color rgb="FF002060"/>
        <rFont val="Calibri"/>
        <family val="2"/>
        <scheme val="minor"/>
      </rPr>
      <t xml:space="preserve"> in 2019 to </t>
    </r>
    <r>
      <rPr>
        <b/>
        <i/>
        <sz val="11"/>
        <color rgb="FF002060"/>
        <rFont val="Calibri"/>
        <family val="2"/>
        <scheme val="minor"/>
      </rPr>
      <t>0.83x</t>
    </r>
    <r>
      <rPr>
        <i/>
        <sz val="11"/>
        <color rgb="FF002060"/>
        <rFont val="Calibri"/>
        <family val="2"/>
        <scheme val="minor"/>
      </rPr>
      <t xml:space="preserve"> in 2024, reflecting better short-term liquidity management without relying on inventory sales. However, the low Cash to Current Liabilities Ratio, which has remained below </t>
    </r>
    <r>
      <rPr>
        <b/>
        <i/>
        <sz val="11"/>
        <color rgb="FF002060"/>
        <rFont val="Calibri"/>
        <family val="2"/>
        <scheme val="minor"/>
      </rPr>
      <t>0.05x</t>
    </r>
    <r>
      <rPr>
        <i/>
        <sz val="11"/>
        <color rgb="FF002060"/>
        <rFont val="Calibri"/>
        <family val="2"/>
        <scheme val="minor"/>
      </rPr>
      <t xml:space="preserve"> throughout the years, indicates a persistent challenge in cash flow generation. In 2024, this ratio dropped to </t>
    </r>
    <r>
      <rPr>
        <b/>
        <i/>
        <sz val="11"/>
        <color rgb="FF002060"/>
        <rFont val="Calibri"/>
        <family val="2"/>
        <scheme val="minor"/>
      </rPr>
      <t>0.02x</t>
    </r>
    <r>
      <rPr>
        <i/>
        <sz val="11"/>
        <color rgb="FF002060"/>
        <rFont val="Calibri"/>
        <family val="2"/>
        <scheme val="minor"/>
      </rPr>
      <t xml:space="preserve">, raising concerns about the company’s ability to quickly meet obligations using its cash reserves alone.
The Interest Cover Ratio has seen a notable decline from </t>
    </r>
    <r>
      <rPr>
        <b/>
        <i/>
        <sz val="11"/>
        <color rgb="FF002060"/>
        <rFont val="Calibri"/>
        <family val="2"/>
        <scheme val="minor"/>
      </rPr>
      <t>3.32x</t>
    </r>
    <r>
      <rPr>
        <i/>
        <sz val="11"/>
        <color rgb="FF002060"/>
        <rFont val="Calibri"/>
        <family val="2"/>
        <scheme val="minor"/>
      </rPr>
      <t xml:space="preserve"> in 2021 to </t>
    </r>
    <r>
      <rPr>
        <b/>
        <i/>
        <sz val="11"/>
        <color rgb="FF002060"/>
        <rFont val="Calibri"/>
        <family val="2"/>
        <scheme val="minor"/>
      </rPr>
      <t>1.89x</t>
    </r>
    <r>
      <rPr>
        <i/>
        <sz val="11"/>
        <color rgb="FF002060"/>
        <rFont val="Calibri"/>
        <family val="2"/>
        <scheme val="minor"/>
      </rPr>
      <t xml:space="preserve"> in 2024, suggesting that rising interest costs or lower operating income may be impacting the company’s ability to comfortably service its debt. This downward trend, if continued, could increase financial risk and limit future borrowing capacity.
Implications &amp; Strategies:
</t>
    </r>
    <r>
      <rPr>
        <b/>
        <i/>
        <sz val="11"/>
        <color rgb="FF002060"/>
        <rFont val="Calibri"/>
        <family val="2"/>
        <scheme val="minor"/>
      </rPr>
      <t>Cash Flow Management:</t>
    </r>
    <r>
      <rPr>
        <i/>
        <sz val="11"/>
        <color rgb="FF002060"/>
        <rFont val="Calibri"/>
        <family val="2"/>
        <scheme val="minor"/>
      </rPr>
      <t xml:space="preserve"> IIL should prioritize improving cash flow generation, as indicated by its weak cash to liabilities ratio. Enhanced working capital management, including more efficient collections and inventory turnover, will be essential.
</t>
    </r>
    <r>
      <rPr>
        <b/>
        <i/>
        <sz val="11"/>
        <color rgb="FF002060"/>
        <rFont val="Calibri"/>
        <family val="2"/>
        <scheme val="minor"/>
      </rPr>
      <t>Debt Servicing:</t>
    </r>
    <r>
      <rPr>
        <i/>
        <sz val="11"/>
        <color rgb="FF002060"/>
        <rFont val="Calibri"/>
        <family val="2"/>
        <scheme val="minor"/>
      </rPr>
      <t xml:space="preserve"> The decreasing interest cover ratio highlights the need to either reduce debt levels or increase operating income. Focusing on cost reduction and margin improvement could help maintain sufficient coverage.
</t>
    </r>
    <r>
      <rPr>
        <b/>
        <i/>
        <sz val="11"/>
        <color rgb="FF002060"/>
        <rFont val="Calibri"/>
        <family val="2"/>
        <scheme val="minor"/>
      </rPr>
      <t>Liquidity Planning:</t>
    </r>
    <r>
      <rPr>
        <i/>
        <sz val="11"/>
        <color rgb="FF002060"/>
        <rFont val="Calibri"/>
        <family val="2"/>
        <scheme val="minor"/>
      </rPr>
      <t xml:space="preserve"> The relatively stable current ratio offers some reassurance, but a long-term strategy should aim for strengthening liquidity buffers to withstand unforeseen financial pressures.
</t>
    </r>
    <r>
      <rPr>
        <b/>
        <i/>
        <sz val="11"/>
        <color rgb="FF002060"/>
        <rFont val="Calibri"/>
        <family val="2"/>
        <scheme val="minor"/>
      </rPr>
      <t>Forecast:</t>
    </r>
    <r>
      <rPr>
        <i/>
        <sz val="11"/>
        <color rgb="FF002060"/>
        <rFont val="Calibri"/>
        <family val="2"/>
        <scheme val="minor"/>
      </rPr>
      <t xml:space="preserve">
While short-term liquidity remains manageable, the declining interest coverage and weak cash-to-liabilities ratios signal that IIL must implement proactive strategies to improve liquidity. Focusing on operational efficiency and bolstering cash reserves will be critical in sustaining liquidity and reducing financial risks over the next few years.</t>
    </r>
  </si>
  <si>
    <t>Solvency</t>
  </si>
  <si>
    <t xml:space="preserve">Total Debt To Equity </t>
  </si>
  <si>
    <r>
      <t>Total Debt-</t>
    </r>
    <r>
      <rPr>
        <b/>
        <i/>
        <vertAlign val="superscript"/>
        <sz val="11"/>
        <color rgb="FF002060"/>
        <rFont val="Calibri"/>
        <family val="2"/>
        <scheme val="minor"/>
      </rPr>
      <t>Note 2</t>
    </r>
  </si>
  <si>
    <r>
      <t xml:space="preserve">In my financial model, I couldn’t simply add up </t>
    </r>
    <r>
      <rPr>
        <b/>
        <i/>
        <sz val="11"/>
        <color rgb="FF002060"/>
        <rFont val="Calibri"/>
        <family val="2"/>
        <scheme val="minor"/>
      </rPr>
      <t>Non-current</t>
    </r>
    <r>
      <rPr>
        <i/>
        <sz val="11"/>
        <color rgb="FF002060"/>
        <rFont val="Calibri"/>
        <family val="2"/>
        <scheme val="minor"/>
      </rPr>
      <t xml:space="preserve"> and </t>
    </r>
    <r>
      <rPr>
        <b/>
        <i/>
        <sz val="11"/>
        <color rgb="FF002060"/>
        <rFont val="Calibri"/>
        <family val="2"/>
        <scheme val="minor"/>
      </rPr>
      <t>current liabilities</t>
    </r>
    <r>
      <rPr>
        <i/>
        <sz val="11"/>
        <color rgb="FF002060"/>
        <rFont val="Calibri"/>
        <family val="2"/>
        <scheme val="minor"/>
      </rPr>
      <t xml:space="preserve"> from the annual report to calculate </t>
    </r>
    <r>
      <rPr>
        <b/>
        <i/>
        <sz val="11"/>
        <color rgb="FF002060"/>
        <rFont val="Calibri"/>
        <family val="2"/>
        <scheme val="minor"/>
      </rPr>
      <t>Total Debt</t>
    </r>
    <r>
      <rPr>
        <i/>
        <sz val="11"/>
        <color rgb="FF002060"/>
        <rFont val="Calibri"/>
        <family val="2"/>
        <scheme val="minor"/>
      </rPr>
      <t xml:space="preserve"> for the </t>
    </r>
    <r>
      <rPr>
        <b/>
        <i/>
        <sz val="11"/>
        <color rgb="FF002060"/>
        <rFont val="Calibri"/>
        <family val="2"/>
        <scheme val="minor"/>
      </rPr>
      <t>"Debt/Equity"</t>
    </r>
    <r>
      <rPr>
        <i/>
        <sz val="11"/>
        <color rgb="FF002060"/>
        <rFont val="Calibri"/>
        <family val="2"/>
        <scheme val="minor"/>
      </rPr>
      <t xml:space="preserve"> and </t>
    </r>
    <r>
      <rPr>
        <b/>
        <i/>
        <sz val="11"/>
        <color rgb="FF002060"/>
        <rFont val="Calibri"/>
        <family val="2"/>
        <scheme val="minor"/>
      </rPr>
      <t>"Debt/Assets"</t>
    </r>
    <r>
      <rPr>
        <i/>
        <sz val="11"/>
        <color rgb="FF002060"/>
        <rFont val="Calibri"/>
        <family val="2"/>
        <scheme val="minor"/>
      </rPr>
      <t xml:space="preserve"> ratios because these figures include items like trade payables, accrued expenses, and other operational liabilities that are not considered as debt. These non-debt items would inflate the total, leading to inaccurate debt ratios. To ensure accuracy, I used the total debt figure from stockanalysis.com, which focuses specifically on financial liabilities, excluding irrelevant operational items. This can also be done manually by substracting the Trade Payables and Contract Liability (Advance from Customers) from the Total Liabilities from the AnnuaL Report.
Addtionally, the Opinion on what should be included under the term "Debt" is also different among various Investment Analysts. Therefore, we used the reputed site of "StockAnlaysis.com" for our "Total Debt" Figure</t>
    </r>
  </si>
  <si>
    <t xml:space="preserve">Total Debt to Equity Ratio </t>
  </si>
  <si>
    <t xml:space="preserve">Long Term Debt to Equity </t>
  </si>
  <si>
    <t xml:space="preserve">Total Debt to Assets Ratio </t>
  </si>
  <si>
    <t xml:space="preserve">Long Term Debt to Assets Ratio </t>
  </si>
  <si>
    <t>Increase in Long-Term Debt</t>
  </si>
  <si>
    <t>Red Flags and Long-term Impact</t>
  </si>
  <si>
    <t>The Total Debt to Equity Ratio remains significantly high at 248.77% in 2024, signaling that the company is still highly leveraged, which could limit flexibility and increase financial risk, particularly in volatile market conditions or if interest rates rise. 
The Total Debt to Assets Ratio above 66% indicates that the company’s assets are largely financed by debt, which could pose solvency risks in the long term.
If the current trend of reducing long-term debt continues, Ismail Industries will improve its financial stability and reduce the risks associated with high leverage. However, persistent high Total Debt to Equity ratios signal a need for further deleveraging to ensure long-term solvency and maintain investor confidence. Managing debt efficiently in the coming years will be critical for sustaining growth and mitigating financial risk.</t>
  </si>
  <si>
    <t xml:space="preserve"> Recommendations:</t>
  </si>
  <si>
    <t>1) Focus on De-leveraging: While the company has made strides in reducing long-term debt, particularly in 2024, it should continue this trend to bring down both Total Debt to Equity and Total Debt to Assets ratios. This would improve financial flexibility and reduce the risk of default.
2) Equity Financing: The company may need to consider raising additional equity capital to reduce its debt burden and balance the capital structure, especially as high debt levels may erode profitability and increase financial pressure.
3) Improved Cash Flow Management: Reducing dependence on debt and focusing on increasing internal cash generation (e.g., through operational efficiency and cost management) could further improve solvency.</t>
  </si>
  <si>
    <t>Investment/Market</t>
  </si>
  <si>
    <t>Dividend Yield Ratio %</t>
  </si>
  <si>
    <t>Price to Book Ratio-Times</t>
  </si>
  <si>
    <t>Summary of Strategic Implications:</t>
  </si>
  <si>
    <r>
      <rPr>
        <b/>
        <i/>
        <sz val="11"/>
        <color rgb="FF002060"/>
        <rFont val="Calibri"/>
        <family val="2"/>
        <scheme val="minor"/>
      </rPr>
      <t>EPS Growth:</t>
    </r>
    <r>
      <rPr>
        <i/>
        <sz val="11"/>
        <color rgb="FF002060"/>
        <rFont val="Calibri"/>
        <family val="2"/>
        <scheme val="minor"/>
      </rPr>
      <t xml:space="preserve"> Continue focusing on operational efficiency to sustain or increase EPS. Exploring cost controls and new revenue streams will help maintain growth.
</t>
    </r>
    <r>
      <rPr>
        <b/>
        <i/>
        <sz val="11"/>
        <color rgb="FF002060"/>
        <rFont val="Calibri"/>
        <family val="2"/>
        <scheme val="minor"/>
      </rPr>
      <t>Dividend Strategy:</t>
    </r>
    <r>
      <rPr>
        <i/>
        <sz val="11"/>
        <color rgb="FF002060"/>
        <rFont val="Calibri"/>
        <family val="2"/>
        <scheme val="minor"/>
      </rPr>
      <t xml:space="preserve"> With a strong dividend cover ratio, there is room to gradually increase dividends. Balancing between dividend payouts and retained earnings for growth will attract both income-focused and growth investors.
</t>
    </r>
    <r>
      <rPr>
        <b/>
        <i/>
        <sz val="11"/>
        <color rgb="FF002060"/>
        <rFont val="Calibri"/>
        <family val="2"/>
        <scheme val="minor"/>
      </rPr>
      <t>Valuation Management:</t>
    </r>
    <r>
      <rPr>
        <i/>
        <sz val="11"/>
        <color rgb="FF002060"/>
        <rFont val="Calibri"/>
        <family val="2"/>
        <scheme val="minor"/>
      </rPr>
      <t xml:space="preserve"> The rising P/B ratio signals potential overvaluation. The company should focus on increasing its book value and maintain transparency on how retained earnings will drive future growth to manage investor expectations.
</t>
    </r>
    <r>
      <rPr>
        <b/>
        <i/>
        <sz val="11"/>
        <color rgb="FF002060"/>
        <rFont val="Calibri"/>
        <family val="2"/>
        <scheme val="minor"/>
      </rPr>
      <t>Capital Allocation:</t>
    </r>
    <r>
      <rPr>
        <i/>
        <sz val="11"/>
        <color rgb="FF002060"/>
        <rFont val="Calibri"/>
        <family val="2"/>
        <scheme val="minor"/>
      </rPr>
      <t xml:space="preserve"> Retained earnings should be strategically reinvested into high-return projects. A clear articulation of investment priorities will improve investor confidence in the company’s long-term growth prospects.
This streamlined approach will help the company maintain investor confidence and ensure sustainable long-term growth.</t>
    </r>
  </si>
  <si>
    <t>Average Inventory</t>
  </si>
  <si>
    <t>Average Accounts Receivables</t>
  </si>
  <si>
    <t>Accounts Receivables</t>
  </si>
  <si>
    <t>Accounts Payables</t>
  </si>
  <si>
    <t>Average Accounts Payables</t>
  </si>
  <si>
    <t>Average Fixed Assets</t>
  </si>
  <si>
    <r>
      <rPr>
        <b/>
        <i/>
        <sz val="11"/>
        <color rgb="FF002060"/>
        <rFont val="Calibri"/>
        <family val="2"/>
        <scheme val="minor"/>
      </rPr>
      <t>1) Inventory Turnover Ratio (Days):</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inventory turnover has improved steadily, decreasing from 83.77 days in 2021 to 61.34 days in 2024. This indicates that the company is managing its inventory more efficiently, selling inventory quicker each year.
</t>
    </r>
    <r>
      <rPr>
        <b/>
        <i/>
        <sz val="11"/>
        <color rgb="FF002060"/>
        <rFont val="Calibri"/>
        <family val="2"/>
        <scheme val="minor"/>
      </rPr>
      <t>Implications:</t>
    </r>
    <r>
      <rPr>
        <i/>
        <sz val="11"/>
        <color rgb="FF002060"/>
        <rFont val="Calibri"/>
        <family val="2"/>
        <scheme val="minor"/>
      </rPr>
      <t xml:space="preserve"> Faster inventory turnover suggests better working capital management, which frees up cash flow and reduces storage costs. However, the significant drop in inventory turnover in 2020 compared to 2019 (78.73 days vs. 39.30 days) suggests past issues that were gradually addressed.
</t>
    </r>
    <r>
      <rPr>
        <b/>
        <i/>
        <sz val="11"/>
        <color rgb="FF002060"/>
        <rFont val="Calibri"/>
        <family val="2"/>
        <scheme val="minor"/>
      </rPr>
      <t>Strategy:</t>
    </r>
    <r>
      <rPr>
        <i/>
        <sz val="11"/>
        <color rgb="FF002060"/>
        <rFont val="Calibri"/>
        <family val="2"/>
        <scheme val="minor"/>
      </rPr>
      <t xml:space="preserve"> Continue optimizing inventory management by maintaining close coordination between sales forecasts and production. Improved demand planning can further reduce turnover days and increase operational efficiency.
</t>
    </r>
    <r>
      <rPr>
        <b/>
        <i/>
        <sz val="11"/>
        <color rgb="FF002060"/>
        <rFont val="Calibri"/>
        <family val="2"/>
        <scheme val="minor"/>
      </rPr>
      <t>2) Debtor Turnover Ratio (Days):</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Debtor Turnover Ratio has gradually increased from 30.03 days in 2022 to 39.62 days in 2024. This indicates that the company is taking longer to collect payments from customers.
</t>
    </r>
    <r>
      <rPr>
        <b/>
        <i/>
        <sz val="11"/>
        <color rgb="FF002060"/>
        <rFont val="Calibri"/>
        <family val="2"/>
        <scheme val="minor"/>
      </rPr>
      <t>Implications:</t>
    </r>
    <r>
      <rPr>
        <i/>
        <sz val="11"/>
        <color rgb="FF002060"/>
        <rFont val="Calibri"/>
        <family val="2"/>
        <scheme val="minor"/>
      </rPr>
      <t xml:space="preserve"> While extended collection periods may suggest lenient credit policies aimed at boosting sales, the increasing days indicate rising credit risk and potentially tighter liquidity. If not managed, it could lead to cash flow issues.
</t>
    </r>
    <r>
      <rPr>
        <b/>
        <i/>
        <sz val="11"/>
        <color rgb="FF002060"/>
        <rFont val="Calibri"/>
        <family val="2"/>
        <scheme val="minor"/>
      </rPr>
      <t>Strategy:</t>
    </r>
    <r>
      <rPr>
        <i/>
        <sz val="11"/>
        <color rgb="FF002060"/>
        <rFont val="Calibri"/>
        <family val="2"/>
        <scheme val="minor"/>
      </rPr>
      <t xml:space="preserve"> Tighten credit policies and implement stricter collection processes to reduce debtor turnover days. This will help improve liquidity and reduce reliance on external financing for working capital needs.
</t>
    </r>
    <r>
      <rPr>
        <b/>
        <i/>
        <sz val="11"/>
        <color rgb="FF002060"/>
        <rFont val="Calibri"/>
        <family val="2"/>
        <scheme val="minor"/>
      </rPr>
      <t>3) Creditor Turnover Ratio (Days):</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Creditor Turnover Ratio fluctuated, decreasing from 47.62 days in 2020 to 30.67 days in 2023, before slightly rising to 40.73 days in 2024. This indicates that the company has been paying its suppliers more quickly over the past few years.
</t>
    </r>
    <r>
      <rPr>
        <b/>
        <i/>
        <sz val="11"/>
        <color rgb="FF002060"/>
        <rFont val="Calibri"/>
        <family val="2"/>
        <scheme val="minor"/>
      </rPr>
      <t>Implications:</t>
    </r>
    <r>
      <rPr>
        <i/>
        <sz val="11"/>
        <color rgb="FF002060"/>
        <rFont val="Calibri"/>
        <family val="2"/>
        <scheme val="minor"/>
      </rPr>
      <t xml:space="preserve"> While paying creditors more quickly can improve supplier relationships, the sharp drop in 2023 and 2022 might indicate a cash crunch or tighter supplier credit terms. A lower creditor turnover could strain cash flow if not balanced with incoming receivables.
</t>
    </r>
    <r>
      <rPr>
        <b/>
        <i/>
        <sz val="11"/>
        <color rgb="FF002060"/>
        <rFont val="Calibri"/>
        <family val="2"/>
        <scheme val="minor"/>
      </rPr>
      <t>Strategy:</t>
    </r>
    <r>
      <rPr>
        <i/>
        <sz val="11"/>
        <color rgb="FF002060"/>
        <rFont val="Calibri"/>
        <family val="2"/>
        <scheme val="minor"/>
      </rPr>
      <t xml:space="preserve"> Negotiate more favorable credit terms with suppliers, allowing for longer payment cycles without damaging relationships. This would help align creditor turnover with debtor turnover, balancing cash flows more efficiently.</t>
    </r>
  </si>
  <si>
    <r>
      <rPr>
        <b/>
        <i/>
        <sz val="11"/>
        <color rgb="FF002060"/>
        <rFont val="Calibri"/>
        <family val="2"/>
        <scheme val="minor"/>
      </rPr>
      <t xml:space="preserve">4) Operating Cycle (Days):
</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Operating Cycle has shown improvement, dropping from 71.47 days in 2021 to 60.23 days in 2024. This is a positive sign as it reflects the company's ability to convert inventory into cash more quickly.
</t>
    </r>
    <r>
      <rPr>
        <b/>
        <i/>
        <sz val="11"/>
        <color rgb="FF002060"/>
        <rFont val="Calibri"/>
        <family val="2"/>
        <scheme val="minor"/>
      </rPr>
      <t>Implications:</t>
    </r>
    <r>
      <rPr>
        <i/>
        <sz val="11"/>
        <color rgb="FF002060"/>
        <rFont val="Calibri"/>
        <family val="2"/>
        <scheme val="minor"/>
      </rPr>
      <t xml:space="preserve"> A shorter operating cycle reduces the need for external working capital financing, improving liquidity. However, debtor collection periods remain high, which still poses risks for overall cash flow.
</t>
    </r>
    <r>
      <rPr>
        <b/>
        <i/>
        <sz val="11"/>
        <color rgb="FF002060"/>
        <rFont val="Calibri"/>
        <family val="2"/>
        <scheme val="minor"/>
      </rPr>
      <t>Strategy:</t>
    </r>
    <r>
      <rPr>
        <i/>
        <sz val="11"/>
        <color rgb="FF002060"/>
        <rFont val="Calibri"/>
        <family val="2"/>
        <scheme val="minor"/>
      </rPr>
      <t xml:space="preserve"> Focus on reducing debtor turnover days to further shorten the operating cycle. This will ensure that the company maximizes cash flow and minimizes reliance on external financing for operational needs.
</t>
    </r>
    <r>
      <rPr>
        <b/>
        <i/>
        <sz val="11"/>
        <color rgb="FF002060"/>
        <rFont val="Calibri"/>
        <family val="2"/>
        <scheme val="minor"/>
      </rPr>
      <t>5) Total Assets Turnover Ratio (Times)</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Total Asset Turnover Ratio has improved from 0.95x in 2021 to 1.33x in 2024, after a dip in 2020 to 1.03x. However, it is still below the high of 2.23x achieved in 2019. This ratio indicates how efficiently the company is using its assets to generate sales.
</t>
    </r>
    <r>
      <rPr>
        <b/>
        <i/>
        <sz val="11"/>
        <color rgb="FF002060"/>
        <rFont val="Calibri"/>
        <family val="2"/>
        <scheme val="minor"/>
      </rPr>
      <t>Implications:</t>
    </r>
    <r>
      <rPr>
        <i/>
        <sz val="11"/>
        <color rgb="FF002060"/>
        <rFont val="Calibri"/>
        <family val="2"/>
        <scheme val="minor"/>
      </rPr>
      <t xml:space="preserve"> The rising asset turnover suggests improved efficiency in utilizing assets to generate revenue. However, the fact that it is still below 2019 levels signals that there is room for further optimization in asset usage or that the company has invested in underutilized assets. 
</t>
    </r>
    <r>
      <rPr>
        <b/>
        <i/>
        <sz val="11"/>
        <color rgb="FF002060"/>
        <rFont val="Calibri"/>
        <family val="2"/>
        <scheme val="minor"/>
      </rPr>
      <t>Strategy:</t>
    </r>
    <r>
      <rPr>
        <i/>
        <sz val="11"/>
        <color rgb="FF002060"/>
        <rFont val="Calibri"/>
        <family val="2"/>
        <scheme val="minor"/>
      </rPr>
      <t xml:space="preserve"> Continue focusing on asset optimization. If the company has made significant capital investments, efforts should be made to ensure these assets are generating sufficient returns. Management should evaluate underperforming assets and consider strategies to boost asset utilization or dispose of non-essential assets.</t>
    </r>
  </si>
  <si>
    <r>
      <t xml:space="preserve">The company's inventory management has improved, which positively impacts cash flow and operational efficiency. However, the rising debtor turnover days highlight a potential risk to liquidity, as slower collection periods could create cash flow constraints. Although creditor turnover days are lower than previous years, balancing it with the rising debtor days is critical to avoid short-term liquidity strain.
</t>
    </r>
    <r>
      <rPr>
        <b/>
        <i/>
        <sz val="11"/>
        <color rgb="FF002060"/>
        <rFont val="Calibri"/>
        <family val="2"/>
        <scheme val="minor"/>
      </rPr>
      <t xml:space="preserve">1) Optimize Cash Flow Management: </t>
    </r>
    <r>
      <rPr>
        <i/>
        <sz val="11"/>
        <color rgb="FF002060"/>
        <rFont val="Calibri"/>
        <family val="2"/>
        <scheme val="minor"/>
      </rPr>
      <t xml:space="preserve">Focus on reducing debtor collection periods to further shorten the operating cycle and improve liquidity. Implement more rigorous credit terms and accelerate collections.
</t>
    </r>
    <r>
      <rPr>
        <b/>
        <i/>
        <sz val="11"/>
        <color rgb="FF002060"/>
        <rFont val="Calibri"/>
        <family val="2"/>
        <scheme val="minor"/>
      </rPr>
      <t>2) Negotiate Better Supplier Terms</t>
    </r>
    <r>
      <rPr>
        <i/>
        <sz val="11"/>
        <color rgb="FF002060"/>
        <rFont val="Calibri"/>
        <family val="2"/>
        <scheme val="minor"/>
      </rPr>
      <t xml:space="preserve">: Aim to extend creditor payment periods slightly without harming supplier relationships, aligning creditor turnover more closely with debtor turnover for better cash flow balance.
</t>
    </r>
    <r>
      <rPr>
        <b/>
        <i/>
        <sz val="11"/>
        <color rgb="FF002060"/>
        <rFont val="Calibri"/>
        <family val="2"/>
        <scheme val="minor"/>
      </rPr>
      <t>3) Improve Asset Utilization:</t>
    </r>
    <r>
      <rPr>
        <i/>
        <sz val="11"/>
        <color rgb="FF002060"/>
        <rFont val="Calibri"/>
        <family val="2"/>
        <scheme val="minor"/>
      </rPr>
      <t xml:space="preserve"> Continue improving asset turnover by ensuring that capital investments are generating strong returns. Identify underperforming assets and either improve their utilization or divest them if necessary.
By addressing these areas, Ismail Industries Ltd. can enhance operational efficiency, improve cash flow, and strengthen its financial position for future growth.</t>
    </r>
  </si>
  <si>
    <r>
      <t xml:space="preserve">The Long-Term Debt to Assets Ratio has improved significantly, declining from </t>
    </r>
    <r>
      <rPr>
        <b/>
        <i/>
        <sz val="11"/>
        <color rgb="FF002060"/>
        <rFont val="Calibri"/>
        <family val="2"/>
        <scheme val="minor"/>
      </rPr>
      <t>42.95%</t>
    </r>
    <r>
      <rPr>
        <i/>
        <sz val="11"/>
        <color rgb="FF002060"/>
        <rFont val="Calibri"/>
        <family val="2"/>
        <scheme val="minor"/>
      </rPr>
      <t xml:space="preserve"> in 2022 to 25.51% in 2024, indicating a reduction in the company's reliance on long-term debt relative to its total assets. This is a positive trend, showing that Ismail Industries is actively de-leveraging and strengthening its financial stability. However, the Total Debt to Assets Ratio remains consistently high, around 64-66% in recent years, meaning a significant portion of the company’s assets are still financed by debt. While this shows stable debt management, the high reliance on debt continues to pose long-term risks, particularly in the event of rising interest rates or economic downturns. The company needs to continue reducing its overall debt burden to improve its long-term solvency. Long-Term Debt to Equity Ratio:
The Long-Term Debt to Equity Ratio dropped significantly from 175.29% in 2022 to 95.81% in 2024. This is a good sign, showing that the company has reduced its long-term debt relative to shareholders’ equity, which improves solvency and investor confidence. The sharp decline suggests a strategic shift towards debt reduction and improved equity financing, which will help mitigate the risk of insolvency in the future.
The Total Debt to Equity Ratio remains high, with a slight improvement from 268.14% in 2022 to 248.77% in 2024. This indicates that the company still relies heavily on debt compared to equity financing, which can pose long-term risks, especially if debt levels continue to exceed the company’s ability to generate earnings.
The Increase in Long-Term Debt shows a significant reduction of -9.63% in 2024 after years of heavy borrowing, such as the 45.06% increase in 2022. This recent reduction suggests a strategic focus on de-leveraging, likely to strengthen the company’s balance sheet and reduce financial burden.</t>
    </r>
  </si>
  <si>
    <r>
      <rPr>
        <b/>
        <i/>
        <sz val="11"/>
        <color rgb="FF002060"/>
        <rFont val="Calibri"/>
        <family val="2"/>
        <scheme val="minor"/>
      </rPr>
      <t>1) Earnings Per Share (EPS):</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EPS has shown a strong upward trend, increasing from </t>
    </r>
    <r>
      <rPr>
        <b/>
        <i/>
        <sz val="11"/>
        <color rgb="FF002060"/>
        <rFont val="Calibri"/>
        <family val="2"/>
        <scheme val="minor"/>
      </rPr>
      <t>Rs 14.49</t>
    </r>
    <r>
      <rPr>
        <i/>
        <sz val="11"/>
        <color rgb="FF002060"/>
        <rFont val="Calibri"/>
        <family val="2"/>
        <scheme val="minor"/>
      </rPr>
      <t xml:space="preserve"> in 2020 to </t>
    </r>
    <r>
      <rPr>
        <b/>
        <i/>
        <sz val="11"/>
        <color rgb="FF002060"/>
        <rFont val="Calibri"/>
        <family val="2"/>
        <scheme val="minor"/>
      </rPr>
      <t>Rs 92.41</t>
    </r>
    <r>
      <rPr>
        <i/>
        <sz val="11"/>
        <color rgb="FF002060"/>
        <rFont val="Calibri"/>
        <family val="2"/>
        <scheme val="minor"/>
      </rPr>
      <t xml:space="preserve"> in 2024. This reflects </t>
    </r>
    <r>
      <rPr>
        <b/>
        <i/>
        <sz val="11"/>
        <color rgb="FF002060"/>
        <rFont val="Calibri"/>
        <family val="2"/>
        <scheme val="minor"/>
      </rPr>
      <t>"Significant Profit Growth"</t>
    </r>
    <r>
      <rPr>
        <i/>
        <sz val="11"/>
        <color rgb="FF002060"/>
        <rFont val="Calibri"/>
        <family val="2"/>
        <scheme val="minor"/>
      </rPr>
      <t xml:space="preserve"> and suggests that the company is generating higher returns per share for its investors.
</t>
    </r>
    <r>
      <rPr>
        <b/>
        <i/>
        <sz val="11"/>
        <color rgb="FF002060"/>
        <rFont val="Calibri"/>
        <family val="2"/>
        <scheme val="minor"/>
      </rPr>
      <t>Implications:</t>
    </r>
    <r>
      <rPr>
        <i/>
        <sz val="11"/>
        <color rgb="FF002060"/>
        <rFont val="Calibri"/>
        <family val="2"/>
        <scheme val="minor"/>
      </rPr>
      <t xml:space="preserve"> The steady rise in EPS indicates good operational performance and profitability. However, a slight dip from </t>
    </r>
    <r>
      <rPr>
        <b/>
        <i/>
        <sz val="11"/>
        <color rgb="FF002060"/>
        <rFont val="Calibri"/>
        <family val="2"/>
        <scheme val="minor"/>
      </rPr>
      <t>Rs 96.17</t>
    </r>
    <r>
      <rPr>
        <i/>
        <sz val="11"/>
        <color rgb="FF002060"/>
        <rFont val="Calibri"/>
        <family val="2"/>
        <scheme val="minor"/>
      </rPr>
      <t xml:space="preserve"> in 2023 to </t>
    </r>
    <r>
      <rPr>
        <b/>
        <i/>
        <sz val="11"/>
        <color rgb="FF002060"/>
        <rFont val="Calibri"/>
        <family val="2"/>
        <scheme val="minor"/>
      </rPr>
      <t>Rs 92.41</t>
    </r>
    <r>
      <rPr>
        <i/>
        <sz val="11"/>
        <color rgb="FF002060"/>
        <rFont val="Calibri"/>
        <family val="2"/>
        <scheme val="minor"/>
      </rPr>
      <t xml:space="preserve"> in 2024 could suggest temporary challenges or increased costs.
</t>
    </r>
    <r>
      <rPr>
        <b/>
        <i/>
        <sz val="11"/>
        <color rgb="FF002060"/>
        <rFont val="Calibri"/>
        <family val="2"/>
        <scheme val="minor"/>
      </rPr>
      <t>2) Price-to-Earnings (P/E) Ratio:</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P/E ratio fluctuated significantly, from a high of </t>
    </r>
    <r>
      <rPr>
        <b/>
        <i/>
        <sz val="11"/>
        <color rgb="FF002060"/>
        <rFont val="Calibri"/>
        <family val="2"/>
        <scheme val="minor"/>
      </rPr>
      <t>24.34</t>
    </r>
    <r>
      <rPr>
        <i/>
        <sz val="11"/>
        <color rgb="FF002060"/>
        <rFont val="Calibri"/>
        <family val="2"/>
        <scheme val="minor"/>
      </rPr>
      <t xml:space="preserve"> in 2020 to a low of </t>
    </r>
    <r>
      <rPr>
        <b/>
        <i/>
        <sz val="11"/>
        <color rgb="FF002060"/>
        <rFont val="Calibri"/>
        <family val="2"/>
        <scheme val="minor"/>
      </rPr>
      <t xml:space="preserve">5.02 </t>
    </r>
    <r>
      <rPr>
        <i/>
        <sz val="11"/>
        <color rgb="FF002060"/>
        <rFont val="Calibri"/>
        <family val="2"/>
        <scheme val="minor"/>
      </rPr>
      <t xml:space="preserve">in 2023, before rising to </t>
    </r>
    <r>
      <rPr>
        <b/>
        <i/>
        <sz val="11"/>
        <color rgb="FF002060"/>
        <rFont val="Calibri"/>
        <family val="2"/>
        <scheme val="minor"/>
      </rPr>
      <t>13.35</t>
    </r>
    <r>
      <rPr>
        <i/>
        <sz val="11"/>
        <color rgb="FF002060"/>
        <rFont val="Calibri"/>
        <family val="2"/>
        <scheme val="minor"/>
      </rPr>
      <t xml:space="preserve"> in 2024. This suggests periods of market overvaluation or undervaluation based on earnings growth.
</t>
    </r>
    <r>
      <rPr>
        <b/>
        <i/>
        <sz val="11"/>
        <color rgb="FF002060"/>
        <rFont val="Calibri"/>
        <family val="2"/>
        <scheme val="minor"/>
      </rPr>
      <t>Implications:</t>
    </r>
    <r>
      <rPr>
        <i/>
        <sz val="11"/>
        <color rgb="FF002060"/>
        <rFont val="Calibri"/>
        <family val="2"/>
        <scheme val="minor"/>
      </rPr>
      <t xml:space="preserve"> A P/E of 13.35 in 2024 indicates moderate investor confidence, with the stock being reasonably priced based on earnings. However, the sharp drop in 2023 suggests that the stock may have been undervalued or the market anticipated a slowdown in growth.
</t>
    </r>
    <r>
      <rPr>
        <b/>
        <i/>
        <sz val="11"/>
        <color rgb="FF002060"/>
        <rFont val="Calibri"/>
        <family val="2"/>
        <scheme val="minor"/>
      </rPr>
      <t>3) Dividend Payout Ratio:</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Dividend Payout Ratio decreased from </t>
    </r>
    <r>
      <rPr>
        <b/>
        <i/>
        <sz val="11"/>
        <color rgb="FF002060"/>
        <rFont val="Calibri"/>
        <family val="2"/>
        <scheme val="minor"/>
      </rPr>
      <t>56.02%</t>
    </r>
    <r>
      <rPr>
        <i/>
        <sz val="11"/>
        <color rgb="FF002060"/>
        <rFont val="Calibri"/>
        <family val="2"/>
        <scheme val="minor"/>
      </rPr>
      <t xml:space="preserve"> in 2021 to </t>
    </r>
    <r>
      <rPr>
        <b/>
        <i/>
        <sz val="11"/>
        <color rgb="FF002060"/>
        <rFont val="Calibri"/>
        <family val="2"/>
        <scheme val="minor"/>
      </rPr>
      <t>10.82%</t>
    </r>
    <r>
      <rPr>
        <i/>
        <sz val="11"/>
        <color rgb="FF002060"/>
        <rFont val="Calibri"/>
        <family val="2"/>
        <scheme val="minor"/>
      </rPr>
      <t xml:space="preserve"> in 2024. This means the company is retaining a larger portion of its profits instead of distributing them as dividends.
</t>
    </r>
    <r>
      <rPr>
        <b/>
        <i/>
        <sz val="11"/>
        <color rgb="FF002060"/>
        <rFont val="Calibri"/>
        <family val="2"/>
        <scheme val="minor"/>
      </rPr>
      <t>Implications:</t>
    </r>
    <r>
      <rPr>
        <i/>
        <sz val="11"/>
        <color rgb="FF002060"/>
        <rFont val="Calibri"/>
        <family val="2"/>
        <scheme val="minor"/>
      </rPr>
      <t xml:space="preserve"> The low payout ratio in recent years shows that the company is focused on reinvesting profits for growth, which is positive for long-term prospects but may not appeal to investors looking for regular dividend income.
</t>
    </r>
    <r>
      <rPr>
        <b/>
        <i/>
        <sz val="11"/>
        <color rgb="FF002060"/>
        <rFont val="Calibri"/>
        <family val="2"/>
        <scheme val="minor"/>
      </rPr>
      <t xml:space="preserve">4) Dividend Cover Ratio:
</t>
    </r>
    <r>
      <rPr>
        <i/>
        <sz val="11"/>
        <color rgb="FF002060"/>
        <rFont val="Calibri"/>
        <family val="2"/>
        <scheme val="minor"/>
      </rPr>
      <t xml:space="preserve">
</t>
    </r>
    <r>
      <rPr>
        <b/>
        <i/>
        <sz val="11"/>
        <color rgb="FF002060"/>
        <rFont val="Calibri"/>
        <family val="2"/>
        <scheme val="minor"/>
      </rPr>
      <t>Trend:</t>
    </r>
    <r>
      <rPr>
        <i/>
        <sz val="11"/>
        <color rgb="FF002060"/>
        <rFont val="Calibri"/>
        <family val="2"/>
        <scheme val="minor"/>
      </rPr>
      <t xml:space="preserve"> The Dividend Cover Ratio has remained strong, increasing from </t>
    </r>
    <r>
      <rPr>
        <b/>
        <i/>
        <sz val="11"/>
        <color rgb="FF002060"/>
        <rFont val="Calibri"/>
        <family val="2"/>
        <scheme val="minor"/>
      </rPr>
      <t>1.78x</t>
    </r>
    <r>
      <rPr>
        <i/>
        <sz val="11"/>
        <color rgb="FF002060"/>
        <rFont val="Calibri"/>
        <family val="2"/>
        <scheme val="minor"/>
      </rPr>
      <t xml:space="preserve"> in 2021 to </t>
    </r>
    <r>
      <rPr>
        <b/>
        <i/>
        <sz val="11"/>
        <color rgb="FF002060"/>
        <rFont val="Calibri"/>
        <family val="2"/>
        <scheme val="minor"/>
      </rPr>
      <t>9.24x</t>
    </r>
    <r>
      <rPr>
        <i/>
        <sz val="11"/>
        <color rgb="FF002060"/>
        <rFont val="Calibri"/>
        <family val="2"/>
        <scheme val="minor"/>
      </rPr>
      <t xml:space="preserve"> in 2024. This indicates that the company can comfortably cover its dividend payments from its earnings.
</t>
    </r>
    <r>
      <rPr>
        <b/>
        <i/>
        <sz val="11"/>
        <color rgb="FF002060"/>
        <rFont val="Calibri"/>
        <family val="2"/>
        <scheme val="minor"/>
      </rPr>
      <t>Implications:</t>
    </r>
    <r>
      <rPr>
        <i/>
        <sz val="11"/>
        <color rgb="FF002060"/>
        <rFont val="Calibri"/>
        <family val="2"/>
        <scheme val="minor"/>
      </rPr>
      <t xml:space="preserve"> A high dividend cover means the company’s dividends are very safe, and it has ample room to pay out more in the future if desired.
</t>
    </r>
  </si>
  <si>
    <t>Linear Regression</t>
  </si>
  <si>
    <t>2030-E</t>
  </si>
  <si>
    <t>EBITDA Margin</t>
  </si>
  <si>
    <t>EBITDA Margin Growth</t>
  </si>
  <si>
    <t>Div Yield (%)</t>
  </si>
  <si>
    <t>Div Yield Growth</t>
  </si>
  <si>
    <t>Debt to Equity Ratio</t>
  </si>
  <si>
    <t>Debt to Equity Ratio Growth</t>
  </si>
  <si>
    <r>
      <t xml:space="preserve">The Debt-Equity Ratio might cross </t>
    </r>
    <r>
      <rPr>
        <b/>
        <i/>
        <sz val="11"/>
        <color rgb="FFFF0000"/>
        <rFont val="Calibri"/>
        <family val="2"/>
        <scheme val="minor"/>
      </rPr>
      <t>500%</t>
    </r>
    <r>
      <rPr>
        <i/>
        <sz val="11"/>
        <color rgb="FF002060"/>
        <rFont val="Calibri"/>
        <family val="2"/>
        <scheme val="minor"/>
      </rPr>
      <t xml:space="preserve"> by </t>
    </r>
    <r>
      <rPr>
        <b/>
        <i/>
        <sz val="11"/>
        <color rgb="FF002060"/>
        <rFont val="Calibri"/>
        <family val="2"/>
        <scheme val="minor"/>
      </rPr>
      <t>2028</t>
    </r>
    <r>
      <rPr>
        <i/>
        <sz val="11"/>
        <color rgb="FF002060"/>
        <rFont val="Calibri"/>
        <family val="2"/>
        <scheme val="minor"/>
      </rPr>
      <t xml:space="preserve"> if the forecast is accurate. This could be very harmful for the company's investors, profitability, cashflow, Market Capitalization and Investor Confidence. 
However, if the Debt is taken while keeping the Interest Cover Ratio in check, Proper Cashflow and Liquidity Management, and after taking Investors into confidence, the ratio exceeding 500% is not something to worry about.  </t>
    </r>
  </si>
  <si>
    <t>Interest Cover Ratio</t>
  </si>
  <si>
    <t xml:space="preserve"> Growth</t>
  </si>
  <si>
    <t>The company is expecting a steady rise in its Interest Cover Ratio which indicates more ease in its ability to cover its finance costs and signalling the ability to bear the high Debt/Equity Ratio forecasted in the previous sheet.
Therefore, the Investors do not have much to worry even if the Debt/Equity Ratio reaches our Forecast Level.</t>
  </si>
  <si>
    <t>An increase in the operating cycle (days) indicates that it takes the company longer to convert inventory into cash. This suggests slower cash flow, higher working capital needs, and potential inefficiencies in managing inventory or receivables. It could also mean the company may require more external financing to cover operational expenses.
To address this, the company might need to improve inventory turnover, speed up receivables collection, and optimize payment terms with suppliers.</t>
  </si>
  <si>
    <t>Market Price</t>
  </si>
  <si>
    <t>Next Year PBT</t>
  </si>
  <si>
    <t>Taxation (%)</t>
  </si>
  <si>
    <t>Next Year PAT</t>
  </si>
  <si>
    <t>PBT</t>
  </si>
  <si>
    <t>PAT</t>
  </si>
  <si>
    <t>Current Dividend Cover Ratio</t>
  </si>
  <si>
    <t>If Dividend Payout Ratio is as follows, what will be the Dividend Cover Ratio in each scenario</t>
  </si>
  <si>
    <t>This Scenario Analysis depicts the value of Dividend Per Share, Dividend Yield Ratio, and Dividend Cover Ratio under various levels of Payout Ratio and can also be used to analyze the sensitivity of the Dividend Yield to the Payout Ratio.</t>
  </si>
  <si>
    <t>Forecasted EPS</t>
  </si>
  <si>
    <t>Forecasted Dividend Per Share</t>
  </si>
  <si>
    <t>Dividend Cover Ratio</t>
  </si>
  <si>
    <t>If EPS Growth is as follows while keeping the Dividend Per Share Constant, what will be the Dividend Cover Ratio in each scenario</t>
  </si>
  <si>
    <t>What will be the Dividend Cover Ratio if EPS Growth Rate and the Dividend Per Share both keep fluctuating</t>
  </si>
  <si>
    <t>This Scenario Analysis depicts the value of Dividend Cover Ratio under various levels of EPS Growth Rates and Dividend Per Share and can also be used to analyze the sensitivity of the Dividend Cover Ratio Ratio to both the values.</t>
  </si>
  <si>
    <t>ISIL</t>
  </si>
  <si>
    <t>Ismail Industries Limited was incorporated in Karachi, Pakistan as a private limited company on June 21, 1988.On November 01, 1989 the Company was converted into a public limited company. The principal activities of the Company are manufacturing and trading of sugar confectionery items, biscuits, potato chips, cast polypropylene (CPP) and Biaxially-oriented polyethylene terephthalate (BOPET) film under the brands of "CandyLand", "Bisconni", "Snackcity" and "Astro films" respectively.</t>
  </si>
  <si>
    <t>Average Shareholder's Equity</t>
  </si>
  <si>
    <t>52 Week (High - PKR 1726 &amp; Low - 1726)</t>
  </si>
  <si>
    <t xml:space="preserve">Net Profit Margin </t>
  </si>
  <si>
    <t>Asset Turonver ratio-Times</t>
  </si>
  <si>
    <t>Equity Multiplier</t>
  </si>
  <si>
    <r>
      <t xml:space="preserve">The ROE measures the profitability of a company relative to its shareholders' equity. The DuPont Equation breaks down ROE into three components: Net Profit Margin, Asset Turnover, and Equity Multiplier. Here's an analysis of each factor and how changes in these components impacted the ROE over the period from 2019 to 2024:
</t>
    </r>
    <r>
      <rPr>
        <b/>
        <i/>
        <sz val="11"/>
        <color rgb="FF000000"/>
        <rFont val="Calibri"/>
        <family val="2"/>
      </rPr>
      <t>1. Net Profit Margin:</t>
    </r>
    <r>
      <rPr>
        <i/>
        <sz val="11"/>
        <color rgb="FF000000"/>
        <rFont val="Calibri"/>
        <family val="2"/>
      </rPr>
      <t xml:space="preserve">
Trend: The Net Profit Margin has fluctuated, with the highest margin of </t>
    </r>
    <r>
      <rPr>
        <b/>
        <i/>
        <sz val="11"/>
        <color rgb="FF000000"/>
        <rFont val="Calibri"/>
        <family val="2"/>
      </rPr>
      <t>7.18%</t>
    </r>
    <r>
      <rPr>
        <i/>
        <sz val="11"/>
        <color rgb="FF000000"/>
        <rFont val="Calibri"/>
        <family val="2"/>
      </rPr>
      <t xml:space="preserve"> in 2023 and the lowest at </t>
    </r>
    <r>
      <rPr>
        <b/>
        <i/>
        <sz val="11"/>
        <color rgb="FF000000"/>
        <rFont val="Calibri"/>
        <family val="2"/>
      </rPr>
      <t>2.81%</t>
    </r>
    <r>
      <rPr>
        <i/>
        <sz val="11"/>
        <color rgb="FF000000"/>
        <rFont val="Calibri"/>
        <family val="2"/>
      </rPr>
      <t xml:space="preserve"> in 2020. There’s been some improvement from 2020 onward, but it declined to </t>
    </r>
    <r>
      <rPr>
        <b/>
        <i/>
        <sz val="11"/>
        <color rgb="FF000000"/>
        <rFont val="Calibri"/>
        <family val="2"/>
      </rPr>
      <t>5.63%</t>
    </r>
    <r>
      <rPr>
        <i/>
        <sz val="11"/>
        <color rgb="FF000000"/>
        <rFont val="Calibri"/>
        <family val="2"/>
      </rPr>
      <t xml:space="preserve"> in 2024.
Impact on ROE: The net profit margin directly affects profitability. The lower margin in 2024 compared to 2023 contributed to a decline in ROE from </t>
    </r>
    <r>
      <rPr>
        <b/>
        <i/>
        <sz val="11"/>
        <color rgb="FF000000"/>
        <rFont val="Calibri"/>
        <family val="2"/>
      </rPr>
      <t>42.13%</t>
    </r>
    <r>
      <rPr>
        <i/>
        <sz val="11"/>
        <color rgb="FF000000"/>
        <rFont val="Calibri"/>
        <family val="2"/>
      </rPr>
      <t xml:space="preserve"> to </t>
    </r>
    <r>
      <rPr>
        <b/>
        <i/>
        <sz val="11"/>
        <color rgb="FF000000"/>
        <rFont val="Calibri"/>
        <family val="2"/>
      </rPr>
      <t>29.25%</t>
    </r>
    <r>
      <rPr>
        <i/>
        <sz val="11"/>
        <color rgb="FF000000"/>
        <rFont val="Calibri"/>
        <family val="2"/>
      </rPr>
      <t xml:space="preserve">, showing reduced operational profitability despite revenue generation.
</t>
    </r>
    <r>
      <rPr>
        <b/>
        <i/>
        <sz val="11"/>
        <color rgb="FF000000"/>
        <rFont val="Calibri"/>
        <family val="2"/>
      </rPr>
      <t>2. Asset Turnover:</t>
    </r>
    <r>
      <rPr>
        <i/>
        <sz val="11"/>
        <color rgb="FF000000"/>
        <rFont val="Calibri"/>
        <family val="2"/>
      </rPr>
      <t xml:space="preserve">
Trend: Asset turnover decreased significantly from </t>
    </r>
    <r>
      <rPr>
        <b/>
        <i/>
        <sz val="11"/>
        <color rgb="FF000000"/>
        <rFont val="Calibri"/>
        <family val="2"/>
      </rPr>
      <t>2.23x</t>
    </r>
    <r>
      <rPr>
        <i/>
        <sz val="11"/>
        <color rgb="FF000000"/>
        <rFont val="Calibri"/>
        <family val="2"/>
      </rPr>
      <t xml:space="preserve"> in 2019 to </t>
    </r>
    <r>
      <rPr>
        <b/>
        <i/>
        <sz val="11"/>
        <color rgb="FF000000"/>
        <rFont val="Calibri"/>
        <family val="2"/>
      </rPr>
      <t>1.33x</t>
    </r>
    <r>
      <rPr>
        <i/>
        <sz val="11"/>
        <color rgb="FF000000"/>
        <rFont val="Calibri"/>
        <family val="2"/>
      </rPr>
      <t xml:space="preserve"> in 2024, reflecting a decline in the company's efficiency at using assets to generate revenue.
Impact on ROE: The drop in asset turnover ratio suggests that the company is generating less revenue per unit of assets. This decrease in efficiency partially explains the drop in ROE, especially from the peak in 2023. It indicates the need for better asset utilization moving forward.
</t>
    </r>
    <r>
      <rPr>
        <b/>
        <i/>
        <sz val="11"/>
        <color rgb="FF000000"/>
        <rFont val="Calibri"/>
        <family val="2"/>
      </rPr>
      <t>3. Equity Multiplier:</t>
    </r>
    <r>
      <rPr>
        <i/>
        <sz val="11"/>
        <color rgb="FF000000"/>
        <rFont val="Calibri"/>
        <family val="2"/>
      </rPr>
      <t xml:space="preserve">
Trend: The equity multiplier (a measure of financial leverage) has remained relatively stable, peaking at </t>
    </r>
    <r>
      <rPr>
        <b/>
        <i/>
        <sz val="11"/>
        <color rgb="FF000000"/>
        <rFont val="Calibri"/>
        <family val="2"/>
      </rPr>
      <t>4.11x</t>
    </r>
    <r>
      <rPr>
        <i/>
        <sz val="11"/>
        <color rgb="FF000000"/>
        <rFont val="Calibri"/>
        <family val="2"/>
      </rPr>
      <t xml:space="preserve"> in 2023 before slightly dropping to </t>
    </r>
    <r>
      <rPr>
        <b/>
        <i/>
        <sz val="11"/>
        <color rgb="FF000000"/>
        <rFont val="Calibri"/>
        <family val="2"/>
      </rPr>
      <t>3.91x</t>
    </r>
    <r>
      <rPr>
        <i/>
        <sz val="11"/>
        <color rgb="FF000000"/>
        <rFont val="Calibri"/>
        <family val="2"/>
      </rPr>
      <t xml:space="preserve"> in 2024.
Impact on ROE: The relatively high and stable equity multiplier means that the company is using debt to finance a large portion of its assets, which has bolstered ROE. However, the slight drop in 2024 suggests reduced leverage, which also contributed to the decline in ROE.
</t>
    </r>
    <r>
      <rPr>
        <b/>
        <i/>
        <sz val="11"/>
        <color rgb="FF000000"/>
        <rFont val="Calibri"/>
        <family val="2"/>
      </rPr>
      <t xml:space="preserve">Summary:
</t>
    </r>
    <r>
      <rPr>
        <i/>
        <sz val="11"/>
        <color rgb="FF000000"/>
        <rFont val="Calibri"/>
        <family val="2"/>
      </rPr>
      <t xml:space="preserve">The ROE increased significantly in 2023, driven by the highest net profit margin of 7.18% and strong leverage (equity multiplier of 4.11x). However, the decline in 2024 to 29.25% is largely due to a reduction in net profit margin and asset turnover. While leverage remained relatively high, operational inefficiencies and reduced profitability have dragged down overall returns to shareholders.
For future improvements, the company should focus on enhancing profit margins and asset utilization, while maintaining a balanced approach to leverage.
</t>
    </r>
  </si>
  <si>
    <t>Retained Earnings (Unappropriated Profit)</t>
  </si>
  <si>
    <t>Further Calculations</t>
  </si>
  <si>
    <t>Market Capitalization</t>
  </si>
  <si>
    <r>
      <rPr>
        <b/>
        <i/>
        <sz val="11"/>
        <color rgb="FF000000"/>
        <rFont val="Calibri"/>
        <family val="2"/>
      </rPr>
      <t>1) Working Capital/Total Assets:</t>
    </r>
    <r>
      <rPr>
        <i/>
        <sz val="11"/>
        <color rgb="FF000000"/>
        <rFont val="Calibri"/>
        <family val="2"/>
      </rPr>
      <t xml:space="preserve">
</t>
    </r>
    <r>
      <rPr>
        <b/>
        <i/>
        <sz val="11"/>
        <color rgb="FF000000"/>
        <rFont val="Calibri"/>
        <family val="2"/>
      </rPr>
      <t>Trend:</t>
    </r>
    <r>
      <rPr>
        <i/>
        <sz val="11"/>
        <color rgb="FF000000"/>
        <rFont val="Calibri"/>
        <family val="2"/>
      </rPr>
      <t xml:space="preserve"> The ratio improved significantly, rising from a low of 0.36% in 2019 to 5.70% in 2024. This reflects improved liquidity and working capital management, boosting the company's ability to cover short-term obligations.
</t>
    </r>
    <r>
      <rPr>
        <b/>
        <i/>
        <sz val="11"/>
        <color rgb="FF000000"/>
        <rFont val="Calibri"/>
        <family val="2"/>
      </rPr>
      <t>Impact on Z-Score:</t>
    </r>
    <r>
      <rPr>
        <i/>
        <sz val="11"/>
        <color rgb="FF000000"/>
        <rFont val="Calibri"/>
        <family val="2"/>
      </rPr>
      <t xml:space="preserve"> The consistent improvement in working capital positively contributed to the overall Altman Z-Score, helping the company avoid distress.
</t>
    </r>
    <r>
      <rPr>
        <b/>
        <i/>
        <sz val="11"/>
        <color rgb="FF000000"/>
        <rFont val="Calibri"/>
        <family val="2"/>
      </rPr>
      <t>2) Retained Earnings/Total Assets:</t>
    </r>
    <r>
      <rPr>
        <i/>
        <sz val="11"/>
        <color rgb="FF000000"/>
        <rFont val="Calibri"/>
        <family val="2"/>
      </rPr>
      <t xml:space="preserve">
</t>
    </r>
    <r>
      <rPr>
        <b/>
        <i/>
        <sz val="11"/>
        <color rgb="FF000000"/>
        <rFont val="Calibri"/>
        <family val="2"/>
      </rPr>
      <t>Trend:</t>
    </r>
    <r>
      <rPr>
        <i/>
        <sz val="11"/>
        <color rgb="FF000000"/>
        <rFont val="Calibri"/>
        <family val="2"/>
      </rPr>
      <t xml:space="preserve"> Retained earnings as a percentage of total assets remained strong, fluctuating between 18.14% and 23.51%. This suggests that the company is retaining a significant portion of its earnings, improving financial stability over time.
</t>
    </r>
    <r>
      <rPr>
        <b/>
        <i/>
        <sz val="11"/>
        <color rgb="FF000000"/>
        <rFont val="Calibri"/>
        <family val="2"/>
      </rPr>
      <t>Impact on Z-Score</t>
    </r>
    <r>
      <rPr>
        <i/>
        <sz val="11"/>
        <color rgb="FF000000"/>
        <rFont val="Calibri"/>
        <family val="2"/>
      </rPr>
      <t xml:space="preserve">: A high and relatively stable retained earnings ratio supports long-term solvency and strengthens the company's Z-Score by reflecting its profitability history.
</t>
    </r>
    <r>
      <rPr>
        <b/>
        <i/>
        <sz val="11"/>
        <color rgb="FF000000"/>
        <rFont val="Calibri"/>
        <family val="2"/>
      </rPr>
      <t>3) EBIT/Total Assets</t>
    </r>
    <r>
      <rPr>
        <i/>
        <sz val="11"/>
        <color rgb="FF000000"/>
        <rFont val="Calibri"/>
        <family val="2"/>
      </rPr>
      <t xml:space="preserve">:
</t>
    </r>
    <r>
      <rPr>
        <b/>
        <i/>
        <sz val="11"/>
        <color rgb="FF000000"/>
        <rFont val="Calibri"/>
        <family val="2"/>
      </rPr>
      <t>Trend:</t>
    </r>
    <r>
      <rPr>
        <i/>
        <sz val="11"/>
        <color rgb="FF000000"/>
        <rFont val="Calibri"/>
        <family val="2"/>
      </rPr>
      <t xml:space="preserve"> The company’s EBIT relative to total assets improved sharply from 4.84% in 2020 to 15.38% in 2024. This indicates better operational efficiency and asset utilization over the period.
</t>
    </r>
    <r>
      <rPr>
        <b/>
        <i/>
        <sz val="11"/>
        <color rgb="FF000000"/>
        <rFont val="Calibri"/>
        <family val="2"/>
      </rPr>
      <t>Impact on Z-Score:</t>
    </r>
    <r>
      <rPr>
        <i/>
        <sz val="11"/>
        <color rgb="FF000000"/>
        <rFont val="Calibri"/>
        <family val="2"/>
      </rPr>
      <t xml:space="preserve"> This sharp increase in operating profitability significantly bolstered the Z-Score, contributing to its movement towards the "safe zone."
</t>
    </r>
    <r>
      <rPr>
        <b/>
        <i/>
        <sz val="11"/>
        <color rgb="FF000000"/>
        <rFont val="Calibri"/>
        <family val="2"/>
      </rPr>
      <t>4) Market Capitalization/Long-Term Liabilities:</t>
    </r>
    <r>
      <rPr>
        <i/>
        <sz val="11"/>
        <color rgb="FF000000"/>
        <rFont val="Calibri"/>
        <family val="2"/>
      </rPr>
      <t xml:space="preserve">
</t>
    </r>
    <r>
      <rPr>
        <b/>
        <i/>
        <sz val="11"/>
        <color rgb="FF000000"/>
        <rFont val="Calibri"/>
        <family val="2"/>
      </rPr>
      <t>Trend:</t>
    </r>
    <r>
      <rPr>
        <i/>
        <sz val="11"/>
        <color rgb="FF000000"/>
        <rFont val="Calibri"/>
        <family val="2"/>
      </rPr>
      <t xml:space="preserve"> This ratio surged from 144.71% in 2020 to 352.90% in 2024, reflecting a strong increase in market value relative to debt. It indicates that the company’s equity far outweighs its long-term liabilities.
</t>
    </r>
    <r>
      <rPr>
        <b/>
        <i/>
        <sz val="11"/>
        <color rgb="FF000000"/>
        <rFont val="Calibri"/>
        <family val="2"/>
      </rPr>
      <t>Impact on Z-Score:</t>
    </r>
    <r>
      <rPr>
        <i/>
        <sz val="11"/>
        <color rgb="FF000000"/>
        <rFont val="Calibri"/>
        <family val="2"/>
      </rPr>
      <t xml:space="preserve"> This growth shows increased investor confidence, reducing financial risk and improving the Z-Score.
</t>
    </r>
    <r>
      <rPr>
        <b/>
        <i/>
        <sz val="11"/>
        <color rgb="FF000000"/>
        <rFont val="Calibri"/>
        <family val="2"/>
      </rPr>
      <t>5) Asset Turnover:</t>
    </r>
    <r>
      <rPr>
        <i/>
        <sz val="11"/>
        <color rgb="FF000000"/>
        <rFont val="Calibri"/>
        <family val="2"/>
      </rPr>
      <t xml:space="preserve">
</t>
    </r>
    <r>
      <rPr>
        <b/>
        <i/>
        <sz val="11"/>
        <color rgb="FF000000"/>
        <rFont val="Calibri"/>
        <family val="2"/>
      </rPr>
      <t>Trend:</t>
    </r>
    <r>
      <rPr>
        <i/>
        <sz val="11"/>
        <color rgb="FF000000"/>
        <rFont val="Calibri"/>
        <family val="2"/>
      </rPr>
      <t xml:space="preserve"> Asset turnover has remained relatively stable, peaking at 121.70% in 2023 but declining slightly to 119.77% in 2024. This suggests consistent efficiency in generating revenue from assets.
</t>
    </r>
    <r>
      <rPr>
        <b/>
        <i/>
        <sz val="11"/>
        <color rgb="FF000000"/>
        <rFont val="Calibri"/>
        <family val="2"/>
      </rPr>
      <t>Impact on Z-Score:</t>
    </r>
    <r>
      <rPr>
        <i/>
        <sz val="11"/>
        <color rgb="FF000000"/>
        <rFont val="Calibri"/>
        <family val="2"/>
      </rPr>
      <t xml:space="preserve"> While stable, the high asset turnover positively contributes to the company’s overall financial health and the Z-Score.
</t>
    </r>
    <r>
      <rPr>
        <b/>
        <i/>
        <sz val="11"/>
        <color rgb="FF000000"/>
        <rFont val="Calibri"/>
        <family val="2"/>
      </rPr>
      <t>Final Altman Z-Score:</t>
    </r>
    <r>
      <rPr>
        <i/>
        <sz val="11"/>
        <color rgb="FF000000"/>
        <rFont val="Calibri"/>
        <family val="2"/>
      </rPr>
      <t xml:space="preserve">
The Z-Score improved to 4 in 2024, signaling the company is now firmly out of the </t>
    </r>
    <r>
      <rPr>
        <b/>
        <i/>
        <sz val="11"/>
        <color rgb="FF000000"/>
        <rFont val="Calibri"/>
        <family val="2"/>
      </rPr>
      <t>“grey zone”</t>
    </r>
    <r>
      <rPr>
        <i/>
        <sz val="11"/>
        <color rgb="FF000000"/>
        <rFont val="Calibri"/>
        <family val="2"/>
      </rPr>
      <t xml:space="preserve"> after several years of </t>
    </r>
    <r>
      <rPr>
        <b/>
        <i/>
        <sz val="11"/>
        <color rgb="FF000000"/>
        <rFont val="Calibri"/>
        <family val="2"/>
      </rPr>
      <t>Borderline Risk</t>
    </r>
    <r>
      <rPr>
        <i/>
        <sz val="11"/>
        <color rgb="FF000000"/>
        <rFont val="Calibri"/>
        <family val="2"/>
      </rPr>
      <t xml:space="preserve">. This improvement is driven primarily by stronger operational performance (EBIT/Assets) and increased market capitalization, offsetting earlier concerns. To maintain this position, the company should continue to focus on optimizing profitability and asset efficiency while managing liabilities.
</t>
    </r>
  </si>
  <si>
    <t>Ismail Industries Limited manufactures and trades sugar confectionery products under the CandyLand brand in Pakistan. The company operates through Food and Plastic segments. Its confectionery products comprise jellies, chocolates, marshmallows, candies, toffees, chews, lollipops, gums, milk chocolates, spreads, brittles, bunties, and truffles. In addition, it manufactures, processes, compounds, formulates, imports, exports, packages, markets, wholesales, retails, and sells pharmaceutical, animal health, drugs, medicines, and derma products. It also exports its products to approximately 50 countries, including North America, South America, Europe, Asia, Australia, Africa, and the Middle East. The company was incorporated in 1988 and is headquartered in Karachi, Pakistan.</t>
  </si>
  <si>
    <t>Key Financial Metrics</t>
  </si>
  <si>
    <t>Sales (000s)</t>
  </si>
  <si>
    <t>Gross Profit Margin</t>
  </si>
  <si>
    <t>Key Financial Metrics-Extended</t>
  </si>
  <si>
    <t>EV/EBITDA</t>
  </si>
  <si>
    <t>EV/Share</t>
  </si>
  <si>
    <t>EV/Sales</t>
  </si>
  <si>
    <t>Debt/Equity Ratio</t>
  </si>
  <si>
    <t>Return on Capital Employed</t>
  </si>
  <si>
    <r>
      <rPr>
        <b/>
        <i/>
        <sz val="11"/>
        <color rgb="FF002060"/>
        <rFont val="Calibri"/>
        <family val="2"/>
        <scheme val="minor"/>
      </rPr>
      <t>1) Cost Advantage (Economies of Scale):</t>
    </r>
    <r>
      <rPr>
        <i/>
        <sz val="11"/>
        <color rgb="FF002060"/>
        <rFont val="Calibri"/>
        <family val="2"/>
        <scheme val="minor"/>
      </rPr>
      <t xml:space="preserve">  Ismail Industries has expanded significantly, with revenue for the fiscal year ending June 2024 reaching PKR 128.29 billion, up from PKR 98.4 billion the previous year. This growth underscores its ability to leverage economies of scale, particularly in its confectionery and biscuits segments (CandyLand, Bisconni). Bulk procurement of raw materials and an extensive manufacturing capacity provide cost efficiencies, allowing it to maintain a competitive price in both local and export markets. 
</t>
    </r>
    <r>
      <rPr>
        <b/>
        <i/>
        <sz val="11"/>
        <color rgb="FF002060"/>
        <rFont val="Calibri"/>
        <family val="2"/>
        <scheme val="minor"/>
      </rPr>
      <t>2) Brand Power:</t>
    </r>
    <r>
      <rPr>
        <i/>
        <sz val="11"/>
        <color rgb="FF002060"/>
        <rFont val="Calibri"/>
        <family val="2"/>
        <scheme val="minor"/>
      </rPr>
      <t xml:space="preserve"> CandyLand, Bisconni, and SnackCity are household names in Pakistan and have growing recognition in export markets. These brands are highly trusted, and the company’s commitment to quality and innovation strengthens its consumer loyalty. Brand recognition is a critical factor in FMCG, where Ismail Industries excels. The company has maintained market share growth in key segments, contributing to its strong brand positioning. 
</t>
    </r>
    <r>
      <rPr>
        <b/>
        <i/>
        <sz val="11"/>
        <color rgb="FF002060"/>
        <rFont val="Calibri"/>
        <family val="2"/>
        <scheme val="minor"/>
      </rPr>
      <t>3) Network Effect:</t>
    </r>
    <r>
      <rPr>
        <i/>
        <sz val="11"/>
        <color rgb="FF002060"/>
        <rFont val="Calibri"/>
        <family val="2"/>
        <scheme val="minor"/>
      </rPr>
      <t xml:space="preserve"> The company benefits from a vast distribution network that allows it to reach customers nationwide and abroad. This network helps ensure that new products are quickly placed in the market and widely available. Internationally, it operates in key regions such as the Middle East and Europe, expanding its global footprint. 
</t>
    </r>
    <r>
      <rPr>
        <b/>
        <i/>
        <sz val="11"/>
        <color rgb="FF002060"/>
        <rFont val="Calibri"/>
        <family val="2"/>
        <scheme val="minor"/>
      </rPr>
      <t>4) Switching Costs:</t>
    </r>
    <r>
      <rPr>
        <i/>
        <sz val="11"/>
        <color rgb="FF002060"/>
        <rFont val="Calibri"/>
        <family val="2"/>
        <scheme val="minor"/>
      </rPr>
      <t xml:space="preserve"> While consumers can easily switch between snack and confectionery brands, Ismail Industries' strong customer loyalty and consistent quality create soft barriers. Retailers are less inclined to switch due to IIL’s established product portfolio and reliable supply chain, which ensures timely and consistent deliveries. 
</t>
    </r>
    <r>
      <rPr>
        <b/>
        <i/>
        <sz val="11"/>
        <color rgb="FF002060"/>
        <rFont val="Calibri"/>
        <family val="2"/>
        <scheme val="minor"/>
      </rPr>
      <t>5) Intangible Assets (Trademarks, Certifications):</t>
    </r>
    <r>
      <rPr>
        <i/>
        <sz val="11"/>
        <color rgb="FF002060"/>
        <rFont val="Calibri"/>
        <family val="2"/>
        <scheme val="minor"/>
      </rPr>
      <t xml:space="preserve">The company’s strength lies in its well-known trademarks (CandyLand, Bisconni) and adherence to international quality standards. This is especially important for its exports, where stringent food safety regulations must be met. While not heavily reliant on patents, its brand equity serves as a strong intangible asset. 
</t>
    </r>
    <r>
      <rPr>
        <b/>
        <i/>
        <sz val="11"/>
        <color rgb="FF002060"/>
        <rFont val="Calibri"/>
        <family val="2"/>
        <scheme val="minor"/>
      </rPr>
      <t>6) Efficient Scale:</t>
    </r>
    <r>
      <rPr>
        <i/>
        <sz val="11"/>
        <color rgb="FF002060"/>
        <rFont val="Calibri"/>
        <family val="2"/>
        <scheme val="minor"/>
      </rPr>
      <t xml:space="preserve"> IIL operates in a market with limited large-scale competition in Pakistan. The confectionery and biscuit sectors are capital-intensive, and IIL’s efficient production allows it to dominate the local market while reducing the threat of new entrants. Its scale also allows it to experiment with new product lines and invest in technology, ensuring efficiency in operations. 
</t>
    </r>
    <r>
      <rPr>
        <b/>
        <i/>
        <sz val="11"/>
        <color rgb="FF002060"/>
        <rFont val="Calibri"/>
        <family val="2"/>
        <scheme val="minor"/>
      </rPr>
      <t>Conclusion:</t>
    </r>
    <r>
      <rPr>
        <i/>
        <sz val="11"/>
        <color rgb="FF002060"/>
        <rFont val="Calibri"/>
        <family val="2"/>
        <scheme val="minor"/>
      </rPr>
      <t xml:space="preserve"> Ismail Industries has a strong MOAT driven by its economies of scale, brand loyalty, and extensive distribution network. The company’s rapid revenue growth and consistent profitability reflect its ability to maintain a competitive edge in Pakistan's FMCG industry. While external factors like raw material costs and economic conditions may affect margins, its brand strength and operational scale give it a sustainable advantage.
</t>
    </r>
  </si>
  <si>
    <r>
      <rPr>
        <b/>
        <i/>
        <sz val="11"/>
        <color rgb="FF002060"/>
        <rFont val="Calibri"/>
        <family val="2"/>
        <scheme val="minor"/>
      </rPr>
      <t xml:space="preserve">1) Strengths:
Strong Brand Portfolio: </t>
    </r>
    <r>
      <rPr>
        <i/>
        <sz val="11"/>
        <color rgb="FF002060"/>
        <rFont val="Calibri"/>
        <family val="2"/>
        <scheme val="minor"/>
      </rPr>
      <t>IIL's well-known brands, such as CandyLand, Bisconni, and SnackCity, enjoy high consumer trust and loyalty in Pakistan and international markets​.</t>
    </r>
    <r>
      <rPr>
        <b/>
        <i/>
        <sz val="11"/>
        <color rgb="FF002060"/>
        <rFont val="Calibri"/>
        <family val="2"/>
        <scheme val="minor"/>
      </rPr>
      <t xml:space="preserve">
Robust Financial Performance: </t>
    </r>
    <r>
      <rPr>
        <i/>
        <sz val="11"/>
        <color rgb="FF002060"/>
        <rFont val="Calibri"/>
        <family val="2"/>
        <scheme val="minor"/>
      </rPr>
      <t>The company reported a 30% revenue growth for the fiscal year ending June 2024, reaching PKR 128.29 billion, demonstrating its strong market position​</t>
    </r>
    <r>
      <rPr>
        <b/>
        <i/>
        <sz val="11"/>
        <color rgb="FF002060"/>
        <rFont val="Calibri"/>
        <family val="2"/>
        <scheme val="minor"/>
      </rPr>
      <t xml:space="preserve">
Diverse Product Line:</t>
    </r>
    <r>
      <rPr>
        <i/>
        <sz val="11"/>
        <color rgb="FF002060"/>
        <rFont val="Calibri"/>
        <family val="2"/>
        <scheme val="minor"/>
      </rPr>
      <t xml:space="preserve"> IIL has a diversified range of products from confectionery, packaging films, jellies, swets, to savory snacks, reducing dependency on any single product line​. It has also introduced new items this year to further strenghthen its position. </t>
    </r>
    <r>
      <rPr>
        <b/>
        <i/>
        <sz val="11"/>
        <color rgb="FF002060"/>
        <rFont val="Calibri"/>
        <family val="2"/>
        <scheme val="minor"/>
      </rPr>
      <t xml:space="preserve">
Economies of Scale: </t>
    </r>
    <r>
      <rPr>
        <i/>
        <sz val="11"/>
        <color rgb="FF002060"/>
        <rFont val="Calibri"/>
        <family val="2"/>
        <scheme val="minor"/>
      </rPr>
      <t>Large-scale production and extensive distribution networks give IIL a competitive cost advantage​.</t>
    </r>
    <r>
      <rPr>
        <b/>
        <i/>
        <sz val="11"/>
        <color rgb="FF002060"/>
        <rFont val="Calibri"/>
        <family val="2"/>
        <scheme val="minor"/>
      </rPr>
      <t xml:space="preserve">
2) Weaknesses:
High Debt Levels: </t>
    </r>
    <r>
      <rPr>
        <i/>
        <sz val="11"/>
        <color rgb="FF002060"/>
        <rFont val="Calibri"/>
        <family val="2"/>
        <scheme val="minor"/>
      </rPr>
      <t xml:space="preserve">IIL’s debt-to-equity ratio is high </t>
    </r>
    <r>
      <rPr>
        <b/>
        <i/>
        <sz val="11"/>
        <color rgb="FF002060"/>
        <rFont val="Calibri"/>
        <family val="2"/>
        <scheme val="minor"/>
      </rPr>
      <t>(248.77%)</t>
    </r>
    <r>
      <rPr>
        <i/>
        <sz val="11"/>
        <color rgb="FF002060"/>
        <rFont val="Calibri"/>
        <family val="2"/>
        <scheme val="minor"/>
      </rPr>
      <t>, which could limit its financial flexibility and increase risk in times of market volatility​. The Altman's Z Score also put IIL in a "Grey Zone" for 3 years in the past as calculated in previous sheet. Furthermore, its Current and Quick Ratio are both under 1 indicating potential liquidity issues.</t>
    </r>
    <r>
      <rPr>
        <b/>
        <i/>
        <sz val="11"/>
        <color rgb="FF002060"/>
        <rFont val="Calibri"/>
        <family val="2"/>
        <scheme val="minor"/>
      </rPr>
      <t xml:space="preserve">
Narrow Margins: </t>
    </r>
    <r>
      <rPr>
        <i/>
        <sz val="11"/>
        <color rgb="FF002060"/>
        <rFont val="Calibri"/>
        <family val="2"/>
        <scheme val="minor"/>
      </rPr>
      <t xml:space="preserve">Although profitable, its net profit margin is modest at </t>
    </r>
    <r>
      <rPr>
        <b/>
        <i/>
        <sz val="11"/>
        <color rgb="FF002060"/>
        <rFont val="Calibri"/>
        <family val="2"/>
        <scheme val="minor"/>
      </rPr>
      <t>5.63%</t>
    </r>
    <r>
      <rPr>
        <i/>
        <sz val="11"/>
        <color rgb="FF002060"/>
        <rFont val="Calibri"/>
        <family val="2"/>
        <scheme val="minor"/>
      </rPr>
      <t xml:space="preserve">, reflecting competitive pressure and rising costs​
</t>
    </r>
    <r>
      <rPr>
        <b/>
        <i/>
        <sz val="11"/>
        <color rgb="FF002060"/>
        <rFont val="Calibri"/>
        <family val="2"/>
        <scheme val="minor"/>
      </rPr>
      <t xml:space="preserve">
3) Opportunities:
Export Growth: </t>
    </r>
    <r>
      <rPr>
        <i/>
        <sz val="11"/>
        <color rgb="FF002060"/>
        <rFont val="Calibri"/>
        <family val="2"/>
        <scheme val="minor"/>
      </rPr>
      <t>IIL is expanding into international markets, particularly the Middle East and Europe, creating new growth avenues​</t>
    </r>
    <r>
      <rPr>
        <b/>
        <i/>
        <sz val="11"/>
        <color rgb="FF002060"/>
        <rFont val="Calibri"/>
        <family val="2"/>
        <scheme val="minor"/>
      </rPr>
      <t xml:space="preserve">
Product Innovation: </t>
    </r>
    <r>
      <rPr>
        <i/>
        <sz val="11"/>
        <color rgb="FF002060"/>
        <rFont val="Calibri"/>
        <family val="2"/>
        <scheme val="minor"/>
      </rPr>
      <t>Continuing to innovate with new products and expanding healthier snack options could attract a wider customer base and align with global trends​</t>
    </r>
    <r>
      <rPr>
        <b/>
        <i/>
        <sz val="11"/>
        <color rgb="FF002060"/>
        <rFont val="Calibri"/>
        <family val="2"/>
        <scheme val="minor"/>
      </rPr>
      <t xml:space="preserve">
4) Threats:
Economic Instability: </t>
    </r>
    <r>
      <rPr>
        <i/>
        <sz val="11"/>
        <color rgb="FF002060"/>
        <rFont val="Calibri"/>
        <family val="2"/>
        <scheme val="minor"/>
      </rPr>
      <t>Pakistan's economic fluctuations, rising inflation, and currency depreciation could increase raw material costs and affect margins​</t>
    </r>
    <r>
      <rPr>
        <b/>
        <i/>
        <sz val="11"/>
        <color rgb="FF002060"/>
        <rFont val="Calibri"/>
        <family val="2"/>
        <scheme val="minor"/>
      </rPr>
      <t xml:space="preserve">
Intense Competition: </t>
    </r>
    <r>
      <rPr>
        <i/>
        <sz val="11"/>
        <color rgb="FF002060"/>
        <rFont val="Calibri"/>
        <family val="2"/>
        <scheme val="minor"/>
      </rPr>
      <t>The FMCG sector is highly competitive, both locally and internationally, with the threat of global brands entering the market​.</t>
    </r>
    <r>
      <rPr>
        <b/>
        <i/>
        <sz val="11"/>
        <color rgb="FF002060"/>
        <rFont val="Calibri"/>
        <family val="2"/>
        <scheme val="minor"/>
      </rPr>
      <t xml:space="preserve">
</t>
    </r>
  </si>
  <si>
    <r>
      <rPr>
        <b/>
        <i/>
        <sz val="11"/>
        <color rgb="FF002060"/>
        <rFont val="Calibri"/>
        <family val="2"/>
        <scheme val="minor"/>
      </rPr>
      <t xml:space="preserve">1. Stars (High Market Share, High Market Growth):
SnackCity: </t>
    </r>
    <r>
      <rPr>
        <i/>
        <sz val="11"/>
        <color rgb="FF002060"/>
        <rFont val="Calibri"/>
        <family val="2"/>
        <scheme val="minor"/>
      </rPr>
      <t>This brand is a rising star in the snacks industry. With the snacks market in Pakistan growing rapidly due to changing consumer preferences for healthy snacks and expensive competitior products like Lays, Wavys, Pringles etc., SnackCity has positioned itself as a market leader in savory snacks like potato chips and extruded snacks. In 2024, IIL’s Consolidated Revenue grew to PKR 128.29 billion, with SnackCity contributing significantly to this growth​</t>
    </r>
    <r>
      <rPr>
        <b/>
        <i/>
        <sz val="11"/>
        <color rgb="FF002060"/>
        <rFont val="Calibri"/>
        <family val="2"/>
        <scheme val="minor"/>
      </rPr>
      <t xml:space="preserve">. </t>
    </r>
    <r>
      <rPr>
        <i/>
        <sz val="11"/>
        <color rgb="FF002060"/>
        <rFont val="Calibri"/>
        <family val="2"/>
        <scheme val="minor"/>
      </rPr>
      <t>Its innovative and varied product range, combined with increasing demand, makes it a focus for further investment.</t>
    </r>
    <r>
      <rPr>
        <b/>
        <i/>
        <sz val="11"/>
        <color rgb="FF002060"/>
        <rFont val="Calibri"/>
        <family val="2"/>
        <scheme val="minor"/>
      </rPr>
      <t xml:space="preserve">
2. Cash Cows (High Market Share, Low Market Growth):
CandyLand:</t>
    </r>
    <r>
      <rPr>
        <i/>
        <sz val="11"/>
        <color rgb="FF002060"/>
        <rFont val="Calibri"/>
        <family val="2"/>
        <scheme val="minor"/>
      </rPr>
      <t xml:space="preserve"> CandyLand is a dominant player in Pakistan’s confectionery market, known for a wide range of popular sweets, chocolates, and jellies. Despite the market’s slower growth, CandyLand remains highly profitable, helping drive IIL’s gross profit, which reached PKR 18.5 billion in 2024​. This brand requires minimal investment while continuing to generate substantial cash flow, making it one of the company’s most reliable revenue streams.</t>
    </r>
    <r>
      <rPr>
        <b/>
        <i/>
        <sz val="11"/>
        <color rgb="FF002060"/>
        <rFont val="Calibri"/>
        <family val="2"/>
        <scheme val="minor"/>
      </rPr>
      <t xml:space="preserve">
Bisconni:</t>
    </r>
    <r>
      <rPr>
        <i/>
        <sz val="11"/>
        <color rgb="FF002060"/>
        <rFont val="Calibri"/>
        <family val="2"/>
        <scheme val="minor"/>
      </rPr>
      <t xml:space="preserve"> Bisconni is another cash cow, dominating the biscuits and bakery products sector. With growing market saturation, especially locally, the biscuit category isn't expanding rapidly. However, Bisconni’s established market position ensures it remains a stable source of income. It continues to contribute to IIL’s strong financial results with increasing exports and brand loyalty​.</t>
    </r>
    <r>
      <rPr>
        <b/>
        <i/>
        <sz val="11"/>
        <color rgb="FF002060"/>
        <rFont val="Calibri"/>
        <family val="2"/>
        <scheme val="minor"/>
      </rPr>
      <t xml:space="preserve">
​
3. Question Marks (Low Market Share, High Market Growth):
Export Products: </t>
    </r>
    <r>
      <rPr>
        <i/>
        <sz val="11"/>
        <color rgb="FF002060"/>
        <rFont val="Calibri"/>
        <family val="2"/>
        <scheme val="minor"/>
      </rPr>
      <t>IIL has been actively expanding into international markets, particularly in the Middle East and Europe. CandyLand and Bisconni are exported to several countries, and though their market share in these regions remains "Relatively Low". The growth potential is significant due to the increasing demand for affordable confectionery and snacks globally. With international revenue forming a growing portion of IIL’s PKR 128.29 billion sales in 2024, these products represent an opportunity that requires investment to capture greater market share​.</t>
    </r>
    <r>
      <rPr>
        <b/>
        <i/>
        <sz val="11"/>
        <color rgb="FF002060"/>
        <rFont val="Calibri"/>
        <family val="2"/>
        <scheme val="minor"/>
      </rPr>
      <t xml:space="preserve">
​
4. Dogs (Low Market Share, Low Market Growth):
Nutritional Supplements: </t>
    </r>
    <r>
      <rPr>
        <i/>
        <sz val="11"/>
        <color rgb="FF002060"/>
        <rFont val="Calibri"/>
        <family val="2"/>
        <scheme val="minor"/>
      </rPr>
      <t>While IIL has ventured into the health and nutrition segment, this product line has not gained significant market share and contributes minimally to the company’s overall revenue. With low growth prospects in the current market and high competition from established health-focused brands, this segment has limited upside. It could be an area for divestment or re-evaluation to streamline resources.</t>
    </r>
  </si>
  <si>
    <t>Ratio Analysis-Profitability</t>
  </si>
  <si>
    <t>Ratio Analysis-Liquidity</t>
  </si>
  <si>
    <t>Ratio Analysis-Solvency</t>
  </si>
  <si>
    <t>Ratio Analysis-Investment</t>
  </si>
  <si>
    <t>Table of Contents</t>
  </si>
  <si>
    <t>BS</t>
  </si>
  <si>
    <t>Pnl</t>
  </si>
  <si>
    <t>Ratio Analysis-Activity</t>
  </si>
  <si>
    <t>Common Size Statement</t>
  </si>
  <si>
    <t>Forecasting-Sales</t>
  </si>
  <si>
    <t>Forecasting-Sales-other methods</t>
  </si>
  <si>
    <t>Forecasting-EPS</t>
  </si>
  <si>
    <t>Forecasting-Inevstment Ratios</t>
  </si>
  <si>
    <t>Forecasting-Solvency Ratios</t>
  </si>
  <si>
    <t>Forecasting-Liquidity Ratios</t>
  </si>
  <si>
    <t>Forecasting-Activity Ratio</t>
  </si>
  <si>
    <t>Scenario Analysis-Gross Profit</t>
  </si>
  <si>
    <t>Scenario Analysis-PAT</t>
  </si>
  <si>
    <t>What if Analysis-Sales Growth</t>
  </si>
  <si>
    <t>Sensitivity Analysis-AR days</t>
  </si>
  <si>
    <t>Sensitivity Analysis-Inv days</t>
  </si>
  <si>
    <t>Raw Data for Dupont</t>
  </si>
  <si>
    <t>DuPont Analysis &amp; Summary</t>
  </si>
  <si>
    <t>One Page co. Profie</t>
  </si>
  <si>
    <t>Key Brands</t>
  </si>
  <si>
    <t>SWOT Analysis-IIL</t>
  </si>
  <si>
    <t>BCG Matrix Analysis-IIL</t>
  </si>
  <si>
    <t>MOAT Analysis-IIL</t>
  </si>
  <si>
    <t>Altman Z Score Modelling</t>
  </si>
  <si>
    <r>
      <rPr>
        <b/>
        <i/>
        <sz val="11"/>
        <color rgb="FF002060"/>
        <rFont val="Calibri"/>
        <family val="2"/>
        <scheme val="minor"/>
      </rPr>
      <t xml:space="preserve">Environmental (E):
1. Energy Efficiency: </t>
    </r>
    <r>
      <rPr>
        <i/>
        <sz val="11"/>
        <color rgb="FF002060"/>
        <rFont val="Calibri"/>
        <family val="2"/>
        <scheme val="minor"/>
      </rPr>
      <t>Limited use of renewable energy but some improvements in energy efficiency within production facilities.</t>
    </r>
    <r>
      <rPr>
        <b/>
        <i/>
        <sz val="11"/>
        <color rgb="FF002060"/>
        <rFont val="Calibri"/>
        <family val="2"/>
        <scheme val="minor"/>
      </rPr>
      <t xml:space="preserve">
2. Waste Management: </t>
    </r>
    <r>
      <rPr>
        <i/>
        <sz val="11"/>
        <color rgb="FF002060"/>
        <rFont val="Calibri"/>
        <family val="2"/>
        <scheme val="minor"/>
      </rPr>
      <t>Moderate recycling efforts with initiatives for reducing plastic and packaging waste.</t>
    </r>
    <r>
      <rPr>
        <b/>
        <i/>
        <sz val="11"/>
        <color rgb="FF002060"/>
        <rFont val="Calibri"/>
        <family val="2"/>
        <scheme val="minor"/>
      </rPr>
      <t xml:space="preserve">
3. Carbon Footprint: </t>
    </r>
    <r>
      <rPr>
        <i/>
        <sz val="11"/>
        <color rgb="FF002060"/>
        <rFont val="Calibri"/>
        <family val="2"/>
        <scheme val="minor"/>
      </rPr>
      <t>No significant commitment to carbon reduction targets but basic compliance with environmental regulations.</t>
    </r>
    <r>
      <rPr>
        <b/>
        <i/>
        <sz val="11"/>
        <color rgb="FF002060"/>
        <rFont val="Calibri"/>
        <family val="2"/>
        <scheme val="minor"/>
      </rPr>
      <t xml:space="preserve">
Social (S):
1. Employee Safety &amp; Well-being: </t>
    </r>
    <r>
      <rPr>
        <i/>
        <sz val="11"/>
        <color rgb="FF002060"/>
        <rFont val="Calibri"/>
        <family val="2"/>
        <scheme val="minor"/>
      </rPr>
      <t>Good safety standards and compliance with local labor laws. Some diversity initiatives are in place.</t>
    </r>
    <r>
      <rPr>
        <b/>
        <i/>
        <sz val="11"/>
        <color rgb="FF002060"/>
        <rFont val="Calibri"/>
        <family val="2"/>
        <scheme val="minor"/>
      </rPr>
      <t xml:space="preserve">
2. Community Engagement: </t>
    </r>
    <r>
      <rPr>
        <i/>
        <sz val="11"/>
        <color rgb="FF002060"/>
        <rFont val="Calibri"/>
        <family val="2"/>
        <scheme val="minor"/>
      </rPr>
      <t>Active in local community projects, particularly in supporting education and healthcare initiatives.</t>
    </r>
    <r>
      <rPr>
        <b/>
        <i/>
        <sz val="11"/>
        <color rgb="FF002060"/>
        <rFont val="Calibri"/>
        <family val="2"/>
        <scheme val="minor"/>
      </rPr>
      <t xml:space="preserve">
3. Product Responsibility: </t>
    </r>
    <r>
      <rPr>
        <i/>
        <sz val="11"/>
        <color rgb="FF002060"/>
        <rFont val="Calibri"/>
        <family val="2"/>
        <scheme val="minor"/>
      </rPr>
      <t xml:space="preserve">Strong focus on quality control and consumer safety, especially given its role in the food industry.
</t>
    </r>
    <r>
      <rPr>
        <b/>
        <i/>
        <sz val="11"/>
        <color rgb="FF002060"/>
        <rFont val="Calibri"/>
        <family val="2"/>
        <scheme val="minor"/>
      </rPr>
      <t xml:space="preserve">
Governance (G):
1. Board Diversity: </t>
    </r>
    <r>
      <rPr>
        <i/>
        <sz val="11"/>
        <color rgb="FF002060"/>
        <rFont val="Calibri"/>
        <family val="2"/>
        <scheme val="minor"/>
      </rPr>
      <t>Limited gender and ethnic diversity but balanced representation of independent directors.</t>
    </r>
    <r>
      <rPr>
        <b/>
        <i/>
        <sz val="11"/>
        <color rgb="FF002060"/>
        <rFont val="Calibri"/>
        <family val="2"/>
        <scheme val="minor"/>
      </rPr>
      <t xml:space="preserve">
2. Ethical Conduct: </t>
    </r>
    <r>
      <rPr>
        <i/>
        <sz val="11"/>
        <color rgb="FF002060"/>
        <rFont val="Calibri"/>
        <family val="2"/>
        <scheme val="minor"/>
      </rPr>
      <t>Transparent governance with a code of conduct in place to prevent corruption and bribery.</t>
    </r>
    <r>
      <rPr>
        <b/>
        <i/>
        <sz val="11"/>
        <color rgb="FF002060"/>
        <rFont val="Calibri"/>
        <family val="2"/>
        <scheme val="minor"/>
      </rPr>
      <t xml:space="preserve">
3. Reporting Transparency: </t>
    </r>
    <r>
      <rPr>
        <i/>
        <sz val="11"/>
        <color rgb="FF002060"/>
        <rFont val="Calibri"/>
        <family val="2"/>
        <scheme val="minor"/>
      </rPr>
      <t>Basic financial and operational reporting, though limited in sustainability disclosures in the Chariman's Report in the Annual Report Section.</t>
    </r>
    <r>
      <rPr>
        <b/>
        <i/>
        <sz val="11"/>
        <color rgb="FF002060"/>
        <rFont val="Calibri"/>
        <family val="2"/>
        <scheme val="minor"/>
      </rPr>
      <t xml:space="preserve">
Overall ESG Score (1-5 Scale):
•	Environmental: 3
•	Social: 4
•	Governance: 3
Total ESG Rating: 3.3 / 5</t>
    </r>
  </si>
  <si>
    <t>ESG Pillar</t>
  </si>
  <si>
    <t>Metric</t>
  </si>
  <si>
    <t>Weight (%)</t>
  </si>
  <si>
    <t>Score (1-5)</t>
  </si>
  <si>
    <t>Environmental</t>
  </si>
  <si>
    <t>Energy Consumption &amp; Renewables</t>
  </si>
  <si>
    <t>Carbon Emissions Reduction Efforts</t>
  </si>
  <si>
    <t>Waste Management</t>
  </si>
  <si>
    <t>Sustainable Packaging</t>
  </si>
  <si>
    <t>Social</t>
  </si>
  <si>
    <t>Employee Well-being &amp; Safety</t>
  </si>
  <si>
    <t>Labor Practices &amp; Fair Wages</t>
  </si>
  <si>
    <t>Community Engagement</t>
  </si>
  <si>
    <t>Product Responsibility</t>
  </si>
  <si>
    <t>Governance</t>
  </si>
  <si>
    <t>Board Composition &amp; Diversity</t>
  </si>
  <si>
    <t>Ethical Practices &amp; Anti-Corruption</t>
  </si>
  <si>
    <t>Transparency in Reporting</t>
  </si>
  <si>
    <t>Executive Compensation Alignment</t>
  </si>
  <si>
    <t>Overall Weighted Average  ESG Score</t>
  </si>
  <si>
    <t xml:space="preserve">The ESG Score, Weights to each metric, and the Individual Metric Score are all subjective numbers which are prone to human error and bias during analysis. Therefore, this is just a simulation of the expected ESG Score based on limited concrete data provided in the Executive Summary, Chairman's Report, Annual Report Sustainability Section, CCG (Code of Corporate Governance) Board Structure Data. 
For more accurate information and ESG Scoring, an Independend Expert in Sustainability would need to be consulted. </t>
  </si>
  <si>
    <r>
      <t xml:space="preserve">An ESG metric measures a company's performance in three areas: Environmental (impact on nature), Social (treatment of people), and Governance (how it's managed).
ESG metrics help evaluate how responsibly a company operates. Investors and consumers use them to assess if the company is sustainable, ethical, and managing risks well.
</t>
    </r>
    <r>
      <rPr>
        <b/>
        <i/>
        <sz val="11"/>
        <color rgb="FF002060"/>
        <rFont val="Calibri"/>
        <family val="2"/>
        <scheme val="minor"/>
      </rPr>
      <t xml:space="preserve">Benefits of ESG Metrics:
</t>
    </r>
    <r>
      <rPr>
        <i/>
        <sz val="11"/>
        <color rgb="FF002060"/>
        <rFont val="Calibri"/>
        <family val="2"/>
        <scheme val="minor"/>
      </rPr>
      <t>For Investors: Helps identify sustainable, low-risk investments.
For Companies: Improves reputation, customer loyalty, and regulatory compliance.
For Society: Promotes responsible business practices that benefit communities.
In short, ESG metrics show how well a company balances profit with responsibility.</t>
    </r>
  </si>
  <si>
    <t>ESG Metric Analysis</t>
  </si>
  <si>
    <t>Forecasting-Profitability</t>
  </si>
  <si>
    <t>If Dividend Per Share is as follows while keeping the EPS Growth Constant, what will be the Dividend Cover Ratio in each scenario</t>
  </si>
  <si>
    <t>Current Operating Profit</t>
  </si>
  <si>
    <t>Next Year Interest Cover Ratio</t>
  </si>
  <si>
    <t>If Finance Costs (% of Sales) is as follows, what will be the PBT, PAT, and the Interets Cover Ratio in each scenario</t>
  </si>
  <si>
    <r>
      <t xml:space="preserve">What-if analysis is a process in Excel or financial modeling where you change input values to see how they impact the outcome of a formula or model. It helps in evaluating different scenarios and understanding the potential effects of different assumptions or decisions. We have performed a scenario analysis of "Finance Costs % of Sales" displaying results of </t>
    </r>
    <r>
      <rPr>
        <b/>
        <i/>
        <sz val="11"/>
        <color rgb="FF002060"/>
        <rFont val="Calibri"/>
        <family val="2"/>
        <scheme val="minor"/>
      </rPr>
      <t xml:space="preserve">Profit before tax, Profit after tax, </t>
    </r>
    <r>
      <rPr>
        <i/>
        <sz val="11"/>
        <color rgb="FF002060"/>
        <rFont val="Calibri"/>
        <family val="2"/>
        <scheme val="minor"/>
      </rPr>
      <t>and the</t>
    </r>
    <r>
      <rPr>
        <b/>
        <i/>
        <sz val="11"/>
        <color rgb="FF002060"/>
        <rFont val="Calibri"/>
        <family val="2"/>
        <scheme val="minor"/>
      </rPr>
      <t xml:space="preserve"> Interest Cover Ratio</t>
    </r>
    <r>
      <rPr>
        <i/>
        <sz val="11"/>
        <color rgb="FF002060"/>
        <rFont val="Calibri"/>
        <family val="2"/>
        <scheme val="minor"/>
      </rPr>
      <t xml:space="preserve"> at various levels of Finance Cost % of Sales</t>
    </r>
  </si>
  <si>
    <t>Scenario Analsis-PE Ratio</t>
  </si>
  <si>
    <t>Scen Analysis-Div Payout policy</t>
  </si>
  <si>
    <t>Scen Analysis-div cover ratio</t>
  </si>
  <si>
    <t>Sensit Analysis-Int Cover Ratio</t>
  </si>
  <si>
    <t>2031-F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</si>
</sst>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_(* #,##0.000_);_(* \(#,##0.000\);_(* &quot;-&quot;??_);_(@_)"/>
    <numFmt numFmtId="166" formatCode="0.0000%"/>
    <numFmt numFmtId="167" formatCode="0.000%"/>
    <numFmt numFmtId="168" formatCode="0.00\x"/>
    <numFmt numFmtId="169" formatCode="_(* #,##0.0000_);_(* \(#,##0.0000\);_(* &quot;-&quot;??_);_(@_)"/>
  </numFmts>
  <fonts count="70">
    <font>
      <sz val="10"/>
      <color rgb="FF000000"/>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b/>
      <sz val="14"/>
      <color theme="0"/>
      <name val="Calibri"/>
      <family val="2"/>
      <scheme val="minor"/>
    </font>
    <font>
      <sz val="10"/>
      <color rgb="FF000000"/>
      <name val="Times New Roman"/>
      <family val="1"/>
    </font>
    <font>
      <sz val="11"/>
      <color rgb="FF000000"/>
      <name val="Calibri"/>
      <family val="2"/>
      <scheme val="minor"/>
    </font>
    <font>
      <b/>
      <sz val="11"/>
      <color rgb="FF575756"/>
      <name val="Calibri"/>
      <family val="2"/>
      <scheme val="minor"/>
    </font>
    <font>
      <b/>
      <sz val="14"/>
      <color rgb="FF002060"/>
      <name val="Calibri"/>
      <family val="2"/>
      <scheme val="minor"/>
    </font>
    <font>
      <b/>
      <sz val="11"/>
      <name val="Calibri"/>
      <family val="2"/>
      <scheme val="minor"/>
    </font>
    <font>
      <b/>
      <sz val="11"/>
      <color rgb="FF000000"/>
      <name val="Calibri"/>
      <family val="2"/>
      <scheme val="minor"/>
    </font>
    <font>
      <sz val="11"/>
      <name val="Calibri"/>
      <family val="2"/>
      <scheme val="minor"/>
    </font>
    <font>
      <b/>
      <sz val="11"/>
      <color rgb="FF002060"/>
      <name val="Calibri"/>
      <family val="2"/>
      <scheme val="minor"/>
    </font>
    <font>
      <sz val="11"/>
      <color rgb="FF002060"/>
      <name val="Calibri"/>
      <family val="2"/>
      <scheme val="minor"/>
    </font>
    <font>
      <vertAlign val="superscript"/>
      <sz val="11"/>
      <color rgb="FF002060"/>
      <name val="Calibri"/>
      <family val="2"/>
      <scheme val="minor"/>
    </font>
    <font>
      <i/>
      <sz val="11"/>
      <color rgb="FF002060"/>
      <name val="Calibri"/>
      <family val="2"/>
      <scheme val="minor"/>
    </font>
    <font>
      <b/>
      <i/>
      <sz val="11"/>
      <color rgb="FF002060"/>
      <name val="Calibri"/>
      <family val="2"/>
      <scheme val="minor"/>
    </font>
    <font>
      <i/>
      <sz val="11"/>
      <color rgb="FF000000"/>
      <name val="Calibri"/>
      <family val="2"/>
      <scheme val="minor"/>
    </font>
    <font>
      <sz val="8"/>
      <color theme="1"/>
      <name val="Arial"/>
      <family val="2"/>
    </font>
    <font>
      <b/>
      <i/>
      <sz val="11"/>
      <color theme="0" tint="-0.34998626667073579"/>
      <name val="Calibri"/>
      <family val="2"/>
      <scheme val="minor"/>
    </font>
    <font>
      <b/>
      <sz val="11"/>
      <color theme="0"/>
      <name val="Calibri"/>
      <family val="2"/>
    </font>
    <font>
      <b/>
      <u/>
      <sz val="11"/>
      <color rgb="FF000000"/>
      <name val="Calibri"/>
      <family val="2"/>
      <scheme val="minor"/>
    </font>
    <font>
      <sz val="10"/>
      <color rgb="FF000000"/>
      <name val="Calibri"/>
      <family val="2"/>
      <scheme val="minor"/>
    </font>
    <font>
      <i/>
      <sz val="11"/>
      <color rgb="FF000000"/>
      <name val="Calibri"/>
      <family val="2"/>
    </font>
    <font>
      <sz val="11"/>
      <color rgb="FF002060"/>
      <name val="Calibri"/>
      <family val="2"/>
    </font>
    <font>
      <b/>
      <i/>
      <sz val="11"/>
      <color theme="1"/>
      <name val="Calibri"/>
      <family val="2"/>
      <scheme val="minor"/>
    </font>
    <font>
      <sz val="11"/>
      <color theme="0" tint="-0.249977111117893"/>
      <name val="Calibri"/>
      <family val="2"/>
      <scheme val="minor"/>
    </font>
    <font>
      <sz val="11"/>
      <color rgb="FF3333CC"/>
      <name val="Calibri"/>
      <family val="2"/>
      <scheme val="minor"/>
    </font>
    <font>
      <b/>
      <sz val="11"/>
      <color indexed="9"/>
      <name val="Calibri"/>
      <family val="2"/>
      <scheme val="minor"/>
    </font>
    <font>
      <b/>
      <sz val="11"/>
      <color indexed="8"/>
      <name val="Calibri"/>
      <family val="2"/>
      <scheme val="minor"/>
    </font>
    <font>
      <b/>
      <sz val="11"/>
      <color indexed="18"/>
      <name val="Calibri"/>
      <family val="2"/>
      <scheme val="minor"/>
    </font>
    <font>
      <b/>
      <u/>
      <sz val="11"/>
      <color rgb="FF002060"/>
      <name val="Calibri"/>
      <family val="2"/>
      <scheme val="minor"/>
    </font>
    <font>
      <b/>
      <sz val="12"/>
      <color theme="1"/>
      <name val="Calibri"/>
      <family val="2"/>
      <scheme val="minor"/>
    </font>
    <font>
      <b/>
      <sz val="12"/>
      <color rgb="FF2596BE"/>
      <name val="Calibri"/>
      <family val="2"/>
      <scheme val="minor"/>
    </font>
    <font>
      <i/>
      <sz val="11"/>
      <color theme="1"/>
      <name val="Calibri"/>
      <family val="2"/>
      <scheme val="minor"/>
    </font>
    <font>
      <b/>
      <i/>
      <sz val="12"/>
      <color rgb="FF2596BE"/>
      <name val="Calibri"/>
      <family val="2"/>
      <scheme val="minor"/>
    </font>
    <font>
      <b/>
      <i/>
      <sz val="11"/>
      <color rgb="FF000000"/>
      <name val="Calibri"/>
      <family val="2"/>
    </font>
    <font>
      <b/>
      <vertAlign val="superscript"/>
      <sz val="14"/>
      <color theme="0"/>
      <name val="Calibri"/>
      <family val="2"/>
      <scheme val="minor"/>
    </font>
    <font>
      <i/>
      <sz val="11"/>
      <name val="Calibri"/>
      <family val="2"/>
      <scheme val="minor"/>
    </font>
    <font>
      <b/>
      <i/>
      <vertAlign val="superscript"/>
      <sz val="11"/>
      <color rgb="FF002060"/>
      <name val="Calibri"/>
      <family val="2"/>
      <scheme val="minor"/>
    </font>
    <font>
      <b/>
      <u val="singleAccounting"/>
      <sz val="11"/>
      <color rgb="FF002060"/>
      <name val="Calibri"/>
      <family val="2"/>
      <scheme val="minor"/>
    </font>
    <font>
      <b/>
      <i/>
      <sz val="11"/>
      <color rgb="FFFF0000"/>
      <name val="Calibri"/>
      <family val="2"/>
      <scheme val="minor"/>
    </font>
    <font>
      <b/>
      <u/>
      <sz val="13"/>
      <color theme="1"/>
      <name val="Calibri"/>
      <family val="2"/>
      <scheme val="minor"/>
    </font>
    <font>
      <b/>
      <i/>
      <sz val="13"/>
      <color theme="1"/>
      <name val="Calibri"/>
      <family val="2"/>
      <scheme val="minor"/>
    </font>
    <font>
      <b/>
      <sz val="14"/>
      <color theme="1"/>
      <name val="Calibri"/>
      <family val="2"/>
      <scheme val="minor"/>
    </font>
    <font>
      <b/>
      <sz val="12"/>
      <name val="Calibri"/>
      <family val="2"/>
      <scheme val="minor"/>
    </font>
    <font>
      <b/>
      <sz val="13"/>
      <name val="Calibri"/>
      <family val="2"/>
      <scheme val="minor"/>
    </font>
    <font>
      <b/>
      <sz val="14"/>
      <name val="Calibri"/>
      <family val="2"/>
      <scheme val="minor"/>
    </font>
    <font>
      <b/>
      <u/>
      <sz val="13"/>
      <name val="Calibri"/>
      <family val="2"/>
      <scheme val="minor"/>
    </font>
    <font>
      <b/>
      <u/>
      <sz val="11"/>
      <color theme="0"/>
      <name val="Calibri"/>
      <family val="2"/>
      <scheme val="minor"/>
    </font>
    <font>
      <b/>
      <i/>
      <sz val="13"/>
      <name val="Calibri"/>
      <family val="2"/>
      <scheme val="minor"/>
    </font>
    <font>
      <b/>
      <u/>
      <sz val="11"/>
      <color theme="1"/>
      <name val="Calibri"/>
      <family val="2"/>
      <scheme val="minor"/>
    </font>
    <font>
      <sz val="11"/>
      <color theme="0"/>
      <name val="Calibri"/>
      <family val="2"/>
      <scheme val="minor"/>
    </font>
    <font>
      <b/>
      <sz val="11"/>
      <color theme="1"/>
      <name val="Calibri"/>
      <family val="2"/>
    </font>
    <font>
      <b/>
      <sz val="11"/>
      <color rgb="FFFF0000"/>
      <name val="Calibri"/>
      <family val="2"/>
      <scheme val="minor"/>
    </font>
    <font>
      <u/>
      <sz val="10"/>
      <color theme="10"/>
      <name val="Times New Roman"/>
      <family val="1"/>
    </font>
    <font>
      <sz val="11"/>
      <color rgb="FF000000"/>
      <name val="Calibri "/>
    </font>
    <font>
      <b/>
      <sz val="11"/>
      <color theme="1"/>
      <name val="Calibri "/>
    </font>
    <font>
      <i/>
      <sz val="11"/>
      <color theme="1"/>
      <name val="Calibri "/>
    </font>
    <font>
      <b/>
      <i/>
      <sz val="11"/>
      <color theme="0"/>
      <name val="Calibri "/>
    </font>
    <font>
      <b/>
      <i/>
      <sz val="11"/>
      <color theme="0"/>
      <name val="Calibri"/>
      <family val="2"/>
      <scheme val="minor"/>
    </font>
    <font>
      <b/>
      <sz val="13"/>
      <color theme="0"/>
      <name val="Calibri"/>
      <family val="2"/>
      <scheme val="minor"/>
    </font>
    <font>
      <sz val="11"/>
      <color theme="0" tint="-4.9989318521683403E-2"/>
      <name val="Calibri"/>
      <family val="2"/>
      <scheme val="minor"/>
    </font>
    <font>
      <sz val="10"/>
      <color rgb="FF000000"/>
      <name val="Calibri Light"/>
      <family val="2"/>
      <scheme val="major"/>
    </font>
    <font>
      <b/>
      <i/>
      <sz val="11"/>
      <color theme="10"/>
      <name val="Calibri Light"/>
      <family val="2"/>
      <scheme val="major"/>
    </font>
    <font>
      <b/>
      <i/>
      <sz val="10"/>
      <color theme="0"/>
      <name val="Calibri Light"/>
      <family val="2"/>
      <scheme val="major"/>
    </font>
  </fonts>
  <fills count="11">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002060"/>
        <bgColor indexed="24"/>
      </patternFill>
    </fill>
    <fill>
      <patternFill patternType="solid">
        <fgColor indexed="22"/>
        <bgColor indexed="24"/>
      </patternFill>
    </fill>
    <fill>
      <patternFill patternType="solid">
        <fgColor indexed="22"/>
        <bgColor indexed="7"/>
      </patternFill>
    </fill>
    <fill>
      <patternFill patternType="solid">
        <fgColor rgb="FFFF3300"/>
        <bgColor indexed="64"/>
      </patternFill>
    </fill>
    <fill>
      <patternFill patternType="solid">
        <fgColor rgb="FFDADDE2"/>
        <bgColor indexed="64"/>
      </patternFill>
    </fill>
    <fill>
      <patternFill patternType="solid">
        <fgColor theme="0" tint="-0.14999847407452621"/>
        <bgColor indexed="64"/>
      </patternFill>
    </fill>
  </fills>
  <borders count="3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rgb="FF002060"/>
      </top>
      <bottom style="thick">
        <color rgb="FF002060"/>
      </bottom>
      <diagonal/>
    </border>
    <border>
      <left/>
      <right/>
      <top style="medium">
        <color rgb="FF002060"/>
      </top>
      <bottom/>
      <diagonal/>
    </border>
    <border>
      <left/>
      <right/>
      <top style="thin">
        <color indexed="64"/>
      </top>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right/>
      <top/>
      <bottom style="thin">
        <color indexed="64"/>
      </bottom>
      <diagonal/>
    </border>
    <border>
      <left/>
      <right/>
      <top/>
      <bottom style="double">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medium">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medium">
        <color rgb="FF2596BE"/>
      </bottom>
      <diagonal/>
    </border>
  </borders>
  <cellStyleXfs count="22">
    <xf numFmtId="0" fontId="0" fillId="0" borderId="0"/>
    <xf numFmtId="43" fontId="9" fillId="0" borderId="0" applyFont="0" applyFill="0" applyBorder="0" applyAlignment="0" applyProtection="0"/>
    <xf numFmtId="9" fontId="9" fillId="0" borderId="0" applyFont="0" applyFill="0" applyBorder="0" applyAlignment="0" applyProtection="0"/>
    <xf numFmtId="0" fontId="7" fillId="0" borderId="0"/>
    <xf numFmtId="43" fontId="7" fillId="0" borderId="0" applyFont="0" applyFill="0" applyBorder="0" applyAlignment="0" applyProtection="0"/>
    <xf numFmtId="0" fontId="22" fillId="0" borderId="0"/>
    <xf numFmtId="0" fontId="9" fillId="0" borderId="0"/>
    <xf numFmtId="9" fontId="7" fillId="0" borderId="0" applyFont="0" applyFill="0" applyBorder="0" applyAlignment="0" applyProtection="0"/>
    <xf numFmtId="9" fontId="4" fillId="0" borderId="0" applyFont="0" applyFill="0" applyBorder="0" applyAlignment="0" applyProtection="0"/>
    <xf numFmtId="0" fontId="7" fillId="0" borderId="0"/>
    <xf numFmtId="9" fontId="4" fillId="0" borderId="0" applyFont="0" applyFill="0" applyBorder="0" applyAlignment="0" applyProtection="0"/>
    <xf numFmtId="43" fontId="4" fillId="0" borderId="0" applyFont="0" applyFill="0" applyBorder="0" applyAlignment="0" applyProtection="0"/>
    <xf numFmtId="43" fontId="22" fillId="0" borderId="0" applyFont="0" applyFill="0" applyBorder="0" applyAlignment="0" applyProtection="0"/>
    <xf numFmtId="43" fontId="9" fillId="0" borderId="0" applyFont="0" applyFill="0" applyBorder="0" applyAlignment="0" applyProtection="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59" fillId="0" borderId="0" applyNumberFormat="0" applyFill="0" applyBorder="0" applyAlignment="0" applyProtection="0"/>
  </cellStyleXfs>
  <cellXfs count="481">
    <xf numFmtId="0" fontId="0" fillId="0" borderId="0" xfId="0"/>
    <xf numFmtId="0" fontId="8" fillId="2" borderId="0" xfId="3" applyFont="1" applyFill="1" applyAlignment="1">
      <alignment horizontal="left" vertical="center" wrapText="1"/>
    </xf>
    <xf numFmtId="0" fontId="10" fillId="0" borderId="0" xfId="0" applyFont="1" applyAlignment="1">
      <alignment horizontal="left" vertical="top"/>
    </xf>
    <xf numFmtId="1" fontId="11" fillId="0" borderId="0" xfId="0" applyNumberFormat="1" applyFont="1" applyAlignment="1">
      <alignment horizontal="left" vertical="top" indent="4" shrinkToFit="1"/>
    </xf>
    <xf numFmtId="0" fontId="12" fillId="0" borderId="0" xfId="3" applyFont="1" applyAlignment="1">
      <alignment horizontal="left" vertical="center" wrapText="1"/>
    </xf>
    <xf numFmtId="0" fontId="8" fillId="0" borderId="0" xfId="3" applyFont="1" applyAlignment="1">
      <alignment horizontal="left" vertical="center" wrapText="1"/>
    </xf>
    <xf numFmtId="0" fontId="13" fillId="0" borderId="0" xfId="0" applyFont="1" applyAlignment="1">
      <alignment vertical="top" wrapText="1"/>
    </xf>
    <xf numFmtId="0" fontId="10" fillId="0" borderId="0" xfId="0" applyFont="1" applyAlignment="1">
      <alignment horizontal="left" vertical="center" wrapText="1"/>
    </xf>
    <xf numFmtId="0" fontId="14" fillId="0" borderId="0" xfId="0" applyFont="1" applyAlignment="1">
      <alignment horizontal="center" vertical="center" wrapText="1"/>
    </xf>
    <xf numFmtId="0" fontId="15" fillId="0" borderId="0" xfId="0" applyFont="1" applyAlignment="1">
      <alignment vertical="top" wrapText="1"/>
    </xf>
    <xf numFmtId="164" fontId="15" fillId="0" borderId="0" xfId="1" applyNumberFormat="1" applyFont="1" applyFill="1" applyBorder="1" applyAlignment="1">
      <alignment horizontal="left" vertical="top" indent="1" shrinkToFit="1"/>
    </xf>
    <xf numFmtId="164" fontId="15" fillId="0" borderId="0" xfId="1" applyNumberFormat="1" applyFont="1" applyFill="1" applyBorder="1" applyAlignment="1">
      <alignment horizontal="left" vertical="top" shrinkToFit="1"/>
    </xf>
    <xf numFmtId="164" fontId="10" fillId="0" borderId="6" xfId="3" applyNumberFormat="1" applyFont="1" applyBorder="1" applyAlignment="1">
      <alignment horizontal="left" vertical="center" wrapText="1"/>
    </xf>
    <xf numFmtId="0" fontId="16" fillId="0" borderId="0" xfId="0" applyFont="1" applyAlignment="1">
      <alignment vertical="top" wrapText="1"/>
    </xf>
    <xf numFmtId="0" fontId="16" fillId="0" borderId="0" xfId="0" applyFont="1" applyAlignment="1">
      <alignment vertical="center" wrapText="1"/>
    </xf>
    <xf numFmtId="164" fontId="15" fillId="0" borderId="0" xfId="1" applyNumberFormat="1" applyFont="1" applyFill="1" applyBorder="1" applyAlignment="1">
      <alignment horizontal="left" vertical="top" indent="3" shrinkToFit="1"/>
    </xf>
    <xf numFmtId="0" fontId="10" fillId="0" borderId="0" xfId="3" applyFont="1" applyAlignment="1">
      <alignment horizontal="left"/>
    </xf>
    <xf numFmtId="0" fontId="16" fillId="0" borderId="0" xfId="3" applyFont="1" applyAlignment="1">
      <alignment horizontal="left"/>
    </xf>
    <xf numFmtId="0" fontId="17" fillId="0" borderId="0" xfId="3" applyFont="1" applyAlignment="1">
      <alignment horizontal="left"/>
    </xf>
    <xf numFmtId="0" fontId="20" fillId="0" borderId="0" xfId="3" applyFont="1" applyAlignment="1">
      <alignment horizontal="left"/>
    </xf>
    <xf numFmtId="43" fontId="10" fillId="0" borderId="0" xfId="1" applyFont="1" applyAlignment="1">
      <alignment horizontal="left" vertical="top"/>
    </xf>
    <xf numFmtId="0" fontId="21" fillId="0" borderId="0" xfId="0" applyFont="1" applyAlignment="1">
      <alignment horizontal="left" vertical="top"/>
    </xf>
    <xf numFmtId="0" fontId="14" fillId="0" borderId="0" xfId="0" applyFont="1" applyAlignment="1">
      <alignment horizontal="center" vertical="top"/>
    </xf>
    <xf numFmtId="164" fontId="14" fillId="0" borderId="0" xfId="1" applyNumberFormat="1" applyFont="1" applyAlignment="1">
      <alignment horizontal="center" vertical="top"/>
    </xf>
    <xf numFmtId="164" fontId="10" fillId="0" borderId="0" xfId="1" applyNumberFormat="1" applyFont="1" applyAlignment="1">
      <alignment horizontal="left" vertical="top"/>
    </xf>
    <xf numFmtId="164" fontId="15" fillId="0" borderId="7" xfId="1" applyNumberFormat="1" applyFont="1" applyFill="1" applyBorder="1" applyAlignment="1">
      <alignment horizontal="left" vertical="top" indent="2" shrinkToFit="1"/>
    </xf>
    <xf numFmtId="164" fontId="15" fillId="0" borderId="0" xfId="1" applyNumberFormat="1" applyFont="1" applyFill="1" applyBorder="1" applyAlignment="1">
      <alignment horizontal="left" vertical="top" indent="2" shrinkToFit="1"/>
    </xf>
    <xf numFmtId="164" fontId="10" fillId="0" borderId="0" xfId="0" applyNumberFormat="1" applyFont="1" applyAlignment="1">
      <alignment horizontal="left" vertical="top"/>
    </xf>
    <xf numFmtId="164" fontId="15" fillId="0" borderId="0" xfId="1" applyNumberFormat="1" applyFont="1" applyFill="1" applyBorder="1" applyAlignment="1">
      <alignment horizontal="right" vertical="top" indent="1" shrinkToFit="1"/>
    </xf>
    <xf numFmtId="164" fontId="15" fillId="0" borderId="0" xfId="1" applyNumberFormat="1" applyFont="1" applyFill="1" applyBorder="1" applyAlignment="1">
      <alignment horizontal="right" vertical="top" shrinkToFit="1"/>
    </xf>
    <xf numFmtId="43" fontId="15" fillId="0" borderId="0" xfId="1" applyFont="1" applyFill="1" applyBorder="1" applyAlignment="1">
      <alignment horizontal="left" vertical="top" indent="2" shrinkToFit="1"/>
    </xf>
    <xf numFmtId="43" fontId="10" fillId="0" borderId="0" xfId="0" applyNumberFormat="1" applyFont="1" applyAlignment="1">
      <alignment horizontal="left" vertical="top"/>
    </xf>
    <xf numFmtId="43" fontId="16" fillId="0" borderId="0" xfId="1" applyFont="1" applyFill="1" applyBorder="1" applyAlignment="1">
      <alignment horizontal="center" vertical="top" shrinkToFit="1"/>
    </xf>
    <xf numFmtId="0" fontId="20" fillId="0" borderId="0" xfId="5" applyFont="1"/>
    <xf numFmtId="10" fontId="16" fillId="0" borderId="0" xfId="2" applyNumberFormat="1" applyFont="1" applyAlignment="1">
      <alignment horizontal="right" vertical="top"/>
    </xf>
    <xf numFmtId="164" fontId="16" fillId="0" borderId="0" xfId="1" applyNumberFormat="1" applyFont="1" applyAlignment="1">
      <alignment horizontal="center" vertical="top"/>
    </xf>
    <xf numFmtId="0" fontId="16" fillId="0" borderId="0" xfId="0" applyFont="1" applyAlignment="1">
      <alignment horizontal="center" vertical="top"/>
    </xf>
    <xf numFmtId="0" fontId="14" fillId="0" borderId="0" xfId="0" applyFont="1" applyAlignment="1">
      <alignment horizontal="left" vertical="top"/>
    </xf>
    <xf numFmtId="43" fontId="16" fillId="0" borderId="0" xfId="1" applyFont="1" applyAlignment="1">
      <alignment horizontal="center" vertical="top"/>
    </xf>
    <xf numFmtId="43" fontId="15" fillId="0" borderId="0" xfId="1" applyFont="1" applyFill="1" applyBorder="1" applyAlignment="1">
      <alignment horizontal="left" vertical="top" indent="1" shrinkToFit="1"/>
    </xf>
    <xf numFmtId="0" fontId="4" fillId="0" borderId="0" xfId="0" applyFont="1" applyAlignment="1">
      <alignment vertical="top" wrapText="1"/>
    </xf>
    <xf numFmtId="43" fontId="15" fillId="0" borderId="1" xfId="1" applyFont="1" applyFill="1" applyBorder="1" applyAlignment="1">
      <alignment horizontal="right" vertical="center" shrinkToFit="1"/>
    </xf>
    <xf numFmtId="43" fontId="15" fillId="0" borderId="1" xfId="1" applyFont="1" applyFill="1" applyBorder="1" applyAlignment="1">
      <alignment horizontal="left" vertical="center" indent="2" shrinkToFit="1"/>
    </xf>
    <xf numFmtId="43" fontId="15" fillId="0" borderId="2" xfId="1" applyFont="1" applyFill="1" applyBorder="1" applyAlignment="1">
      <alignment horizontal="right" vertical="top" shrinkToFit="1"/>
    </xf>
    <xf numFmtId="0" fontId="4" fillId="0" borderId="0" xfId="0" applyFont="1" applyAlignment="1">
      <alignment vertical="center" wrapText="1"/>
    </xf>
    <xf numFmtId="43" fontId="15" fillId="0" borderId="0" xfId="1" applyFont="1" applyFill="1" applyBorder="1" applyAlignment="1">
      <alignment horizontal="right" vertical="center" shrinkToFit="1"/>
    </xf>
    <xf numFmtId="43" fontId="15" fillId="0" borderId="0" xfId="1" applyFont="1" applyFill="1" applyBorder="1" applyAlignment="1">
      <alignment horizontal="left" vertical="center" indent="2" shrinkToFit="1"/>
    </xf>
    <xf numFmtId="0" fontId="15" fillId="0" borderId="0" xfId="0" applyFont="1" applyAlignment="1">
      <alignment vertical="center" wrapText="1"/>
    </xf>
    <xf numFmtId="43" fontId="13" fillId="0" borderId="8" xfId="1" applyFont="1" applyFill="1" applyBorder="1" applyAlignment="1">
      <alignment horizontal="right" vertical="top" shrinkToFit="1"/>
    </xf>
    <xf numFmtId="43" fontId="17" fillId="0" borderId="0" xfId="1" applyFont="1" applyFill="1" applyBorder="1" applyAlignment="1">
      <alignment horizontal="left" vertical="top"/>
    </xf>
    <xf numFmtId="0" fontId="16" fillId="0" borderId="0" xfId="5" applyFont="1"/>
    <xf numFmtId="0" fontId="23" fillId="0" borderId="0" xfId="5" applyFont="1"/>
    <xf numFmtId="9" fontId="17" fillId="0" borderId="0" xfId="2" applyFont="1" applyFill="1" applyBorder="1" applyAlignment="1">
      <alignment vertical="top"/>
    </xf>
    <xf numFmtId="9" fontId="17" fillId="0" borderId="0" xfId="2" applyFont="1" applyFill="1" applyBorder="1" applyAlignment="1">
      <alignment horizontal="right" vertical="top"/>
    </xf>
    <xf numFmtId="43" fontId="17" fillId="0" borderId="0" xfId="1" applyFont="1" applyFill="1" applyBorder="1" applyAlignment="1">
      <alignment vertical="top"/>
    </xf>
    <xf numFmtId="0" fontId="17" fillId="0" borderId="0" xfId="0" applyFont="1" applyAlignment="1">
      <alignment horizontal="right" vertical="top"/>
    </xf>
    <xf numFmtId="0" fontId="17" fillId="0" borderId="0" xfId="0" applyFont="1" applyAlignment="1">
      <alignment vertical="top"/>
    </xf>
    <xf numFmtId="43" fontId="17" fillId="0" borderId="0" xfId="1" applyFont="1" applyFill="1" applyBorder="1" applyAlignment="1">
      <alignment horizontal="center" vertical="top"/>
    </xf>
    <xf numFmtId="0" fontId="17" fillId="0" borderId="0" xfId="0" applyFont="1" applyAlignment="1">
      <alignment horizontal="center" vertical="top"/>
    </xf>
    <xf numFmtId="0" fontId="16" fillId="0" borderId="0" xfId="0" applyFont="1" applyAlignment="1">
      <alignment horizontal="left" vertical="top"/>
    </xf>
    <xf numFmtId="0" fontId="5" fillId="2" borderId="0" xfId="3" applyFont="1" applyFill="1" applyAlignment="1">
      <alignment horizontal="left"/>
    </xf>
    <xf numFmtId="0" fontId="5" fillId="2" borderId="0" xfId="3" applyFont="1" applyFill="1" applyAlignment="1">
      <alignment horizontal="center"/>
    </xf>
    <xf numFmtId="0" fontId="5" fillId="2" borderId="0" xfId="3" applyFont="1" applyFill="1" applyAlignment="1">
      <alignment horizontal="center" vertical="center" wrapText="1"/>
    </xf>
    <xf numFmtId="0" fontId="16" fillId="0" borderId="0" xfId="6" applyFont="1" applyAlignment="1">
      <alignment horizontal="left" vertical="top"/>
    </xf>
    <xf numFmtId="0" fontId="17" fillId="0" borderId="0" xfId="6" applyFont="1" applyAlignment="1">
      <alignment horizontal="left" vertical="top"/>
    </xf>
    <xf numFmtId="166" fontId="17" fillId="0" borderId="0" xfId="7" applyNumberFormat="1" applyFont="1" applyAlignment="1">
      <alignment horizontal="center" vertical="center"/>
    </xf>
    <xf numFmtId="10" fontId="17" fillId="0" borderId="0" xfId="7" applyNumberFormat="1" applyFont="1" applyAlignment="1">
      <alignment horizontal="center" vertical="center"/>
    </xf>
    <xf numFmtId="10" fontId="17" fillId="0" borderId="0" xfId="7" applyNumberFormat="1" applyFont="1" applyAlignment="1">
      <alignment horizontal="left"/>
    </xf>
    <xf numFmtId="0" fontId="10" fillId="0" borderId="0" xfId="3" applyFont="1" applyAlignment="1">
      <alignment horizontal="center"/>
    </xf>
    <xf numFmtId="0" fontId="10" fillId="0" borderId="0" xfId="3" applyFont="1" applyAlignment="1">
      <alignment horizontal="left" vertical="center" wrapText="1"/>
    </xf>
    <xf numFmtId="0" fontId="10" fillId="0" borderId="0" xfId="3" applyFont="1" applyAlignment="1">
      <alignment horizontal="center" vertical="center"/>
    </xf>
    <xf numFmtId="0" fontId="16" fillId="0" borderId="0" xfId="3" applyFont="1" applyAlignment="1">
      <alignment horizontal="left" vertical="top"/>
    </xf>
    <xf numFmtId="0" fontId="17" fillId="0" borderId="0" xfId="3" applyFont="1" applyAlignment="1">
      <alignment horizontal="left" vertical="top"/>
    </xf>
    <xf numFmtId="0" fontId="19" fillId="0" borderId="0" xfId="3" applyFont="1" applyAlignment="1">
      <alignment horizontal="left" wrapText="1"/>
    </xf>
    <xf numFmtId="0" fontId="14" fillId="0" borderId="0" xfId="9" applyFont="1" applyAlignment="1">
      <alignment horizontal="left"/>
    </xf>
    <xf numFmtId="0" fontId="5" fillId="0" borderId="0" xfId="3" applyFont="1" applyAlignment="1">
      <alignment horizontal="center"/>
    </xf>
    <xf numFmtId="0" fontId="10" fillId="0" borderId="0" xfId="9" applyFont="1" applyAlignment="1">
      <alignment horizontal="left"/>
    </xf>
    <xf numFmtId="0" fontId="14" fillId="0" borderId="16" xfId="9" applyFont="1" applyBorder="1" applyAlignment="1">
      <alignment horizontal="left"/>
    </xf>
    <xf numFmtId="0" fontId="14" fillId="0" borderId="16" xfId="9" applyFont="1" applyBorder="1" applyAlignment="1">
      <alignment horizontal="center"/>
    </xf>
    <xf numFmtId="0" fontId="16" fillId="0" borderId="0" xfId="9" applyFont="1" applyAlignment="1">
      <alignment horizontal="left"/>
    </xf>
    <xf numFmtId="10" fontId="10" fillId="0" borderId="0" xfId="7" applyNumberFormat="1" applyFont="1" applyAlignment="1">
      <alignment horizontal="center"/>
    </xf>
    <xf numFmtId="9" fontId="10" fillId="0" borderId="0" xfId="7" applyFont="1" applyAlignment="1">
      <alignment horizontal="center"/>
    </xf>
    <xf numFmtId="0" fontId="5" fillId="2" borderId="0" xfId="9" applyFont="1" applyFill="1" applyAlignment="1">
      <alignment horizontal="center"/>
    </xf>
    <xf numFmtId="0" fontId="10" fillId="0" borderId="0" xfId="9" applyFont="1" applyAlignment="1">
      <alignment horizontal="center"/>
    </xf>
    <xf numFmtId="10" fontId="10" fillId="0" borderId="0" xfId="7" applyNumberFormat="1" applyFont="1" applyAlignment="1">
      <alignment horizontal="right"/>
    </xf>
    <xf numFmtId="0" fontId="10" fillId="0" borderId="0" xfId="9" applyFont="1"/>
    <xf numFmtId="0" fontId="5" fillId="0" borderId="0" xfId="9" applyFont="1" applyAlignment="1">
      <alignment horizontal="left"/>
    </xf>
    <xf numFmtId="0" fontId="5" fillId="0" borderId="0" xfId="9" applyFont="1" applyAlignment="1">
      <alignment horizontal="center"/>
    </xf>
    <xf numFmtId="43" fontId="17" fillId="0" borderId="0" xfId="4" applyFont="1" applyAlignment="1">
      <alignment horizontal="center"/>
    </xf>
    <xf numFmtId="43" fontId="15" fillId="0" borderId="0" xfId="1" applyFont="1" applyAlignment="1">
      <alignment horizontal="left"/>
    </xf>
    <xf numFmtId="0" fontId="10" fillId="0" borderId="0" xfId="9" applyFont="1" applyAlignment="1">
      <alignment horizontal="center" vertical="center" wrapText="1"/>
    </xf>
    <xf numFmtId="0" fontId="10" fillId="3" borderId="0" xfId="9" applyFont="1" applyFill="1" applyAlignment="1">
      <alignment horizontal="center"/>
    </xf>
    <xf numFmtId="43" fontId="17" fillId="3" borderId="0" xfId="4" applyFont="1" applyFill="1" applyAlignment="1">
      <alignment horizontal="left"/>
    </xf>
    <xf numFmtId="10" fontId="10" fillId="3" borderId="0" xfId="7" applyNumberFormat="1" applyFont="1" applyFill="1" applyAlignment="1">
      <alignment horizontal="center"/>
    </xf>
    <xf numFmtId="0" fontId="15" fillId="3" borderId="0" xfId="4" applyNumberFormat="1" applyFont="1" applyFill="1" applyAlignment="1">
      <alignment horizontal="center"/>
    </xf>
    <xf numFmtId="0" fontId="20" fillId="0" borderId="0" xfId="9" applyFont="1" applyAlignment="1">
      <alignment horizontal="left"/>
    </xf>
    <xf numFmtId="0" fontId="19" fillId="0" borderId="0" xfId="9" applyFont="1" applyAlignment="1">
      <alignment horizontal="left" vertical="center" wrapText="1"/>
    </xf>
    <xf numFmtId="0" fontId="19" fillId="0" borderId="0" xfId="9" applyFont="1" applyAlignment="1">
      <alignment horizontal="left"/>
    </xf>
    <xf numFmtId="0" fontId="21" fillId="0" borderId="0" xfId="9" applyFont="1" applyAlignment="1">
      <alignment horizontal="center"/>
    </xf>
    <xf numFmtId="0" fontId="17" fillId="0" borderId="0" xfId="9" applyFont="1" applyAlignment="1">
      <alignment horizontal="left"/>
    </xf>
    <xf numFmtId="43" fontId="10" fillId="0" borderId="0" xfId="9" applyNumberFormat="1" applyFont="1" applyAlignment="1">
      <alignment horizontal="left"/>
    </xf>
    <xf numFmtId="0" fontId="17" fillId="0" borderId="0" xfId="9" applyFont="1" applyAlignment="1">
      <alignment horizontal="left" vertical="center" wrapText="1"/>
    </xf>
    <xf numFmtId="0" fontId="25" fillId="0" borderId="0" xfId="0" applyFont="1" applyAlignment="1">
      <alignment horizontal="left" vertical="top"/>
    </xf>
    <xf numFmtId="0" fontId="10" fillId="0" borderId="0" xfId="0" applyFont="1" applyAlignment="1">
      <alignment horizontal="center" vertical="top"/>
    </xf>
    <xf numFmtId="0" fontId="19" fillId="4" borderId="0" xfId="0" applyFont="1" applyFill="1" applyAlignment="1">
      <alignment horizontal="left" vertical="top"/>
    </xf>
    <xf numFmtId="43" fontId="19" fillId="4" borderId="0" xfId="0" applyNumberFormat="1" applyFont="1" applyFill="1" applyAlignment="1">
      <alignment horizontal="left" vertical="top"/>
    </xf>
    <xf numFmtId="10" fontId="26" fillId="0" borderId="0" xfId="7" applyNumberFormat="1" applyFont="1" applyAlignment="1">
      <alignment horizontal="center"/>
    </xf>
    <xf numFmtId="10" fontId="10" fillId="3" borderId="0" xfId="2" applyNumberFormat="1" applyFont="1" applyFill="1" applyAlignment="1">
      <alignment horizontal="center"/>
    </xf>
    <xf numFmtId="0" fontId="21" fillId="0" borderId="0" xfId="9" applyFont="1" applyAlignment="1">
      <alignment horizontal="left"/>
    </xf>
    <xf numFmtId="10" fontId="26" fillId="3" borderId="0" xfId="7" applyNumberFormat="1" applyFont="1" applyFill="1" applyAlignment="1">
      <alignment horizontal="center"/>
    </xf>
    <xf numFmtId="0" fontId="7" fillId="0" borderId="0" xfId="9" applyAlignment="1">
      <alignment horizontal="left"/>
    </xf>
    <xf numFmtId="0" fontId="7" fillId="0" borderId="0" xfId="9"/>
    <xf numFmtId="0" fontId="27" fillId="0" borderId="0" xfId="9" applyFont="1" applyAlignment="1">
      <alignment horizontal="center"/>
    </xf>
    <xf numFmtId="0" fontId="28" fillId="0" borderId="0" xfId="9" applyFont="1" applyAlignment="1">
      <alignment horizontal="left" vertical="center" wrapText="1"/>
    </xf>
    <xf numFmtId="0" fontId="10" fillId="0" borderId="0" xfId="6" applyFont="1" applyAlignment="1">
      <alignment horizontal="left" vertical="top"/>
    </xf>
    <xf numFmtId="0" fontId="5" fillId="2" borderId="0" xfId="5" applyFont="1" applyFill="1"/>
    <xf numFmtId="0" fontId="4" fillId="0" borderId="0" xfId="5" applyFont="1"/>
    <xf numFmtId="43" fontId="10" fillId="0" borderId="0" xfId="11" applyFont="1" applyAlignment="1">
      <alignment vertical="top"/>
    </xf>
    <xf numFmtId="10" fontId="10" fillId="0" borderId="0" xfId="11" applyNumberFormat="1" applyFont="1" applyAlignment="1">
      <alignment vertical="top"/>
    </xf>
    <xf numFmtId="0" fontId="29" fillId="0" borderId="0" xfId="5" applyFont="1" applyAlignment="1">
      <alignment wrapText="1"/>
    </xf>
    <xf numFmtId="0" fontId="5" fillId="0" borderId="0" xfId="5" applyFont="1"/>
    <xf numFmtId="43" fontId="30" fillId="0" borderId="3" xfId="5" applyNumberFormat="1" applyFont="1" applyBorder="1"/>
    <xf numFmtId="10" fontId="16" fillId="0" borderId="22" xfId="5" applyNumberFormat="1" applyFont="1" applyBorder="1"/>
    <xf numFmtId="43" fontId="4" fillId="0" borderId="0" xfId="12" applyFont="1" applyFill="1" applyAlignment="1"/>
    <xf numFmtId="10" fontId="10" fillId="0" borderId="0" xfId="10" applyNumberFormat="1" applyFont="1" applyFill="1" applyBorder="1" applyAlignment="1">
      <alignment horizontal="right" vertical="top"/>
    </xf>
    <xf numFmtId="167" fontId="10" fillId="0" borderId="0" xfId="10" applyNumberFormat="1" applyFont="1" applyAlignment="1">
      <alignment horizontal="left" vertical="top"/>
    </xf>
    <xf numFmtId="10" fontId="16" fillId="4" borderId="22" xfId="5" applyNumberFormat="1" applyFont="1" applyFill="1" applyBorder="1"/>
    <xf numFmtId="43" fontId="4" fillId="4" borderId="0" xfId="12" applyFont="1" applyFill="1" applyAlignment="1"/>
    <xf numFmtId="0" fontId="29" fillId="0" borderId="0" xfId="5" applyFont="1"/>
    <xf numFmtId="0" fontId="4" fillId="0" borderId="3" xfId="5" applyFont="1" applyBorder="1"/>
    <xf numFmtId="164" fontId="4" fillId="0" borderId="8" xfId="5" applyNumberFormat="1" applyFont="1" applyBorder="1"/>
    <xf numFmtId="0" fontId="4" fillId="0" borderId="4" xfId="5" applyFont="1" applyBorder="1"/>
    <xf numFmtId="43" fontId="30" fillId="0" borderId="0" xfId="5" applyNumberFormat="1" applyFont="1" applyAlignment="1">
      <alignment horizontal="center" vertical="top"/>
    </xf>
    <xf numFmtId="10" fontId="17" fillId="0" borderId="0" xfId="10" applyNumberFormat="1" applyFont="1" applyAlignment="1">
      <alignment horizontal="center" vertical="top"/>
    </xf>
    <xf numFmtId="10" fontId="17" fillId="0" borderId="0" xfId="10" applyNumberFormat="1" applyFont="1" applyFill="1" applyAlignment="1">
      <alignment horizontal="center" vertical="top"/>
    </xf>
    <xf numFmtId="10" fontId="17" fillId="4" borderId="0" xfId="10" applyNumberFormat="1" applyFont="1" applyFill="1" applyAlignment="1">
      <alignment horizontal="center" vertical="top"/>
    </xf>
    <xf numFmtId="10" fontId="10" fillId="0" borderId="0" xfId="10" applyNumberFormat="1" applyFont="1" applyAlignment="1">
      <alignment horizontal="center" vertical="top"/>
    </xf>
    <xf numFmtId="43" fontId="4" fillId="0" borderId="0" xfId="11" applyFont="1" applyFill="1" applyBorder="1" applyAlignment="1">
      <alignment horizontal="center" vertical="top"/>
    </xf>
    <xf numFmtId="0" fontId="5" fillId="2" borderId="4" xfId="5" applyFont="1" applyFill="1" applyBorder="1" applyAlignment="1">
      <alignment horizontal="right"/>
    </xf>
    <xf numFmtId="0" fontId="4" fillId="0" borderId="5" xfId="5" applyFont="1" applyBorder="1"/>
    <xf numFmtId="0" fontId="20" fillId="0" borderId="0" xfId="6" applyFont="1" applyAlignment="1">
      <alignment horizontal="left" vertical="top"/>
    </xf>
    <xf numFmtId="0" fontId="10" fillId="0" borderId="0" xfId="6" applyFont="1" applyAlignment="1">
      <alignment horizontal="left" vertical="top" wrapText="1"/>
    </xf>
    <xf numFmtId="10" fontId="10" fillId="0" borderId="0" xfId="6" applyNumberFormat="1" applyFont="1" applyAlignment="1">
      <alignment horizontal="left" vertical="top"/>
    </xf>
    <xf numFmtId="0" fontId="10" fillId="0" borderId="0" xfId="6" applyFont="1" applyAlignment="1">
      <alignment vertical="top"/>
    </xf>
    <xf numFmtId="43" fontId="4" fillId="0" borderId="0" xfId="12" applyFont="1" applyAlignment="1"/>
    <xf numFmtId="0" fontId="24" fillId="0" borderId="0" xfId="9" applyFont="1" applyAlignment="1">
      <alignment horizontal="center"/>
    </xf>
    <xf numFmtId="164" fontId="4" fillId="0" borderId="0" xfId="12" applyNumberFormat="1" applyFont="1"/>
    <xf numFmtId="10" fontId="4" fillId="0" borderId="0" xfId="5" applyNumberFormat="1" applyFont="1"/>
    <xf numFmtId="43" fontId="4" fillId="0" borderId="0" xfId="5" applyNumberFormat="1" applyFont="1"/>
    <xf numFmtId="164" fontId="4" fillId="0" borderId="8" xfId="12" applyNumberFormat="1" applyFont="1" applyBorder="1"/>
    <xf numFmtId="0" fontId="6" fillId="0" borderId="0" xfId="5" applyFont="1"/>
    <xf numFmtId="164" fontId="30" fillId="0" borderId="3" xfId="5" applyNumberFormat="1" applyFont="1" applyBorder="1"/>
    <xf numFmtId="9" fontId="16" fillId="0" borderId="22" xfId="5" applyNumberFormat="1" applyFont="1" applyBorder="1"/>
    <xf numFmtId="164" fontId="4" fillId="0" borderId="0" xfId="12" applyNumberFormat="1" applyFont="1" applyAlignment="1"/>
    <xf numFmtId="9" fontId="31" fillId="0" borderId="0" xfId="5" applyNumberFormat="1" applyFont="1"/>
    <xf numFmtId="0" fontId="5" fillId="0" borderId="0" xfId="5" applyFont="1" applyAlignment="1">
      <alignment horizontal="center"/>
    </xf>
    <xf numFmtId="164" fontId="30" fillId="0" borderId="0" xfId="5" applyNumberFormat="1" applyFont="1" applyAlignment="1">
      <alignment vertical="top"/>
    </xf>
    <xf numFmtId="9" fontId="17" fillId="0" borderId="0" xfId="5" applyNumberFormat="1" applyFont="1" applyAlignment="1">
      <alignment vertical="top"/>
    </xf>
    <xf numFmtId="9" fontId="17" fillId="0" borderId="22" xfId="5" applyNumberFormat="1" applyFont="1" applyBorder="1" applyAlignment="1">
      <alignment horizontal="right" vertical="top"/>
    </xf>
    <xf numFmtId="164" fontId="4" fillId="0" borderId="3" xfId="12" applyNumberFormat="1" applyFont="1" applyBorder="1" applyAlignment="1">
      <alignment vertical="top"/>
    </xf>
    <xf numFmtId="164" fontId="4" fillId="0" borderId="8" xfId="12" applyNumberFormat="1" applyFont="1" applyBorder="1" applyAlignment="1">
      <alignment vertical="top"/>
    </xf>
    <xf numFmtId="164" fontId="4" fillId="0" borderId="23" xfId="12" applyNumberFormat="1" applyFont="1" applyBorder="1" applyAlignment="1">
      <alignment vertical="top"/>
    </xf>
    <xf numFmtId="164" fontId="4" fillId="0" borderId="0" xfId="12" applyNumberFormat="1" applyFont="1" applyBorder="1" applyAlignment="1">
      <alignment vertical="top"/>
    </xf>
    <xf numFmtId="164" fontId="4" fillId="0" borderId="0" xfId="12" applyNumberFormat="1" applyFont="1" applyFill="1" applyBorder="1" applyAlignment="1">
      <alignment vertical="top"/>
    </xf>
    <xf numFmtId="164" fontId="4" fillId="0" borderId="22" xfId="12" applyNumberFormat="1" applyFont="1" applyBorder="1" applyAlignment="1">
      <alignment vertical="top"/>
    </xf>
    <xf numFmtId="9" fontId="17" fillId="0" borderId="24" xfId="5" applyNumberFormat="1" applyFont="1" applyBorder="1" applyAlignment="1">
      <alignment horizontal="right" vertical="top"/>
    </xf>
    <xf numFmtId="164" fontId="4" fillId="0" borderId="16" xfId="12" applyNumberFormat="1" applyFont="1" applyBorder="1" applyAlignment="1">
      <alignment vertical="top"/>
    </xf>
    <xf numFmtId="164" fontId="4" fillId="0" borderId="24" xfId="12" applyNumberFormat="1" applyFont="1" applyBorder="1" applyAlignment="1">
      <alignment vertical="top"/>
    </xf>
    <xf numFmtId="0" fontId="19" fillId="0" borderId="0" xfId="6" applyFont="1" applyAlignment="1">
      <alignment horizontal="left" vertical="top"/>
    </xf>
    <xf numFmtId="38" fontId="10" fillId="0" borderId="0" xfId="6" applyNumberFormat="1" applyFont="1" applyAlignment="1">
      <alignment horizontal="left" vertical="top"/>
    </xf>
    <xf numFmtId="10" fontId="10" fillId="0" borderId="0" xfId="2" applyNumberFormat="1" applyFont="1" applyAlignment="1">
      <alignment horizontal="left" vertical="top"/>
    </xf>
    <xf numFmtId="164" fontId="10" fillId="0" borderId="0" xfId="13" applyNumberFormat="1" applyFont="1" applyFill="1" applyBorder="1" applyAlignment="1">
      <alignment horizontal="left" vertical="top"/>
    </xf>
    <xf numFmtId="164" fontId="10" fillId="0" borderId="8" xfId="13" applyNumberFormat="1" applyFont="1" applyFill="1" applyBorder="1" applyAlignment="1">
      <alignment horizontal="left" vertical="top"/>
    </xf>
    <xf numFmtId="164" fontId="4" fillId="0" borderId="3" xfId="13" applyNumberFormat="1" applyFont="1" applyBorder="1" applyAlignment="1">
      <alignment vertical="top"/>
    </xf>
    <xf numFmtId="164" fontId="4" fillId="0" borderId="8" xfId="13" applyNumberFormat="1" applyFont="1" applyBorder="1" applyAlignment="1">
      <alignment vertical="top"/>
    </xf>
    <xf numFmtId="164" fontId="4" fillId="0" borderId="23" xfId="13" applyNumberFormat="1" applyFont="1" applyBorder="1" applyAlignment="1">
      <alignment vertical="top"/>
    </xf>
    <xf numFmtId="164" fontId="4" fillId="0" borderId="0" xfId="13" applyNumberFormat="1" applyFont="1" applyBorder="1" applyAlignment="1">
      <alignment vertical="top"/>
    </xf>
    <xf numFmtId="164" fontId="4" fillId="0" borderId="0" xfId="13" applyNumberFormat="1" applyFont="1" applyFill="1" applyBorder="1" applyAlignment="1">
      <alignment vertical="top"/>
    </xf>
    <xf numFmtId="164" fontId="4" fillId="0" borderId="22" xfId="13" applyNumberFormat="1" applyFont="1" applyBorder="1" applyAlignment="1">
      <alignment vertical="top"/>
    </xf>
    <xf numFmtId="9" fontId="16" fillId="0" borderId="24" xfId="5" applyNumberFormat="1" applyFont="1" applyBorder="1"/>
    <xf numFmtId="164" fontId="4" fillId="0" borderId="16" xfId="13" applyNumberFormat="1" applyFont="1" applyBorder="1" applyAlignment="1">
      <alignment vertical="top"/>
    </xf>
    <xf numFmtId="164" fontId="4" fillId="0" borderId="24" xfId="13" applyNumberFormat="1" applyFont="1" applyBorder="1" applyAlignment="1">
      <alignment vertical="top"/>
    </xf>
    <xf numFmtId="0" fontId="4" fillId="0" borderId="0" xfId="6" applyFont="1"/>
    <xf numFmtId="43" fontId="4" fillId="0" borderId="0" xfId="12" applyFont="1" applyProtection="1">
      <protection locked="0"/>
    </xf>
    <xf numFmtId="10" fontId="4" fillId="0" borderId="0" xfId="2" applyNumberFormat="1" applyFont="1" applyProtection="1">
      <protection locked="0"/>
    </xf>
    <xf numFmtId="10" fontId="4" fillId="0" borderId="0" xfId="6" applyNumberFormat="1" applyFont="1" applyProtection="1">
      <protection locked="0"/>
    </xf>
    <xf numFmtId="0" fontId="5" fillId="2" borderId="0" xfId="6" applyFont="1" applyFill="1"/>
    <xf numFmtId="0" fontId="32" fillId="5" borderId="25" xfId="9" applyFont="1" applyFill="1" applyBorder="1" applyAlignment="1">
      <alignment horizontal="left"/>
    </xf>
    <xf numFmtId="0" fontId="32" fillId="5" borderId="25" xfId="9" applyFont="1" applyFill="1" applyBorder="1" applyAlignment="1">
      <alignment horizontal="right"/>
    </xf>
    <xf numFmtId="0" fontId="32" fillId="5" borderId="16" xfId="9" applyFont="1" applyFill="1" applyBorder="1" applyAlignment="1">
      <alignment horizontal="left"/>
    </xf>
    <xf numFmtId="0" fontId="32" fillId="5" borderId="16" xfId="9" applyFont="1" applyFill="1" applyBorder="1" applyAlignment="1">
      <alignment horizontal="right"/>
    </xf>
    <xf numFmtId="0" fontId="33" fillId="0" borderId="0" xfId="9" applyFont="1" applyAlignment="1">
      <alignment horizontal="left"/>
    </xf>
    <xf numFmtId="0" fontId="10" fillId="0" borderId="0" xfId="9" applyFont="1" applyAlignment="1">
      <alignment vertical="top" wrapText="1"/>
    </xf>
    <xf numFmtId="0" fontId="34" fillId="6" borderId="26" xfId="0" applyFont="1" applyFill="1" applyBorder="1" applyAlignment="1">
      <alignment horizontal="left" vertical="top"/>
    </xf>
    <xf numFmtId="0" fontId="10" fillId="0" borderId="26" xfId="0" applyFont="1" applyBorder="1" applyAlignment="1">
      <alignment vertical="top"/>
    </xf>
    <xf numFmtId="0" fontId="33" fillId="6" borderId="0" xfId="0" applyFont="1" applyFill="1" applyAlignment="1">
      <alignment horizontal="left" vertical="top"/>
    </xf>
    <xf numFmtId="10" fontId="10" fillId="0" borderId="0" xfId="2" applyNumberFormat="1" applyFont="1" applyFill="1" applyBorder="1" applyAlignment="1">
      <alignment vertical="top"/>
    </xf>
    <xf numFmtId="10" fontId="10" fillId="7" borderId="0" xfId="2" applyNumberFormat="1" applyFont="1" applyFill="1" applyBorder="1" applyAlignment="1">
      <alignment vertical="top"/>
    </xf>
    <xf numFmtId="164" fontId="10" fillId="0" borderId="0" xfId="0" applyNumberFormat="1" applyFont="1" applyAlignment="1">
      <alignment vertical="top"/>
    </xf>
    <xf numFmtId="0" fontId="33" fillId="6" borderId="18" xfId="0" applyFont="1" applyFill="1" applyBorder="1" applyAlignment="1">
      <alignment horizontal="left" vertical="top"/>
    </xf>
    <xf numFmtId="164" fontId="10" fillId="0" borderId="18" xfId="0" applyNumberFormat="1" applyFont="1" applyBorder="1" applyAlignment="1">
      <alignment vertical="top"/>
    </xf>
    <xf numFmtId="164" fontId="4" fillId="0" borderId="0" xfId="14" applyNumberFormat="1"/>
    <xf numFmtId="0" fontId="19" fillId="0" borderId="0" xfId="6" applyFont="1" applyAlignment="1">
      <alignment horizontal="left" vertical="center" wrapText="1"/>
    </xf>
    <xf numFmtId="43" fontId="4" fillId="0" borderId="0" xfId="1" applyFont="1" applyProtection="1">
      <protection locked="0"/>
    </xf>
    <xf numFmtId="164" fontId="4" fillId="0" borderId="0" xfId="12" applyNumberFormat="1" applyFont="1" applyBorder="1"/>
    <xf numFmtId="164" fontId="4" fillId="0" borderId="0" xfId="12" applyNumberFormat="1" applyFont="1" applyFill="1" applyAlignment="1"/>
    <xf numFmtId="166" fontId="4" fillId="0" borderId="0" xfId="6" applyNumberFormat="1" applyFont="1" applyProtection="1">
      <protection locked="0"/>
    </xf>
    <xf numFmtId="167" fontId="10" fillId="0" borderId="0" xfId="2" applyNumberFormat="1" applyFont="1" applyAlignment="1">
      <alignment horizontal="center" vertical="top"/>
    </xf>
    <xf numFmtId="10" fontId="4" fillId="0" borderId="0" xfId="2" applyNumberFormat="1" applyFont="1" applyBorder="1"/>
    <xf numFmtId="164" fontId="4" fillId="4" borderId="0" xfId="12" applyNumberFormat="1" applyFont="1" applyFill="1" applyAlignment="1"/>
    <xf numFmtId="164" fontId="4" fillId="4" borderId="0" xfId="13" applyNumberFormat="1" applyFont="1" applyFill="1" applyBorder="1" applyAlignment="1">
      <alignment vertical="top"/>
    </xf>
    <xf numFmtId="43" fontId="10" fillId="0" borderId="0" xfId="6" applyNumberFormat="1" applyFont="1" applyAlignment="1">
      <alignment horizontal="left" vertical="top"/>
    </xf>
    <xf numFmtId="10" fontId="17" fillId="4" borderId="0" xfId="5" applyNumberFormat="1" applyFont="1" applyFill="1" applyAlignment="1">
      <alignment vertical="top"/>
    </xf>
    <xf numFmtId="0" fontId="10" fillId="0" borderId="17" xfId="0" applyFont="1" applyBorder="1" applyAlignment="1">
      <alignment horizontal="left" vertical="top"/>
    </xf>
    <xf numFmtId="43" fontId="10" fillId="0" borderId="17" xfId="0" applyNumberFormat="1" applyFont="1" applyBorder="1" applyAlignment="1">
      <alignment horizontal="left" vertical="top"/>
    </xf>
    <xf numFmtId="43" fontId="30" fillId="0" borderId="3" xfId="1" applyFont="1" applyBorder="1"/>
    <xf numFmtId="43" fontId="16" fillId="0" borderId="22" xfId="1" applyFont="1" applyBorder="1"/>
    <xf numFmtId="43" fontId="4" fillId="0" borderId="0" xfId="1" applyFont="1" applyAlignment="1"/>
    <xf numFmtId="43" fontId="4" fillId="4" borderId="0" xfId="1" applyFont="1" applyFill="1" applyAlignment="1"/>
    <xf numFmtId="43" fontId="4" fillId="0" borderId="0" xfId="1" applyFont="1" applyFill="1" applyAlignment="1"/>
    <xf numFmtId="43" fontId="17" fillId="0" borderId="0" xfId="5" applyNumberFormat="1" applyFont="1" applyAlignment="1">
      <alignment vertical="top"/>
    </xf>
    <xf numFmtId="43" fontId="17" fillId="4" borderId="0" xfId="5" applyNumberFormat="1" applyFont="1" applyFill="1" applyAlignment="1">
      <alignment vertical="top"/>
    </xf>
    <xf numFmtId="43" fontId="16" fillId="0" borderId="0" xfId="1" applyFont="1" applyBorder="1"/>
    <xf numFmtId="43" fontId="4" fillId="0" borderId="3" xfId="1" applyFont="1" applyFill="1" applyBorder="1" applyAlignment="1">
      <alignment vertical="top"/>
    </xf>
    <xf numFmtId="43" fontId="4" fillId="0" borderId="8" xfId="1" applyFont="1" applyFill="1" applyBorder="1" applyAlignment="1">
      <alignment vertical="top"/>
    </xf>
    <xf numFmtId="43" fontId="10" fillId="0" borderId="23" xfId="1" applyFont="1" applyBorder="1" applyAlignment="1">
      <alignment horizontal="left" vertical="top"/>
    </xf>
    <xf numFmtId="43" fontId="4" fillId="0" borderId="4" xfId="1" applyFont="1" applyFill="1" applyBorder="1" applyAlignment="1">
      <alignment vertical="top"/>
    </xf>
    <xf numFmtId="43" fontId="4" fillId="0" borderId="0" xfId="1" applyFont="1" applyFill="1" applyBorder="1" applyAlignment="1">
      <alignment vertical="top"/>
    </xf>
    <xf numFmtId="43" fontId="10" fillId="0" borderId="22" xfId="1" applyFont="1" applyBorder="1" applyAlignment="1">
      <alignment horizontal="left" vertical="top"/>
    </xf>
    <xf numFmtId="43" fontId="16" fillId="4" borderId="0" xfId="1" applyFont="1" applyFill="1" applyBorder="1"/>
    <xf numFmtId="43" fontId="4" fillId="4" borderId="0" xfId="1" applyFont="1" applyFill="1" applyBorder="1" applyAlignment="1">
      <alignment vertical="top"/>
    </xf>
    <xf numFmtId="43" fontId="16" fillId="0" borderId="0" xfId="1" applyFont="1" applyFill="1" applyBorder="1"/>
    <xf numFmtId="43" fontId="16" fillId="0" borderId="16" xfId="1" applyFont="1" applyBorder="1"/>
    <xf numFmtId="43" fontId="4" fillId="0" borderId="5" xfId="1" applyFont="1" applyFill="1" applyBorder="1" applyAlignment="1">
      <alignment vertical="top"/>
    </xf>
    <xf numFmtId="43" fontId="4" fillId="0" borderId="16" xfId="1" applyFont="1" applyFill="1" applyBorder="1" applyAlignment="1">
      <alignment vertical="top"/>
    </xf>
    <xf numFmtId="43" fontId="10" fillId="0" borderId="24" xfId="1" applyFont="1" applyBorder="1" applyAlignment="1">
      <alignment horizontal="left" vertical="top"/>
    </xf>
    <xf numFmtId="0" fontId="0" fillId="0" borderId="0" xfId="0" applyAlignment="1">
      <alignment horizontal="left" vertical="top"/>
    </xf>
    <xf numFmtId="0" fontId="10" fillId="0" borderId="0" xfId="0" applyFont="1"/>
    <xf numFmtId="0" fontId="6" fillId="0" borderId="33" xfId="0" applyFont="1" applyBorder="1"/>
    <xf numFmtId="0" fontId="35" fillId="0" borderId="34" xfId="0" applyFont="1" applyBorder="1" applyAlignment="1">
      <alignment horizontal="center" vertical="center"/>
    </xf>
    <xf numFmtId="0" fontId="35" fillId="0" borderId="34" xfId="0" applyFont="1" applyBorder="1" applyAlignment="1">
      <alignment horizontal="center" vertical="center" wrapText="1"/>
    </xf>
    <xf numFmtId="0" fontId="35" fillId="0" borderId="0" xfId="0" applyFont="1" applyAlignment="1">
      <alignment horizontal="center" vertical="center"/>
    </xf>
    <xf numFmtId="0" fontId="35" fillId="0" borderId="0" xfId="0" applyFont="1" applyAlignment="1">
      <alignment horizontal="center" vertical="center" wrapText="1"/>
    </xf>
    <xf numFmtId="43" fontId="10" fillId="0" borderId="0" xfId="15" applyFont="1" applyAlignment="1"/>
    <xf numFmtId="164" fontId="10" fillId="0" borderId="0" xfId="15" applyNumberFormat="1" applyFont="1" applyAlignment="1"/>
    <xf numFmtId="43" fontId="10" fillId="0" borderId="0" xfId="0" applyNumberFormat="1" applyFont="1"/>
    <xf numFmtId="0" fontId="0" fillId="0" borderId="0" xfId="0" applyAlignment="1">
      <alignment vertical="top"/>
    </xf>
    <xf numFmtId="0" fontId="4" fillId="0" borderId="0" xfId="0" applyFont="1"/>
    <xf numFmtId="164" fontId="15" fillId="0" borderId="0" xfId="15" applyNumberFormat="1" applyFont="1" applyAlignment="1"/>
    <xf numFmtId="0" fontId="20" fillId="0" borderId="0" xfId="0" applyFont="1"/>
    <xf numFmtId="0" fontId="4" fillId="0" borderId="0" xfId="16"/>
    <xf numFmtId="0" fontId="36" fillId="0" borderId="0" xfId="16" applyFont="1"/>
    <xf numFmtId="0" fontId="37" fillId="0" borderId="0" xfId="16" applyFont="1"/>
    <xf numFmtId="0" fontId="4" fillId="0" borderId="35" xfId="16" applyBorder="1"/>
    <xf numFmtId="0" fontId="38" fillId="0" borderId="0" xfId="16" applyFont="1" applyAlignment="1">
      <alignment horizontal="left" vertical="center" wrapText="1"/>
    </xf>
    <xf numFmtId="0" fontId="4" fillId="0" borderId="0" xfId="16" applyAlignment="1">
      <alignment horizontal="left" vertical="top" wrapText="1"/>
    </xf>
    <xf numFmtId="0" fontId="26" fillId="0" borderId="0" xfId="0" applyFont="1" applyAlignment="1">
      <alignment horizontal="left" vertical="top"/>
    </xf>
    <xf numFmtId="0" fontId="4" fillId="0" borderId="0" xfId="16" applyAlignment="1">
      <alignment horizontal="left" vertical="center" wrapText="1"/>
    </xf>
    <xf numFmtId="0" fontId="39" fillId="0" borderId="0" xfId="16" applyFont="1"/>
    <xf numFmtId="0" fontId="38" fillId="0" borderId="0" xfId="16" applyFont="1" applyAlignment="1">
      <alignment wrapText="1"/>
    </xf>
    <xf numFmtId="0" fontId="4" fillId="0" borderId="0" xfId="16" applyAlignment="1">
      <alignment wrapText="1"/>
    </xf>
    <xf numFmtId="17" fontId="6" fillId="0" borderId="0" xfId="16" applyNumberFormat="1" applyFont="1" applyAlignment="1">
      <alignment horizontal="center"/>
    </xf>
    <xf numFmtId="38" fontId="4" fillId="0" borderId="0" xfId="16" applyNumberFormat="1"/>
    <xf numFmtId="164" fontId="10" fillId="0" borderId="0" xfId="15" applyNumberFormat="1" applyFont="1"/>
    <xf numFmtId="10" fontId="4" fillId="0" borderId="0" xfId="16" applyNumberFormat="1"/>
    <xf numFmtId="168" fontId="13" fillId="0" borderId="0" xfId="17" applyNumberFormat="1" applyFont="1" applyFill="1"/>
    <xf numFmtId="0" fontId="13" fillId="0" borderId="0" xfId="16" applyFont="1"/>
    <xf numFmtId="0" fontId="10" fillId="0" borderId="0" xfId="0" applyFont="1" applyAlignment="1">
      <alignment vertical="center" wrapText="1"/>
    </xf>
    <xf numFmtId="3" fontId="10" fillId="0" borderId="0" xfId="0" applyNumberFormat="1" applyFont="1" applyAlignment="1">
      <alignment horizontal="left" vertical="top"/>
    </xf>
    <xf numFmtId="164" fontId="15" fillId="0" borderId="0" xfId="1" applyNumberFormat="1" applyFont="1" applyFill="1" applyBorder="1" applyAlignment="1">
      <alignment horizontal="left" vertical="top" indent="4" shrinkToFit="1"/>
    </xf>
    <xf numFmtId="164" fontId="15" fillId="0" borderId="0" xfId="1" applyNumberFormat="1" applyFont="1" applyFill="1" applyBorder="1" applyAlignment="1">
      <alignment horizontal="right" vertical="top" wrapText="1" indent="1"/>
    </xf>
    <xf numFmtId="164" fontId="10" fillId="0" borderId="0" xfId="1" applyNumberFormat="1" applyFont="1" applyBorder="1" applyAlignment="1">
      <alignment horizontal="left" vertical="top"/>
    </xf>
    <xf numFmtId="43" fontId="10" fillId="0" borderId="0" xfId="1" applyFont="1" applyBorder="1" applyAlignment="1">
      <alignment horizontal="left" vertical="top"/>
    </xf>
    <xf numFmtId="164" fontId="15" fillId="0" borderId="0" xfId="1" applyNumberFormat="1" applyFont="1" applyFill="1" applyBorder="1" applyAlignment="1">
      <alignment horizontal="center" vertical="top" shrinkToFit="1"/>
    </xf>
    <xf numFmtId="164" fontId="15" fillId="0" borderId="0" xfId="1" applyNumberFormat="1" applyFont="1" applyFill="1" applyBorder="1" applyAlignment="1">
      <alignment horizontal="center" vertical="top" wrapText="1"/>
    </xf>
    <xf numFmtId="164" fontId="15" fillId="0" borderId="0" xfId="1" applyNumberFormat="1" applyFont="1" applyBorder="1" applyAlignment="1">
      <alignment horizontal="center" vertical="center" wrapText="1"/>
    </xf>
    <xf numFmtId="164" fontId="10" fillId="0" borderId="0" xfId="1" applyNumberFormat="1" applyFont="1" applyBorder="1" applyAlignment="1">
      <alignment horizontal="center" vertical="top"/>
    </xf>
    <xf numFmtId="0" fontId="19" fillId="0" borderId="0" xfId="0" applyFont="1" applyAlignment="1">
      <alignment vertical="top" wrapText="1"/>
    </xf>
    <xf numFmtId="0" fontId="20" fillId="0" borderId="0" xfId="0" applyFont="1" applyAlignment="1">
      <alignment vertical="top" wrapText="1"/>
    </xf>
    <xf numFmtId="164" fontId="10" fillId="0" borderId="0" xfId="3" applyNumberFormat="1" applyFont="1" applyAlignment="1">
      <alignment horizontal="left" vertical="center" wrapText="1"/>
    </xf>
    <xf numFmtId="165" fontId="17" fillId="0" borderId="0" xfId="1" applyNumberFormat="1" applyFont="1" applyAlignment="1">
      <alignment horizontal="left" vertical="top"/>
    </xf>
    <xf numFmtId="164" fontId="42" fillId="0" borderId="0" xfId="1" applyNumberFormat="1" applyFont="1" applyFill="1" applyBorder="1" applyAlignment="1">
      <alignment horizontal="left" vertical="top" indent="1" shrinkToFit="1"/>
    </xf>
    <xf numFmtId="0" fontId="20" fillId="0" borderId="0" xfId="0" applyFont="1" applyAlignment="1">
      <alignment vertical="center" wrapText="1"/>
    </xf>
    <xf numFmtId="10" fontId="10" fillId="0" borderId="0" xfId="2" applyNumberFormat="1" applyFont="1" applyAlignment="1">
      <alignment horizontal="center"/>
    </xf>
    <xf numFmtId="0" fontId="20" fillId="0" borderId="0" xfId="3" applyFont="1" applyAlignment="1">
      <alignment horizontal="left" wrapText="1"/>
    </xf>
    <xf numFmtId="168" fontId="17" fillId="0" borderId="0" xfId="1" applyNumberFormat="1" applyFont="1" applyAlignment="1">
      <alignment horizontal="center" vertical="center"/>
    </xf>
    <xf numFmtId="10" fontId="17" fillId="0" borderId="0" xfId="2" applyNumberFormat="1" applyFont="1" applyAlignment="1">
      <alignment horizontal="center" vertical="center"/>
    </xf>
    <xf numFmtId="43" fontId="11" fillId="0" borderId="0" xfId="1" applyFont="1" applyAlignment="1">
      <alignment horizontal="left" vertical="top" indent="4" shrinkToFit="1"/>
    </xf>
    <xf numFmtId="10" fontId="5" fillId="8" borderId="0" xfId="2" applyNumberFormat="1" applyFont="1" applyFill="1" applyAlignment="1">
      <alignment horizontal="center" vertical="center"/>
    </xf>
    <xf numFmtId="43" fontId="17" fillId="0" borderId="0" xfId="1" applyFont="1" applyFill="1" applyAlignment="1">
      <alignment horizontal="center" vertical="center"/>
    </xf>
    <xf numFmtId="10" fontId="15" fillId="0" borderId="0" xfId="2" applyNumberFormat="1" applyFont="1" applyFill="1" applyAlignment="1">
      <alignment vertical="center"/>
    </xf>
    <xf numFmtId="43" fontId="15" fillId="0" borderId="0" xfId="1" applyFont="1" applyFill="1" applyAlignment="1">
      <alignment vertical="center"/>
    </xf>
    <xf numFmtId="10" fontId="17" fillId="0" borderId="0" xfId="2" applyNumberFormat="1" applyFont="1" applyFill="1" applyAlignment="1">
      <alignment vertical="center"/>
    </xf>
    <xf numFmtId="43" fontId="17" fillId="0" borderId="0" xfId="1" applyFont="1" applyAlignment="1">
      <alignment horizontal="center"/>
    </xf>
    <xf numFmtId="164" fontId="42" fillId="0" borderId="0" xfId="1" applyNumberFormat="1" applyFont="1" applyFill="1" applyBorder="1" applyAlignment="1">
      <alignment horizontal="center" vertical="top" shrinkToFit="1"/>
    </xf>
    <xf numFmtId="43" fontId="17" fillId="0" borderId="0" xfId="1" applyFont="1" applyFill="1" applyAlignment="1">
      <alignment vertical="center"/>
    </xf>
    <xf numFmtId="0" fontId="19" fillId="0" borderId="0" xfId="3" applyFont="1" applyAlignment="1">
      <alignment horizontal="left" vertical="top" wrapText="1"/>
    </xf>
    <xf numFmtId="0" fontId="44" fillId="0" borderId="0" xfId="0" applyFont="1" applyAlignment="1">
      <alignment horizontal="left" vertical="top"/>
    </xf>
    <xf numFmtId="0" fontId="35" fillId="0" borderId="0" xfId="0" applyFont="1" applyAlignment="1">
      <alignment horizontal="left" vertical="top"/>
    </xf>
    <xf numFmtId="0" fontId="21" fillId="0" borderId="0" xfId="9" applyFont="1" applyAlignment="1">
      <alignment horizontal="centerContinuous"/>
    </xf>
    <xf numFmtId="10" fontId="17" fillId="0" borderId="0" xfId="4" applyNumberFormat="1" applyFont="1" applyAlignment="1">
      <alignment horizontal="center"/>
    </xf>
    <xf numFmtId="10" fontId="17" fillId="3" borderId="0" xfId="2" applyNumberFormat="1" applyFont="1" applyFill="1" applyAlignment="1">
      <alignment horizontal="center"/>
    </xf>
    <xf numFmtId="168" fontId="17" fillId="3" borderId="0" xfId="1" applyNumberFormat="1" applyFont="1" applyFill="1" applyAlignment="1">
      <alignment horizontal="center" vertical="center"/>
    </xf>
    <xf numFmtId="43" fontId="17" fillId="3" borderId="0" xfId="1" applyFont="1" applyFill="1" applyAlignment="1">
      <alignment horizontal="center"/>
    </xf>
    <xf numFmtId="43" fontId="4" fillId="4" borderId="0" xfId="11" applyFont="1" applyFill="1" applyBorder="1" applyAlignment="1">
      <alignment horizontal="center" vertical="top"/>
    </xf>
    <xf numFmtId="10" fontId="16" fillId="0" borderId="0" xfId="5" applyNumberFormat="1" applyFont="1" applyAlignment="1">
      <alignment horizontal="right"/>
    </xf>
    <xf numFmtId="43" fontId="4" fillId="0" borderId="3" xfId="11" applyFont="1" applyFill="1" applyBorder="1" applyAlignment="1">
      <alignment horizontal="center" vertical="top"/>
    </xf>
    <xf numFmtId="43" fontId="4" fillId="0" borderId="8" xfId="11" applyFont="1" applyFill="1" applyBorder="1" applyAlignment="1">
      <alignment horizontal="center" vertical="top"/>
    </xf>
    <xf numFmtId="43" fontId="10" fillId="0" borderId="8" xfId="11" applyFont="1" applyFill="1" applyBorder="1" applyAlignment="1">
      <alignment horizontal="center" vertical="top"/>
    </xf>
    <xf numFmtId="43" fontId="10" fillId="0" borderId="23" xfId="11" applyFont="1" applyFill="1" applyBorder="1" applyAlignment="1">
      <alignment horizontal="center" vertical="top"/>
    </xf>
    <xf numFmtId="43" fontId="4" fillId="0" borderId="4" xfId="11" applyFont="1" applyFill="1" applyBorder="1" applyAlignment="1">
      <alignment horizontal="center" vertical="top"/>
    </xf>
    <xf numFmtId="43" fontId="10" fillId="0" borderId="0" xfId="11" applyFont="1" applyFill="1" applyBorder="1" applyAlignment="1">
      <alignment horizontal="center" vertical="top"/>
    </xf>
    <xf numFmtId="43" fontId="10" fillId="0" borderId="22" xfId="11" applyFont="1" applyFill="1" applyBorder="1" applyAlignment="1">
      <alignment horizontal="center" vertical="top"/>
    </xf>
    <xf numFmtId="10" fontId="16" fillId="0" borderId="16" xfId="5" applyNumberFormat="1" applyFont="1" applyBorder="1" applyAlignment="1">
      <alignment horizontal="right"/>
    </xf>
    <xf numFmtId="43" fontId="4" fillId="0" borderId="5" xfId="11" applyFont="1" applyFill="1" applyBorder="1" applyAlignment="1">
      <alignment horizontal="center" vertical="top"/>
    </xf>
    <xf numFmtId="43" fontId="4" fillId="0" borderId="16" xfId="11" applyFont="1" applyFill="1" applyBorder="1" applyAlignment="1">
      <alignment horizontal="center" vertical="top"/>
    </xf>
    <xf numFmtId="43" fontId="10" fillId="0" borderId="16" xfId="11" applyFont="1" applyFill="1" applyBorder="1" applyAlignment="1">
      <alignment horizontal="center" vertical="top"/>
    </xf>
    <xf numFmtId="43" fontId="10" fillId="0" borderId="24" xfId="11" applyFont="1" applyFill="1" applyBorder="1" applyAlignment="1">
      <alignment horizontal="center" vertical="top"/>
    </xf>
    <xf numFmtId="10" fontId="16" fillId="4" borderId="0" xfId="5" applyNumberFormat="1" applyFont="1" applyFill="1" applyAlignment="1">
      <alignment horizontal="right"/>
    </xf>
    <xf numFmtId="10" fontId="10" fillId="0" borderId="0" xfId="2" applyNumberFormat="1" applyFont="1" applyAlignment="1">
      <alignment vertical="top"/>
    </xf>
    <xf numFmtId="10" fontId="30" fillId="0" borderId="3" xfId="2" applyNumberFormat="1" applyFont="1" applyBorder="1"/>
    <xf numFmtId="10" fontId="4" fillId="0" borderId="0" xfId="2" applyNumberFormat="1" applyFont="1" applyFill="1" applyAlignment="1"/>
    <xf numFmtId="10" fontId="4" fillId="0" borderId="0" xfId="2" applyNumberFormat="1" applyFont="1" applyAlignment="1"/>
    <xf numFmtId="10" fontId="4" fillId="4" borderId="0" xfId="2" applyNumberFormat="1" applyFont="1" applyFill="1" applyAlignment="1"/>
    <xf numFmtId="166" fontId="10" fillId="3" borderId="0" xfId="7" applyNumberFormat="1" applyFont="1" applyFill="1" applyAlignment="1">
      <alignment horizontal="center"/>
    </xf>
    <xf numFmtId="10" fontId="17" fillId="4" borderId="22" xfId="5" applyNumberFormat="1" applyFont="1" applyFill="1" applyBorder="1" applyAlignment="1">
      <alignment horizontal="right" vertical="top"/>
    </xf>
    <xf numFmtId="164" fontId="4" fillId="4" borderId="0" xfId="12" applyNumberFormat="1" applyFont="1" applyFill="1" applyBorder="1" applyAlignment="1">
      <alignment vertical="top"/>
    </xf>
    <xf numFmtId="9" fontId="16" fillId="4" borderId="22" xfId="5" applyNumberFormat="1" applyFont="1" applyFill="1" applyBorder="1"/>
    <xf numFmtId="164" fontId="6" fillId="0" borderId="8" xfId="12" applyNumberFormat="1" applyFont="1" applyBorder="1"/>
    <xf numFmtId="0" fontId="6" fillId="0" borderId="0" xfId="6" applyFont="1"/>
    <xf numFmtId="166" fontId="16" fillId="4" borderId="22" xfId="5" applyNumberFormat="1" applyFont="1" applyFill="1" applyBorder="1"/>
    <xf numFmtId="164" fontId="6" fillId="0" borderId="0" xfId="12" applyNumberFormat="1" applyFont="1" applyBorder="1"/>
    <xf numFmtId="10" fontId="6" fillId="0" borderId="0" xfId="2" applyNumberFormat="1" applyFont="1" applyBorder="1"/>
    <xf numFmtId="43" fontId="6" fillId="0" borderId="0" xfId="1" applyFont="1" applyBorder="1"/>
    <xf numFmtId="169" fontId="15" fillId="0" borderId="0" xfId="1" applyNumberFormat="1" applyFont="1" applyFill="1" applyAlignment="1">
      <alignment vertical="center"/>
    </xf>
    <xf numFmtId="169" fontId="17" fillId="0" borderId="0" xfId="1" applyNumberFormat="1" applyFont="1" applyFill="1" applyAlignment="1">
      <alignment horizontal="center" vertical="center"/>
    </xf>
    <xf numFmtId="43" fontId="16" fillId="4" borderId="22" xfId="1" applyFont="1" applyFill="1" applyBorder="1"/>
    <xf numFmtId="43" fontId="10" fillId="0" borderId="0" xfId="1" applyFont="1" applyAlignment="1">
      <alignment vertical="top"/>
    </xf>
    <xf numFmtId="43" fontId="17" fillId="0" borderId="0" xfId="10" applyNumberFormat="1" applyFont="1" applyAlignment="1">
      <alignment horizontal="center" vertical="top"/>
    </xf>
    <xf numFmtId="43" fontId="17" fillId="0" borderId="0" xfId="10" applyNumberFormat="1" applyFont="1" applyFill="1" applyAlignment="1">
      <alignment horizontal="center" vertical="top"/>
    </xf>
    <xf numFmtId="43" fontId="17" fillId="4" borderId="0" xfId="10" applyNumberFormat="1" applyFont="1" applyFill="1" applyAlignment="1">
      <alignment horizontal="center" vertical="top"/>
    </xf>
    <xf numFmtId="43" fontId="10" fillId="0" borderId="0" xfId="10" applyNumberFormat="1" applyFont="1" applyAlignment="1">
      <alignment horizontal="center" vertical="top"/>
    </xf>
    <xf numFmtId="0" fontId="4" fillId="9" borderId="0" xfId="16" applyFill="1"/>
    <xf numFmtId="0" fontId="38" fillId="9" borderId="0" xfId="16" applyFont="1" applyFill="1" applyAlignment="1">
      <alignment wrapText="1"/>
    </xf>
    <xf numFmtId="0" fontId="46" fillId="9" borderId="0" xfId="16" applyFont="1" applyFill="1"/>
    <xf numFmtId="0" fontId="3" fillId="9" borderId="0" xfId="16" applyFont="1" applyFill="1"/>
    <xf numFmtId="0" fontId="6" fillId="9" borderId="0" xfId="16" applyFont="1" applyFill="1"/>
    <xf numFmtId="10" fontId="6" fillId="9" borderId="0" xfId="17" applyNumberFormat="1" applyFont="1" applyFill="1"/>
    <xf numFmtId="0" fontId="13" fillId="9" borderId="0" xfId="16" applyFont="1" applyFill="1"/>
    <xf numFmtId="168" fontId="13" fillId="9" borderId="0" xfId="17" applyNumberFormat="1" applyFont="1" applyFill="1"/>
    <xf numFmtId="168" fontId="6" fillId="9" borderId="0" xfId="17" applyNumberFormat="1" applyFont="1" applyFill="1"/>
    <xf numFmtId="10" fontId="13" fillId="9" borderId="0" xfId="17" applyNumberFormat="1" applyFont="1" applyFill="1"/>
    <xf numFmtId="0" fontId="3" fillId="0" borderId="0" xfId="0" applyFont="1"/>
    <xf numFmtId="0" fontId="16" fillId="0" borderId="0" xfId="0" applyFont="1"/>
    <xf numFmtId="0" fontId="16" fillId="0" borderId="0" xfId="0" applyFont="1" applyAlignment="1">
      <alignment vertical="top"/>
    </xf>
    <xf numFmtId="43" fontId="16" fillId="0" borderId="0" xfId="15" applyFont="1" applyAlignment="1"/>
    <xf numFmtId="164" fontId="16" fillId="0" borderId="0" xfId="15" applyNumberFormat="1" applyFont="1" applyAlignment="1"/>
    <xf numFmtId="0" fontId="16" fillId="9" borderId="0" xfId="0" applyFont="1" applyFill="1" applyAlignment="1">
      <alignment vertical="top"/>
    </xf>
    <xf numFmtId="43" fontId="16" fillId="9" borderId="0" xfId="15" applyFont="1" applyFill="1" applyAlignment="1"/>
    <xf numFmtId="0" fontId="15" fillId="0" borderId="35" xfId="16" applyFont="1" applyBorder="1"/>
    <xf numFmtId="0" fontId="49" fillId="9" borderId="0" xfId="16" applyFont="1" applyFill="1"/>
    <xf numFmtId="0" fontId="15" fillId="9" borderId="0" xfId="16" applyFont="1" applyFill="1"/>
    <xf numFmtId="0" fontId="50" fillId="9" borderId="0" xfId="16" applyFont="1" applyFill="1"/>
    <xf numFmtId="0" fontId="49" fillId="0" borderId="0" xfId="16" applyFont="1"/>
    <xf numFmtId="0" fontId="3" fillId="0" borderId="0" xfId="16" applyFont="1"/>
    <xf numFmtId="0" fontId="6" fillId="0" borderId="0" xfId="16" applyFont="1"/>
    <xf numFmtId="168" fontId="4" fillId="0" borderId="0" xfId="16" applyNumberFormat="1"/>
    <xf numFmtId="0" fontId="52" fillId="9" borderId="0" xfId="16" applyFont="1" applyFill="1"/>
    <xf numFmtId="1" fontId="13" fillId="9" borderId="0" xfId="1" applyNumberFormat="1" applyFont="1" applyFill="1" applyAlignment="1">
      <alignment horizontal="center"/>
    </xf>
    <xf numFmtId="0" fontId="53" fillId="2" borderId="0" xfId="0" applyFont="1" applyFill="1" applyAlignment="1">
      <alignment vertical="center" wrapText="1"/>
    </xf>
    <xf numFmtId="0" fontId="19" fillId="0" borderId="0" xfId="0" applyFont="1" applyAlignment="1">
      <alignment horizontal="left" vertical="top"/>
    </xf>
    <xf numFmtId="0" fontId="45" fillId="0" borderId="0" xfId="16" applyFont="1" applyAlignment="1">
      <alignment horizontal="center"/>
    </xf>
    <xf numFmtId="0" fontId="55" fillId="0" borderId="0" xfId="16" applyFont="1"/>
    <xf numFmtId="1" fontId="4" fillId="0" borderId="0" xfId="16" applyNumberFormat="1"/>
    <xf numFmtId="0" fontId="51" fillId="9" borderId="0" xfId="16" applyFont="1" applyFill="1"/>
    <xf numFmtId="0" fontId="51" fillId="0" borderId="0" xfId="16" applyFont="1"/>
    <xf numFmtId="0" fontId="2" fillId="0" borderId="0" xfId="18"/>
    <xf numFmtId="0" fontId="13" fillId="10" borderId="0" xfId="18" applyFont="1" applyFill="1"/>
    <xf numFmtId="0" fontId="15" fillId="10" borderId="0" xfId="18" applyFont="1" applyFill="1"/>
    <xf numFmtId="0" fontId="56" fillId="0" borderId="0" xfId="18" applyFont="1"/>
    <xf numFmtId="0" fontId="38" fillId="0" borderId="0" xfId="18" applyFont="1"/>
    <xf numFmtId="10" fontId="19" fillId="0" borderId="0" xfId="20" applyNumberFormat="1" applyFont="1"/>
    <xf numFmtId="10" fontId="19" fillId="0" borderId="0" xfId="20" applyNumberFormat="1" applyFont="1" applyAlignment="1">
      <alignment horizontal="center"/>
    </xf>
    <xf numFmtId="10" fontId="38" fillId="0" borderId="0" xfId="20" applyNumberFormat="1" applyFont="1"/>
    <xf numFmtId="10" fontId="38" fillId="0" borderId="0" xfId="18" applyNumberFormat="1" applyFont="1"/>
    <xf numFmtId="43" fontId="2" fillId="0" borderId="0" xfId="18" applyNumberFormat="1"/>
    <xf numFmtId="10" fontId="2" fillId="0" borderId="0" xfId="18" applyNumberFormat="1"/>
    <xf numFmtId="164" fontId="10" fillId="0" borderId="0" xfId="19" applyNumberFormat="1" applyFont="1"/>
    <xf numFmtId="0" fontId="38" fillId="0" borderId="0" xfId="18" applyFont="1" applyAlignment="1">
      <alignment vertical="center" wrapText="1"/>
    </xf>
    <xf numFmtId="10" fontId="58" fillId="3" borderId="0" xfId="2" applyNumberFormat="1" applyFont="1" applyFill="1" applyAlignment="1">
      <alignment horizontal="center"/>
    </xf>
    <xf numFmtId="0" fontId="20" fillId="0" borderId="0" xfId="16" applyFont="1" applyAlignment="1">
      <alignment horizontal="center"/>
    </xf>
    <xf numFmtId="0" fontId="60" fillId="0" borderId="0" xfId="0" applyFont="1"/>
    <xf numFmtId="0" fontId="57" fillId="0" borderId="0" xfId="3" applyFont="1" applyAlignment="1">
      <alignment horizontal="center"/>
    </xf>
    <xf numFmtId="0" fontId="61" fillId="0" borderId="0" xfId="3" applyFont="1" applyAlignment="1">
      <alignment horizontal="center"/>
    </xf>
    <xf numFmtId="0" fontId="62" fillId="0" borderId="0" xfId="16" applyFont="1" applyAlignment="1">
      <alignment horizontal="left" vertical="center" wrapText="1"/>
    </xf>
    <xf numFmtId="0" fontId="19" fillId="0" borderId="0" xfId="18" applyFont="1" applyAlignment="1">
      <alignment vertical="center" wrapText="1"/>
    </xf>
    <xf numFmtId="9" fontId="19" fillId="0" borderId="0" xfId="3" applyNumberFormat="1" applyFont="1" applyAlignment="1">
      <alignment horizontal="left" wrapText="1"/>
    </xf>
    <xf numFmtId="0" fontId="64" fillId="2" borderId="0" xfId="3" applyFont="1" applyFill="1" applyAlignment="1">
      <alignment horizontal="left" wrapText="1"/>
    </xf>
    <xf numFmtId="0" fontId="65" fillId="0" borderId="0" xfId="16" applyFont="1" applyAlignment="1">
      <alignment horizontal="center"/>
    </xf>
    <xf numFmtId="167" fontId="17" fillId="3" borderId="0" xfId="2" applyNumberFormat="1" applyFont="1" applyFill="1" applyAlignment="1">
      <alignment horizontal="center"/>
    </xf>
    <xf numFmtId="164" fontId="4" fillId="0" borderId="0" xfId="12" applyNumberFormat="1" applyFont="1" applyFill="1" applyBorder="1" applyAlignment="1"/>
    <xf numFmtId="164" fontId="30" fillId="0" borderId="0" xfId="5" applyNumberFormat="1" applyFont="1"/>
    <xf numFmtId="10" fontId="16" fillId="0" borderId="0" xfId="5" applyNumberFormat="1" applyFont="1"/>
    <xf numFmtId="166" fontId="16" fillId="0" borderId="0" xfId="5" applyNumberFormat="1" applyFont="1"/>
    <xf numFmtId="0" fontId="1" fillId="0" borderId="0" xfId="6" applyFont="1"/>
    <xf numFmtId="168" fontId="66" fillId="0" borderId="0" xfId="6" applyNumberFormat="1" applyFont="1" applyAlignment="1">
      <alignment horizontal="left" vertical="top"/>
    </xf>
    <xf numFmtId="164" fontId="66" fillId="0" borderId="0" xfId="5" applyNumberFormat="1" applyFont="1"/>
    <xf numFmtId="164" fontId="66" fillId="0" borderId="8" xfId="5" applyNumberFormat="1" applyFont="1" applyBorder="1"/>
    <xf numFmtId="168" fontId="17" fillId="0" borderId="0" xfId="1" applyNumberFormat="1" applyFont="1" applyFill="1" applyAlignment="1">
      <alignment horizontal="center" vertical="center"/>
    </xf>
    <xf numFmtId="168" fontId="17" fillId="4" borderId="0" xfId="1" applyNumberFormat="1" applyFont="1" applyFill="1" applyAlignment="1">
      <alignment horizontal="center" vertical="center"/>
    </xf>
    <xf numFmtId="0" fontId="67" fillId="0" borderId="0" xfId="0" applyFont="1"/>
    <xf numFmtId="0" fontId="68" fillId="0" borderId="0" xfId="21" applyFont="1"/>
    <xf numFmtId="0" fontId="24" fillId="2" borderId="0" xfId="3" applyFont="1" applyFill="1" applyAlignment="1">
      <alignment horizontal="center"/>
    </xf>
    <xf numFmtId="0" fontId="69" fillId="2" borderId="0" xfId="0" applyFont="1" applyFill="1"/>
    <xf numFmtId="0" fontId="8" fillId="2" borderId="0" xfId="3" applyFont="1" applyFill="1" applyAlignment="1">
      <alignment horizontal="left" vertical="center" wrapText="1"/>
    </xf>
    <xf numFmtId="0" fontId="19" fillId="0" borderId="0" xfId="0" applyFont="1" applyAlignment="1">
      <alignment vertical="top" wrapText="1"/>
    </xf>
    <xf numFmtId="0" fontId="19" fillId="0" borderId="0" xfId="0" applyFont="1" applyAlignment="1">
      <alignment vertical="center" wrapText="1"/>
    </xf>
    <xf numFmtId="0" fontId="19" fillId="0" borderId="9" xfId="3" applyFont="1" applyBorder="1" applyAlignment="1">
      <alignment horizontal="left" wrapText="1"/>
    </xf>
    <xf numFmtId="0" fontId="19" fillId="0" borderId="7" xfId="3" applyFont="1" applyBorder="1" applyAlignment="1">
      <alignment horizontal="left" wrapText="1"/>
    </xf>
    <xf numFmtId="0" fontId="19" fillId="0" borderId="10" xfId="3" applyFont="1" applyBorder="1" applyAlignment="1">
      <alignment horizontal="left" wrapText="1"/>
    </xf>
    <xf numFmtId="0" fontId="19" fillId="0" borderId="13" xfId="3" applyFont="1" applyBorder="1" applyAlignment="1">
      <alignment horizontal="left" wrapText="1"/>
    </xf>
    <xf numFmtId="0" fontId="19" fillId="0" borderId="14" xfId="3" applyFont="1" applyBorder="1" applyAlignment="1">
      <alignment horizontal="left" wrapText="1"/>
    </xf>
    <xf numFmtId="0" fontId="19" fillId="0" borderId="15" xfId="3" applyFont="1" applyBorder="1" applyAlignment="1">
      <alignment horizontal="left" wrapText="1"/>
    </xf>
    <xf numFmtId="0" fontId="19" fillId="0" borderId="11" xfId="3" applyFont="1" applyBorder="1" applyAlignment="1">
      <alignment horizontal="left" wrapText="1"/>
    </xf>
    <xf numFmtId="0" fontId="19" fillId="0" borderId="0" xfId="3" applyFont="1" applyAlignment="1">
      <alignment horizontal="left" wrapText="1"/>
    </xf>
    <xf numFmtId="0" fontId="19" fillId="0" borderId="12" xfId="3" applyFont="1" applyBorder="1" applyAlignment="1">
      <alignment horizontal="left" wrapText="1"/>
    </xf>
    <xf numFmtId="0" fontId="19" fillId="0" borderId="0" xfId="3" applyFont="1" applyAlignment="1">
      <alignment horizontal="left" vertical="top" wrapText="1"/>
    </xf>
    <xf numFmtId="0" fontId="5" fillId="2" borderId="0" xfId="3" applyFont="1" applyFill="1" applyAlignment="1">
      <alignment horizontal="center"/>
    </xf>
    <xf numFmtId="0" fontId="5" fillId="2" borderId="0" xfId="9" applyFont="1" applyFill="1" applyAlignment="1">
      <alignment horizontal="center"/>
    </xf>
    <xf numFmtId="0" fontId="5" fillId="2" borderId="0" xfId="9" applyFont="1" applyFill="1" applyAlignment="1">
      <alignment horizontal="center" vertical="center"/>
    </xf>
    <xf numFmtId="0" fontId="19" fillId="0" borderId="0" xfId="9" applyFont="1" applyAlignment="1">
      <alignment horizontal="left" vertical="center" wrapText="1"/>
    </xf>
    <xf numFmtId="0" fontId="19" fillId="0" borderId="0" xfId="0" applyFont="1" applyAlignment="1">
      <alignment horizontal="left" vertical="center" wrapText="1"/>
    </xf>
    <xf numFmtId="0" fontId="19" fillId="0" borderId="0" xfId="6" applyFont="1" applyAlignment="1">
      <alignment horizontal="left" vertical="top" wrapText="1"/>
    </xf>
    <xf numFmtId="0" fontId="24" fillId="2" borderId="0" xfId="9" applyFont="1" applyFill="1" applyAlignment="1">
      <alignment horizontal="center"/>
    </xf>
    <xf numFmtId="0" fontId="5" fillId="2" borderId="0" xfId="5" applyFont="1" applyFill="1"/>
    <xf numFmtId="0" fontId="29" fillId="0" borderId="19" xfId="5" applyFont="1" applyBorder="1" applyAlignment="1">
      <alignment wrapText="1"/>
    </xf>
    <xf numFmtId="0" fontId="29" fillId="0" borderId="20" xfId="5" applyFont="1" applyBorder="1" applyAlignment="1">
      <alignment wrapText="1"/>
    </xf>
    <xf numFmtId="0" fontId="29" fillId="0" borderId="21" xfId="5" applyFont="1" applyBorder="1" applyAlignment="1">
      <alignment wrapText="1"/>
    </xf>
    <xf numFmtId="0" fontId="5" fillId="2" borderId="0" xfId="5" applyFont="1" applyFill="1" applyAlignment="1">
      <alignment horizontal="center"/>
    </xf>
    <xf numFmtId="0" fontId="5" fillId="2" borderId="8" xfId="5" applyFont="1" applyFill="1" applyBorder="1" applyAlignment="1">
      <alignment horizontal="center"/>
    </xf>
    <xf numFmtId="0" fontId="5" fillId="2" borderId="23" xfId="5" applyFont="1" applyFill="1" applyBorder="1" applyAlignment="1">
      <alignment horizontal="center"/>
    </xf>
    <xf numFmtId="0" fontId="5" fillId="2" borderId="0" xfId="6" applyFont="1" applyFill="1"/>
    <xf numFmtId="0" fontId="19" fillId="0" borderId="27" xfId="6" applyFont="1" applyBorder="1" applyAlignment="1">
      <alignment horizontal="left" vertical="center" wrapText="1"/>
    </xf>
    <xf numFmtId="0" fontId="19" fillId="0" borderId="25" xfId="6" applyFont="1" applyBorder="1" applyAlignment="1">
      <alignment horizontal="left" vertical="center" wrapText="1"/>
    </xf>
    <xf numFmtId="0" fontId="19" fillId="0" borderId="28" xfId="6" applyFont="1" applyBorder="1" applyAlignment="1">
      <alignment horizontal="left" vertical="center" wrapText="1"/>
    </xf>
    <xf numFmtId="0" fontId="19" fillId="0" borderId="29" xfId="6" applyFont="1" applyBorder="1" applyAlignment="1">
      <alignment horizontal="left" vertical="center" wrapText="1"/>
    </xf>
    <xf numFmtId="0" fontId="19" fillId="0" borderId="0" xfId="6" applyFont="1" applyAlignment="1">
      <alignment horizontal="left" vertical="center" wrapText="1"/>
    </xf>
    <xf numFmtId="0" fontId="19" fillId="0" borderId="30" xfId="6" applyFont="1" applyBorder="1" applyAlignment="1">
      <alignment horizontal="left" vertical="center" wrapText="1"/>
    </xf>
    <xf numFmtId="0" fontId="19" fillId="0" borderId="31" xfId="6" applyFont="1" applyBorder="1" applyAlignment="1">
      <alignment horizontal="left" vertical="center" wrapText="1"/>
    </xf>
    <xf numFmtId="0" fontId="19" fillId="0" borderId="18" xfId="6" applyFont="1" applyBorder="1" applyAlignment="1">
      <alignment horizontal="left" vertical="center" wrapText="1"/>
    </xf>
    <xf numFmtId="0" fontId="19" fillId="0" borderId="32" xfId="6" applyFont="1" applyBorder="1" applyAlignment="1">
      <alignment horizontal="left" vertical="center" wrapText="1"/>
    </xf>
    <xf numFmtId="0" fontId="6" fillId="0" borderId="27" xfId="0" applyFont="1" applyBorder="1" applyAlignment="1">
      <alignment horizontal="center"/>
    </xf>
    <xf numFmtId="0" fontId="6" fillId="0" borderId="25" xfId="0" applyFont="1" applyBorder="1" applyAlignment="1">
      <alignment horizontal="center"/>
    </xf>
    <xf numFmtId="0" fontId="6" fillId="0" borderId="28" xfId="0" applyFont="1" applyBorder="1" applyAlignment="1">
      <alignment horizontal="center"/>
    </xf>
    <xf numFmtId="0" fontId="48" fillId="9" borderId="0" xfId="16" applyFont="1" applyFill="1"/>
    <xf numFmtId="0" fontId="36" fillId="9" borderId="0" xfId="16" applyFont="1" applyFill="1"/>
    <xf numFmtId="0" fontId="38" fillId="0" borderId="0" xfId="16" applyFont="1" applyAlignment="1">
      <alignment horizontal="left" vertical="center" wrapText="1"/>
    </xf>
    <xf numFmtId="0" fontId="38" fillId="0" borderId="0" xfId="16" applyFont="1" applyAlignment="1">
      <alignment wrapText="1"/>
    </xf>
    <xf numFmtId="0" fontId="6" fillId="9" borderId="0" xfId="16" applyFont="1" applyFill="1" applyAlignment="1">
      <alignment horizontal="center"/>
    </xf>
    <xf numFmtId="0" fontId="47" fillId="9" borderId="0" xfId="16" applyFont="1" applyFill="1"/>
    <xf numFmtId="0" fontId="50" fillId="9" borderId="0" xfId="16" applyFont="1" applyFill="1"/>
    <xf numFmtId="0" fontId="27" fillId="0" borderId="0" xfId="0" applyFont="1" applyAlignment="1">
      <alignment horizontal="left" vertical="center" wrapText="1"/>
    </xf>
    <xf numFmtId="0" fontId="57" fillId="10" borderId="0" xfId="3" applyFont="1" applyFill="1" applyAlignment="1">
      <alignment horizontal="center"/>
    </xf>
    <xf numFmtId="0" fontId="38" fillId="0" borderId="0" xfId="18" applyFont="1" applyAlignment="1">
      <alignment vertical="center" wrapText="1"/>
    </xf>
    <xf numFmtId="0" fontId="19" fillId="0" borderId="0" xfId="3" applyFont="1" applyAlignment="1">
      <alignment horizontal="left" vertical="center" wrapText="1"/>
    </xf>
    <xf numFmtId="0" fontId="27" fillId="0" borderId="0" xfId="0" applyFont="1" applyAlignment="1">
      <alignment vertical="center" wrapText="1"/>
    </xf>
    <xf numFmtId="0" fontId="51" fillId="9" borderId="0" xfId="16" applyFont="1" applyFill="1" applyAlignment="1">
      <alignment horizontal="center"/>
    </xf>
    <xf numFmtId="0" fontId="49" fillId="9" borderId="0" xfId="16" applyFont="1" applyFill="1" applyAlignment="1">
      <alignment horizontal="center"/>
    </xf>
    <xf numFmtId="0" fontId="38" fillId="0" borderId="27" xfId="16" applyFont="1" applyBorder="1" applyAlignment="1">
      <alignment horizontal="left" vertical="center" wrapText="1"/>
    </xf>
    <xf numFmtId="0" fontId="38" fillId="0" borderId="25" xfId="16" applyFont="1" applyBorder="1" applyAlignment="1">
      <alignment horizontal="left" vertical="center" wrapText="1"/>
    </xf>
    <xf numFmtId="0" fontId="38" fillId="0" borderId="28" xfId="16" applyFont="1" applyBorder="1" applyAlignment="1">
      <alignment horizontal="left" vertical="center" wrapText="1"/>
    </xf>
    <xf numFmtId="0" fontId="38" fillId="0" borderId="29" xfId="16" applyFont="1" applyBorder="1" applyAlignment="1">
      <alignment horizontal="left" vertical="center" wrapText="1"/>
    </xf>
    <xf numFmtId="0" fontId="38" fillId="0" borderId="30" xfId="16" applyFont="1" applyBorder="1" applyAlignment="1">
      <alignment horizontal="left" vertical="center" wrapText="1"/>
    </xf>
    <xf numFmtId="0" fontId="38" fillId="0" borderId="31" xfId="16" applyFont="1" applyBorder="1" applyAlignment="1">
      <alignment horizontal="left" vertical="center" wrapText="1"/>
    </xf>
    <xf numFmtId="0" fontId="38" fillId="0" borderId="18" xfId="16" applyFont="1" applyBorder="1" applyAlignment="1">
      <alignment horizontal="left" vertical="center" wrapText="1"/>
    </xf>
    <xf numFmtId="0" fontId="38" fillId="0" borderId="32" xfId="16" applyFont="1" applyBorder="1" applyAlignment="1">
      <alignment horizontal="left" vertical="center" wrapText="1"/>
    </xf>
    <xf numFmtId="0" fontId="13" fillId="9" borderId="0" xfId="16" applyFont="1" applyFill="1" applyAlignment="1">
      <alignment horizontal="center"/>
    </xf>
    <xf numFmtId="0" fontId="54" fillId="9" borderId="0" xfId="16" applyFont="1" applyFill="1"/>
    <xf numFmtId="0" fontId="65" fillId="2" borderId="0" xfId="16" applyFont="1" applyFill="1" applyAlignment="1">
      <alignment horizontal="center"/>
    </xf>
    <xf numFmtId="0" fontId="19" fillId="0" borderId="0" xfId="18" applyFont="1" applyAlignment="1">
      <alignment vertical="center" wrapText="1"/>
    </xf>
    <xf numFmtId="0" fontId="63" fillId="2" borderId="0" xfId="0" applyFont="1" applyFill="1"/>
  </cellXfs>
  <cellStyles count="22">
    <cellStyle name="Comma" xfId="1" builtinId="3"/>
    <cellStyle name="Comma 2" xfId="4" xr:uid="{F994DA78-18E2-44FE-8F5D-4F7C4F07C631}"/>
    <cellStyle name="Comma 2 2" xfId="12" xr:uid="{F36FCBA3-4080-46F3-99CC-49A6DE4B8EF9}"/>
    <cellStyle name="Comma 3" xfId="13" xr:uid="{7BBD1F9F-261B-4C9E-8CC8-794F7829E9A6}"/>
    <cellStyle name="Comma 4" xfId="11" xr:uid="{3AEDB91A-C0DD-49C6-9680-692E177D7F35}"/>
    <cellStyle name="Comma 5" xfId="15" xr:uid="{F9A34E9E-3415-4B9F-ACB1-FC48B39E45AA}"/>
    <cellStyle name="Comma 6" xfId="19" xr:uid="{EEC9B4AF-30BD-4089-97FE-FF5B93639F70}"/>
    <cellStyle name="Hyperlink" xfId="21" builtinId="8"/>
    <cellStyle name="Normal" xfId="0" builtinId="0"/>
    <cellStyle name="Normal 2" xfId="3" xr:uid="{4E42640B-7A55-4635-A0D0-EAABCB269353}"/>
    <cellStyle name="Normal 2 2" xfId="6" xr:uid="{CF865460-1716-4181-AF86-0B44C4B237A9}"/>
    <cellStyle name="Normal 3" xfId="5" xr:uid="{A059FB93-34C9-403C-92D8-807AA3F340BB}"/>
    <cellStyle name="Normal 4" xfId="9" xr:uid="{A41B12C9-F59A-4E3C-8051-AE356B5D96EF}"/>
    <cellStyle name="Normal 5" xfId="14" xr:uid="{74C04E52-A71A-4268-A474-05DA8029F439}"/>
    <cellStyle name="Normal 6" xfId="16" xr:uid="{915D0E1B-BC0E-4FE9-BCAD-F7FF1CABEFAA}"/>
    <cellStyle name="Normal 7" xfId="18" xr:uid="{5F197A42-91C1-4F37-95B0-1E18B91F1094}"/>
    <cellStyle name="Percent" xfId="2" builtinId="5"/>
    <cellStyle name="Percent 2" xfId="7" xr:uid="{9AD58D00-4062-4C19-95A2-2BCFB72EDFB5}"/>
    <cellStyle name="Percent 3" xfId="8" xr:uid="{B9AF0C26-5488-4618-8B63-752DE30B0623}"/>
    <cellStyle name="Percent 4" xfId="10" xr:uid="{F47FDA97-D565-4DE3-AD33-0EC66F33A657}"/>
    <cellStyle name="Percent 5" xfId="17" xr:uid="{3A163E5B-13CE-4926-B001-05F5418FFE16}"/>
    <cellStyle name="Percent 6" xfId="20" xr:uid="{A5552CCA-732D-43BB-98B8-AB36EEBCC5E4}"/>
  </cellStyles>
  <dxfs count="0"/>
  <tableStyles count="0" defaultTableStyle="TableStyleMedium2" defaultPivotStyle="PivotStyleLight16"/>
  <colors>
    <mruColors>
      <color rgb="FFDADDE2"/>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Forecasting using Linear Regression</a:t>
            </a: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'Forecasting-Sales'!$C$5:$C$16</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'Forecasting-Sales'!$D$5:$D$16</c:f>
              <c:numCache>
                <c:formatCode>_(* #,##0.00_);_(* \(#,##0.00\);_(* "-"??_);_(@_)</c:formatCode>
                <c:ptCount val="12"/>
                <c:pt idx="0">
                  <c:v>30090888.452</c:v>
                </c:pt>
                <c:pt idx="1">
                  <c:v>33218273</c:v>
                </c:pt>
                <c:pt idx="2">
                  <c:v>37307760</c:v>
                </c:pt>
                <c:pt idx="3">
                  <c:v>55260699</c:v>
                </c:pt>
                <c:pt idx="4">
                  <c:v>88905796</c:v>
                </c:pt>
                <c:pt idx="5">
                  <c:v>108887024</c:v>
                </c:pt>
                <c:pt idx="6">
                  <c:v>133387440.14666668</c:v>
                </c:pt>
                <c:pt idx="7">
                  <c:v>149930188.31066668</c:v>
                </c:pt>
                <c:pt idx="8">
                  <c:v>166472936.47466668</c:v>
                </c:pt>
                <c:pt idx="9">
                  <c:v>183015684.63866669</c:v>
                </c:pt>
                <c:pt idx="10">
                  <c:v>199558432.80266666</c:v>
                </c:pt>
                <c:pt idx="11">
                  <c:v>216101180.96666667</c:v>
                </c:pt>
              </c:numCache>
            </c:numRef>
          </c:val>
          <c:smooth val="0"/>
          <c:extLst>
            <c:ext xmlns:c16="http://schemas.microsoft.com/office/drawing/2014/chart" uri="{C3380CC4-5D6E-409C-BE32-E72D297353CC}">
              <c16:uniqueId val="{00000000-ACE8-4667-B1A7-5D45B4CB9CA1}"/>
            </c:ext>
          </c:extLst>
        </c:ser>
        <c:dLbls>
          <c:showLegendKey val="0"/>
          <c:showVal val="0"/>
          <c:showCatName val="0"/>
          <c:showSerName val="0"/>
          <c:showPercent val="0"/>
          <c:showBubbleSize val="0"/>
        </c:dLbls>
        <c:marker val="1"/>
        <c:smooth val="0"/>
        <c:axId val="304897343"/>
        <c:axId val="304897823"/>
      </c:lineChart>
      <c:catAx>
        <c:axId val="30489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04897823"/>
        <c:crosses val="autoZero"/>
        <c:auto val="1"/>
        <c:lblAlgn val="ctr"/>
        <c:lblOffset val="100"/>
        <c:noMultiLvlLbl val="0"/>
      </c:catAx>
      <c:valAx>
        <c:axId val="30489782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048973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a:solidFill>
                  <a:schemeClr val="bg1"/>
                </a:solidFill>
              </a:rPr>
              <a:t>Forecasting using Simple Exponential</a:t>
            </a:r>
            <a:r>
              <a:rPr lang="en-US" sz="1200" b="1" baseline="0">
                <a:solidFill>
                  <a:schemeClr val="bg1"/>
                </a:solidFill>
              </a:rPr>
              <a:t> Smoothing Method</a:t>
            </a:r>
            <a:endParaRPr lang="en-US" sz="1200"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'Forecasting-Sales'!$Q$5:$Q$16</c:f>
              <c:numCache>
                <c:formatCode>General</c:formatCode>
                <c:ptCount val="12"/>
                <c:pt idx="0">
                  <c:v>2019</c:v>
                </c:pt>
                <c:pt idx="1">
                  <c:v>2020</c:v>
                </c:pt>
                <c:pt idx="2">
                  <c:v>2021</c:v>
                </c:pt>
                <c:pt idx="3">
                  <c:v>2022</c:v>
                </c:pt>
                <c:pt idx="4">
                  <c:v>2023</c:v>
                </c:pt>
                <c:pt idx="5">
                  <c:v>2024</c:v>
                </c:pt>
                <c:pt idx="6">
                  <c:v>2025</c:v>
                </c:pt>
                <c:pt idx="7">
                  <c:v>2026</c:v>
                </c:pt>
                <c:pt idx="8">
                  <c:v>2027</c:v>
                </c:pt>
                <c:pt idx="9">
                  <c:v>2028</c:v>
                </c:pt>
                <c:pt idx="10">
                  <c:v>2029</c:v>
                </c:pt>
                <c:pt idx="11">
                  <c:v>2030</c:v>
                </c:pt>
              </c:numCache>
            </c:numRef>
          </c:cat>
          <c:val>
            <c:numRef>
              <c:f>'Forecasting-Sales'!$R$5:$R$16</c:f>
              <c:numCache>
                <c:formatCode>_(* #,##0.00_);_(* \(#,##0.00\);_(* "-"??_);_(@_)</c:formatCode>
                <c:ptCount val="12"/>
                <c:pt idx="0">
                  <c:v>30090888.452</c:v>
                </c:pt>
                <c:pt idx="1">
                  <c:v>33218273</c:v>
                </c:pt>
                <c:pt idx="2">
                  <c:v>37307760</c:v>
                </c:pt>
                <c:pt idx="3">
                  <c:v>55260699</c:v>
                </c:pt>
                <c:pt idx="4">
                  <c:v>88905796</c:v>
                </c:pt>
                <c:pt idx="5">
                  <c:v>108887024</c:v>
                </c:pt>
                <c:pt idx="6">
                  <c:v>126389257.81548192</c:v>
                </c:pt>
                <c:pt idx="7">
                  <c:v>148665311.88283736</c:v>
                </c:pt>
                <c:pt idx="8">
                  <c:v>172468232.69209984</c:v>
                </c:pt>
                <c:pt idx="9">
                  <c:v>193770804.16362223</c:v>
                </c:pt>
                <c:pt idx="10">
                  <c:v>214989649.48313701</c:v>
                </c:pt>
                <c:pt idx="11">
                  <c:v>236977017.58937654</c:v>
                </c:pt>
              </c:numCache>
            </c:numRef>
          </c:val>
          <c:smooth val="0"/>
          <c:extLst>
            <c:ext xmlns:c16="http://schemas.microsoft.com/office/drawing/2014/chart" uri="{C3380CC4-5D6E-409C-BE32-E72D297353CC}">
              <c16:uniqueId val="{00000000-A1F0-4057-97C4-F0B68AFD69CD}"/>
            </c:ext>
          </c:extLst>
        </c:ser>
        <c:dLbls>
          <c:showLegendKey val="0"/>
          <c:showVal val="0"/>
          <c:showCatName val="0"/>
          <c:showSerName val="0"/>
          <c:showPercent val="0"/>
          <c:showBubbleSize val="0"/>
        </c:dLbls>
        <c:marker val="1"/>
        <c:smooth val="0"/>
        <c:axId val="304897343"/>
        <c:axId val="304897823"/>
      </c:lineChart>
      <c:catAx>
        <c:axId val="30489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04897823"/>
        <c:crosses val="autoZero"/>
        <c:auto val="1"/>
        <c:lblAlgn val="ctr"/>
        <c:lblOffset val="100"/>
        <c:noMultiLvlLbl val="0"/>
      </c:catAx>
      <c:valAx>
        <c:axId val="30489782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048973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a:solidFill>
                  <a:schemeClr val="bg1"/>
                </a:solidFill>
              </a:rPr>
              <a:t>Forecast</a:t>
            </a:r>
            <a:r>
              <a:rPr lang="en-US" sz="1200" b="1" baseline="0">
                <a:solidFill>
                  <a:schemeClr val="bg1"/>
                </a:solidFill>
              </a:rPr>
              <a:t> Using Holt's Linear Trend Model</a:t>
            </a:r>
            <a:endParaRPr lang="en-US" sz="1200" b="1">
              <a:solidFill>
                <a:schemeClr val="bg1"/>
              </a:solidFill>
            </a:endParaRPr>
          </a:p>
        </c:rich>
      </c:tx>
      <c:layout>
        <c:manualLayout>
          <c:xMode val="edge"/>
          <c:yMode val="edge"/>
          <c:x val="0.26504855643044622"/>
          <c:y val="4.1666666666666664E-2"/>
        </c:manualLayout>
      </c:layout>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'Forecasting-Sales-other methods'!$B$6:$B$18</c:f>
              <c:strCache>
                <c:ptCount val="13"/>
                <c:pt idx="0">
                  <c:v>2019</c:v>
                </c:pt>
                <c:pt idx="1">
                  <c:v>2020</c:v>
                </c:pt>
                <c:pt idx="2">
                  <c:v>2021</c:v>
                </c:pt>
                <c:pt idx="3">
                  <c:v>2022</c:v>
                </c:pt>
                <c:pt idx="4">
                  <c:v>2023</c:v>
                </c:pt>
                <c:pt idx="5">
                  <c:v>2024</c:v>
                </c:pt>
                <c:pt idx="6">
                  <c:v>2025-F</c:v>
                </c:pt>
                <c:pt idx="7">
                  <c:v>2026-F</c:v>
                </c:pt>
                <c:pt idx="8">
                  <c:v>2027-F</c:v>
                </c:pt>
                <c:pt idx="9">
                  <c:v>2028-F</c:v>
                </c:pt>
                <c:pt idx="10">
                  <c:v>2029-F</c:v>
                </c:pt>
                <c:pt idx="11">
                  <c:v>2030-F</c:v>
                </c:pt>
                <c:pt idx="12">
                  <c:v>2031-F</c:v>
                </c:pt>
              </c:strCache>
            </c:strRef>
          </c:cat>
          <c:val>
            <c:numRef>
              <c:f>'Forecasting-Sales-other methods'!$C$6:$C$18</c:f>
              <c:numCache>
                <c:formatCode>_(* #,##0.00_);_(* \(#,##0.00\);_(* "-"??_);_(@_)</c:formatCode>
                <c:ptCount val="13"/>
                <c:pt idx="0">
                  <c:v>30090888.452</c:v>
                </c:pt>
                <c:pt idx="1">
                  <c:v>33218273</c:v>
                </c:pt>
                <c:pt idx="2">
                  <c:v>37307760</c:v>
                </c:pt>
                <c:pt idx="3">
                  <c:v>55260699</c:v>
                </c:pt>
                <c:pt idx="4">
                  <c:v>88905796</c:v>
                </c:pt>
                <c:pt idx="5">
                  <c:v>108887024</c:v>
                </c:pt>
                <c:pt idx="6">
                  <c:v>117496592.10369839</c:v>
                </c:pt>
                <c:pt idx="7">
                  <c:v>129568988.18445158</c:v>
                </c:pt>
                <c:pt idx="8">
                  <c:v>141641384.26520479</c:v>
                </c:pt>
                <c:pt idx="9">
                  <c:v>153713780.34595796</c:v>
                </c:pt>
                <c:pt idx="10">
                  <c:v>165786176.42671114</c:v>
                </c:pt>
                <c:pt idx="11">
                  <c:v>177858572.50746435</c:v>
                </c:pt>
                <c:pt idx="12">
                  <c:v>189930968.58821756</c:v>
                </c:pt>
              </c:numCache>
            </c:numRef>
          </c:val>
          <c:smooth val="0"/>
          <c:extLst>
            <c:ext xmlns:c16="http://schemas.microsoft.com/office/drawing/2014/chart" uri="{C3380CC4-5D6E-409C-BE32-E72D297353CC}">
              <c16:uniqueId val="{00000000-00AA-4352-9FB1-F70B1B295370}"/>
            </c:ext>
          </c:extLst>
        </c:ser>
        <c:dLbls>
          <c:showLegendKey val="0"/>
          <c:showVal val="0"/>
          <c:showCatName val="0"/>
          <c:showSerName val="0"/>
          <c:showPercent val="0"/>
          <c:showBubbleSize val="0"/>
        </c:dLbls>
        <c:marker val="1"/>
        <c:smooth val="0"/>
        <c:axId val="304910303"/>
        <c:axId val="304917983"/>
      </c:lineChart>
      <c:catAx>
        <c:axId val="30491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04917983"/>
        <c:crosses val="autoZero"/>
        <c:auto val="1"/>
        <c:lblAlgn val="ctr"/>
        <c:lblOffset val="100"/>
        <c:noMultiLvlLbl val="0"/>
      </c:catAx>
      <c:valAx>
        <c:axId val="30491798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0491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Forecasting (PAT) using</a:t>
            </a:r>
            <a:r>
              <a:rPr lang="en-US" b="1" baseline="0">
                <a:solidFill>
                  <a:schemeClr val="bg1"/>
                </a:solidFill>
              </a:rPr>
              <a:t> Linear Regression</a:t>
            </a:r>
            <a:endParaRPr lang="en-US"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'Forecasting-Profitability'!$C$4:$C$15</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'Forecasting-Profitability'!$D$4:$D$15</c:f>
              <c:numCache>
                <c:formatCode>_(* #,##0.00_);_(* \(#,##0.00\);_(* "-"??_);_(@_)</c:formatCode>
                <c:ptCount val="12"/>
                <c:pt idx="0">
                  <c:v>966597.84200000018</c:v>
                </c:pt>
                <c:pt idx="1">
                  <c:v>931965</c:v>
                </c:pt>
                <c:pt idx="2">
                  <c:v>1776666</c:v>
                </c:pt>
                <c:pt idx="3">
                  <c:v>2551021</c:v>
                </c:pt>
                <c:pt idx="4">
                  <c:v>6381685</c:v>
                </c:pt>
                <c:pt idx="5">
                  <c:v>6132050</c:v>
                </c:pt>
                <c:pt idx="6">
                  <c:v>8645573.4085714277</c:v>
                </c:pt>
                <c:pt idx="7">
                  <c:v>9872738.4311428554</c:v>
                </c:pt>
                <c:pt idx="8">
                  <c:v>11099903.453714285</c:v>
                </c:pt>
                <c:pt idx="9">
                  <c:v>12327068.476285713</c:v>
                </c:pt>
                <c:pt idx="10">
                  <c:v>13554233.498857141</c:v>
                </c:pt>
                <c:pt idx="11">
                  <c:v>14781398.52142857</c:v>
                </c:pt>
              </c:numCache>
            </c:numRef>
          </c:val>
          <c:smooth val="0"/>
          <c:extLst>
            <c:ext xmlns:c16="http://schemas.microsoft.com/office/drawing/2014/chart" uri="{C3380CC4-5D6E-409C-BE32-E72D297353CC}">
              <c16:uniqueId val="{00000000-A236-49A9-B3BB-B63F95274AE6}"/>
            </c:ext>
          </c:extLst>
        </c:ser>
        <c:dLbls>
          <c:showLegendKey val="0"/>
          <c:showVal val="0"/>
          <c:showCatName val="0"/>
          <c:showSerName val="0"/>
          <c:showPercent val="0"/>
          <c:showBubbleSize val="0"/>
        </c:dLbls>
        <c:marker val="1"/>
        <c:smooth val="0"/>
        <c:axId val="1016200880"/>
        <c:axId val="1016203280"/>
      </c:lineChart>
      <c:catAx>
        <c:axId val="101620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016203280"/>
        <c:crosses val="autoZero"/>
        <c:auto val="1"/>
        <c:lblAlgn val="ctr"/>
        <c:lblOffset val="100"/>
        <c:noMultiLvlLbl val="0"/>
      </c:catAx>
      <c:valAx>
        <c:axId val="1016203280"/>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01620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Forecasting-EBITDA Margin</a:t>
            </a: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'Forecasting-Profitability'!$C$25:$C$36</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'Forecasting-Profitability'!$D$25:$D$36</c:f>
              <c:numCache>
                <c:formatCode>0.00%</c:formatCode>
                <c:ptCount val="12"/>
                <c:pt idx="0">
                  <c:v>0.1132</c:v>
                </c:pt>
                <c:pt idx="1">
                  <c:v>0.1139</c:v>
                </c:pt>
                <c:pt idx="2">
                  <c:v>0.1241</c:v>
                </c:pt>
                <c:pt idx="3">
                  <c:v>0.12659999999999999</c:v>
                </c:pt>
                <c:pt idx="4">
                  <c:v>0.16120000000000001</c:v>
                </c:pt>
                <c:pt idx="5">
                  <c:v>0.16589999999999999</c:v>
                </c:pt>
                <c:pt idx="6">
                  <c:v>0.18659428571428571</c:v>
                </c:pt>
                <c:pt idx="7">
                  <c:v>0.19824857142857144</c:v>
                </c:pt>
                <c:pt idx="8">
                  <c:v>0.20990285714285714</c:v>
                </c:pt>
                <c:pt idx="9">
                  <c:v>0.22155714285714284</c:v>
                </c:pt>
                <c:pt idx="10">
                  <c:v>0.23321142857142857</c:v>
                </c:pt>
                <c:pt idx="11">
                  <c:v>0.2448657142857143</c:v>
                </c:pt>
              </c:numCache>
            </c:numRef>
          </c:val>
          <c:smooth val="0"/>
          <c:extLst>
            <c:ext xmlns:c16="http://schemas.microsoft.com/office/drawing/2014/chart" uri="{C3380CC4-5D6E-409C-BE32-E72D297353CC}">
              <c16:uniqueId val="{00000000-717C-4AC0-A332-881EFB08D1F8}"/>
            </c:ext>
          </c:extLst>
        </c:ser>
        <c:dLbls>
          <c:showLegendKey val="0"/>
          <c:showVal val="0"/>
          <c:showCatName val="0"/>
          <c:showSerName val="0"/>
          <c:showPercent val="0"/>
          <c:showBubbleSize val="0"/>
        </c:dLbls>
        <c:marker val="1"/>
        <c:smooth val="0"/>
        <c:axId val="1392148784"/>
        <c:axId val="1392159824"/>
      </c:lineChart>
      <c:catAx>
        <c:axId val="139214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392159824"/>
        <c:crosses val="autoZero"/>
        <c:auto val="1"/>
        <c:lblAlgn val="ctr"/>
        <c:lblOffset val="100"/>
        <c:noMultiLvlLbl val="0"/>
      </c:catAx>
      <c:valAx>
        <c:axId val="13921598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39214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EPS Forecasting</a:t>
            </a:r>
            <a:endParaRPr lang="en-US" b="1" baseline="0">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'Forecasting-EPS'!$C$4:$C$15</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'Forecasting-EPS'!$D$4:$D$15</c:f>
              <c:numCache>
                <c:formatCode>_(* #,##0.00_);_(* \(#,##0.00\);_(* "-"??_);_(@_)</c:formatCode>
                <c:ptCount val="12"/>
                <c:pt idx="0">
                  <c:v>15.149308507595441</c:v>
                </c:pt>
                <c:pt idx="1">
                  <c:v>14.485864987445241</c:v>
                </c:pt>
                <c:pt idx="2">
                  <c:v>26.774381097139198</c:v>
                </c:pt>
                <c:pt idx="3">
                  <c:v>38.44392161543314</c:v>
                </c:pt>
                <c:pt idx="4">
                  <c:v>96.172080870516325</c:v>
                </c:pt>
                <c:pt idx="5">
                  <c:v>92.410077981293284</c:v>
                </c:pt>
                <c:pt idx="6">
                  <c:v>129.91481993596045</c:v>
                </c:pt>
                <c:pt idx="7">
                  <c:v>148.28716380841749</c:v>
                </c:pt>
                <c:pt idx="8">
                  <c:v>166.65950768087453</c:v>
                </c:pt>
                <c:pt idx="9">
                  <c:v>185.03185155333156</c:v>
                </c:pt>
                <c:pt idx="10">
                  <c:v>203.40419542578863</c:v>
                </c:pt>
                <c:pt idx="11">
                  <c:v>221.77653929824567</c:v>
                </c:pt>
              </c:numCache>
            </c:numRef>
          </c:val>
          <c:smooth val="0"/>
          <c:extLst>
            <c:ext xmlns:c16="http://schemas.microsoft.com/office/drawing/2014/chart" uri="{C3380CC4-5D6E-409C-BE32-E72D297353CC}">
              <c16:uniqueId val="{00000000-4AFE-43E0-BDFC-8514CEA7532F}"/>
            </c:ext>
          </c:extLst>
        </c:ser>
        <c:dLbls>
          <c:showLegendKey val="0"/>
          <c:showVal val="0"/>
          <c:showCatName val="0"/>
          <c:showSerName val="0"/>
          <c:showPercent val="0"/>
          <c:showBubbleSize val="0"/>
        </c:dLbls>
        <c:marker val="1"/>
        <c:smooth val="0"/>
        <c:axId val="1403498768"/>
        <c:axId val="1403505488"/>
      </c:lineChart>
      <c:catAx>
        <c:axId val="140349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403505488"/>
        <c:crosses val="autoZero"/>
        <c:auto val="1"/>
        <c:lblAlgn val="ctr"/>
        <c:lblOffset val="100"/>
        <c:noMultiLvlLbl val="0"/>
      </c:catAx>
      <c:valAx>
        <c:axId val="1403505488"/>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403498768"/>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Forecasting-PE Ratio</a:t>
            </a: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'Forecasting-Inevstment Ratios'!$C$4:$C$15</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'Forecasting-Inevstment Ratios'!$D$4:$D$15</c:f>
              <c:numCache>
                <c:formatCode>_(* #,##0.00_);_(* \(#,##0.00\);_(* "-"??_);_(@_)</c:formatCode>
                <c:ptCount val="12"/>
                <c:pt idx="0">
                  <c:v>19.810145119794296</c:v>
                </c:pt>
                <c:pt idx="1">
                  <c:v>24.338208336579164</c:v>
                </c:pt>
                <c:pt idx="2">
                  <c:v>14.366718640644894</c:v>
                </c:pt>
                <c:pt idx="3">
                  <c:v>12.253692656861704</c:v>
                </c:pt>
                <c:pt idx="4">
                  <c:v>5.0177764235934559</c:v>
                </c:pt>
                <c:pt idx="5">
                  <c:v>13.348652300128016</c:v>
                </c:pt>
                <c:pt idx="6">
                  <c:v>2.9782074026053174</c:v>
                </c:pt>
                <c:pt idx="7">
                  <c:v>0.33872780771755373</c:v>
                </c:pt>
                <c:pt idx="8">
                  <c:v>-2.3007517871702099</c:v>
                </c:pt>
                <c:pt idx="9">
                  <c:v>-4.9402313820579735</c:v>
                </c:pt>
                <c:pt idx="10">
                  <c:v>-7.5797109769457336</c:v>
                </c:pt>
                <c:pt idx="11">
                  <c:v>-10.219190571833501</c:v>
                </c:pt>
              </c:numCache>
            </c:numRef>
          </c:val>
          <c:smooth val="0"/>
          <c:extLst>
            <c:ext xmlns:c16="http://schemas.microsoft.com/office/drawing/2014/chart" uri="{C3380CC4-5D6E-409C-BE32-E72D297353CC}">
              <c16:uniqueId val="{00000000-2001-4261-AF96-549C2F7D7155}"/>
            </c:ext>
          </c:extLst>
        </c:ser>
        <c:dLbls>
          <c:showLegendKey val="0"/>
          <c:showVal val="0"/>
          <c:showCatName val="0"/>
          <c:showSerName val="0"/>
          <c:showPercent val="0"/>
          <c:showBubbleSize val="0"/>
        </c:dLbls>
        <c:marker val="1"/>
        <c:smooth val="0"/>
        <c:axId val="371063888"/>
        <c:axId val="371054288"/>
      </c:lineChart>
      <c:catAx>
        <c:axId val="37106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54288"/>
        <c:crosses val="autoZero"/>
        <c:auto val="1"/>
        <c:lblAlgn val="ctr"/>
        <c:lblOffset val="100"/>
        <c:noMultiLvlLbl val="0"/>
      </c:catAx>
      <c:valAx>
        <c:axId val="371054288"/>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Forecasting-Div</a:t>
            </a:r>
            <a:r>
              <a:rPr lang="en-US" b="1" baseline="0">
                <a:solidFill>
                  <a:schemeClr val="bg1"/>
                </a:solidFill>
              </a:rPr>
              <a:t> Yield Ratio (%)</a:t>
            </a:r>
            <a:endParaRPr lang="en-US"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'Forecasting-Inevstment Ratios'!$C$26:$C$37</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'Forecasting-Inevstment Ratios'!$D$26:$D$37</c:f>
              <c:numCache>
                <c:formatCode>0.00%</c:formatCode>
                <c:ptCount val="12"/>
                <c:pt idx="0">
                  <c:v>1.1662390456832494E-2</c:v>
                </c:pt>
                <c:pt idx="1">
                  <c:v>8.5091899251191292E-3</c:v>
                </c:pt>
                <c:pt idx="2">
                  <c:v>3.8995476524723127E-2</c:v>
                </c:pt>
                <c:pt idx="3">
                  <c:v>8.4911267725227141E-3</c:v>
                </c:pt>
                <c:pt idx="4">
                  <c:v>2.4866858694075473E-2</c:v>
                </c:pt>
                <c:pt idx="5">
                  <c:v>8.1066839609257833E-3</c:v>
                </c:pt>
                <c:pt idx="6" formatCode="0.000%">
                  <c:v>1.6873541770121916E-2</c:v>
                </c:pt>
                <c:pt idx="7" formatCode="0.000%">
                  <c:v>1.6896116743697204E-2</c:v>
                </c:pt>
                <c:pt idx="8" formatCode="0.000%">
                  <c:v>1.6918691717272491E-2</c:v>
                </c:pt>
                <c:pt idx="9" formatCode="0.000%">
                  <c:v>1.6941266690847778E-2</c:v>
                </c:pt>
                <c:pt idx="10" formatCode="0.000%">
                  <c:v>1.6963841664423066E-2</c:v>
                </c:pt>
                <c:pt idx="11" formatCode="0.000%">
                  <c:v>1.6986416637998353E-2</c:v>
                </c:pt>
              </c:numCache>
            </c:numRef>
          </c:val>
          <c:smooth val="0"/>
          <c:extLst>
            <c:ext xmlns:c16="http://schemas.microsoft.com/office/drawing/2014/chart" uri="{C3380CC4-5D6E-409C-BE32-E72D297353CC}">
              <c16:uniqueId val="{00000000-1545-4D65-8345-EA8BDA6DF787}"/>
            </c:ext>
          </c:extLst>
        </c:ser>
        <c:dLbls>
          <c:showLegendKey val="0"/>
          <c:showVal val="0"/>
          <c:showCatName val="0"/>
          <c:showSerName val="0"/>
          <c:showPercent val="0"/>
          <c:showBubbleSize val="0"/>
        </c:dLbls>
        <c:marker val="1"/>
        <c:smooth val="0"/>
        <c:axId val="371064848"/>
        <c:axId val="371062928"/>
      </c:lineChart>
      <c:catAx>
        <c:axId val="37106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2928"/>
        <c:crosses val="autoZero"/>
        <c:auto val="1"/>
        <c:lblAlgn val="ctr"/>
        <c:lblOffset val="100"/>
        <c:noMultiLvlLbl val="0"/>
      </c:catAx>
      <c:valAx>
        <c:axId val="3710629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Forecasting-Market Price</a:t>
            </a: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'Forecasting-Inevstment Ratios'!$C$49:$C$60</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'Forecasting-Inevstment Ratios'!$D$49:$D$60</c:f>
              <c:numCache>
                <c:formatCode>_(* #,##0.00_);_(* \(#,##0.00\);_(* "-"??_);_(@_)</c:formatCode>
                <c:ptCount val="12"/>
                <c:pt idx="0">
                  <c:v>300.11</c:v>
                </c:pt>
                <c:pt idx="1">
                  <c:v>352.56</c:v>
                </c:pt>
                <c:pt idx="2">
                  <c:v>384.66</c:v>
                </c:pt>
                <c:pt idx="3">
                  <c:v>471.08</c:v>
                </c:pt>
                <c:pt idx="4">
                  <c:v>482.57</c:v>
                </c:pt>
                <c:pt idx="5">
                  <c:v>1233.55</c:v>
                </c:pt>
                <c:pt idx="6">
                  <c:v>1198.7480952380952</c:v>
                </c:pt>
                <c:pt idx="7">
                  <c:v>1345.7095238095237</c:v>
                </c:pt>
                <c:pt idx="8">
                  <c:v>1492.6709523809523</c:v>
                </c:pt>
                <c:pt idx="9">
                  <c:v>1639.6323809523808</c:v>
                </c:pt>
                <c:pt idx="10">
                  <c:v>1786.5938095238096</c:v>
                </c:pt>
                <c:pt idx="11">
                  <c:v>1933.5552380952381</c:v>
                </c:pt>
              </c:numCache>
            </c:numRef>
          </c:val>
          <c:smooth val="0"/>
          <c:extLst>
            <c:ext xmlns:c16="http://schemas.microsoft.com/office/drawing/2014/chart" uri="{C3380CC4-5D6E-409C-BE32-E72D297353CC}">
              <c16:uniqueId val="{00000000-783A-48A0-B709-9C13A3FD0905}"/>
            </c:ext>
          </c:extLst>
        </c:ser>
        <c:dLbls>
          <c:showLegendKey val="0"/>
          <c:showVal val="0"/>
          <c:showCatName val="0"/>
          <c:showSerName val="0"/>
          <c:showPercent val="0"/>
          <c:showBubbleSize val="0"/>
        </c:dLbls>
        <c:marker val="1"/>
        <c:smooth val="0"/>
        <c:axId val="371064848"/>
        <c:axId val="371062928"/>
      </c:lineChart>
      <c:catAx>
        <c:axId val="37106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2928"/>
        <c:crosses val="autoZero"/>
        <c:auto val="1"/>
        <c:lblAlgn val="ctr"/>
        <c:lblOffset val="100"/>
        <c:noMultiLvlLbl val="0"/>
      </c:catAx>
      <c:valAx>
        <c:axId val="371062928"/>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Forecasting-Debt/Equity Ratio</a:t>
            </a: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'Forecasting-Solvency Ratios'!$C$4:$C$15</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'Forecasting-Solvency Ratios'!$D$4:$D$15</c:f>
              <c:numCache>
                <c:formatCode>0.00%</c:formatCode>
                <c:ptCount val="12"/>
                <c:pt idx="0">
                  <c:v>0</c:v>
                </c:pt>
                <c:pt idx="1">
                  <c:v>2.2097449591076979</c:v>
                </c:pt>
                <c:pt idx="2">
                  <c:v>2.0598263178999208</c:v>
                </c:pt>
                <c:pt idx="3">
                  <c:v>2.6814088640949172</c:v>
                </c:pt>
                <c:pt idx="4">
                  <c:v>2.6622099125110994</c:v>
                </c:pt>
                <c:pt idx="5">
                  <c:v>2.4876815893139401</c:v>
                </c:pt>
                <c:pt idx="6">
                  <c:v>3.8704757715847027</c:v>
                </c:pt>
                <c:pt idx="7">
                  <c:v>4.2824010673839856</c:v>
                </c:pt>
                <c:pt idx="8">
                  <c:v>4.6943263631832686</c:v>
                </c:pt>
                <c:pt idx="9">
                  <c:v>5.1062516589825515</c:v>
                </c:pt>
                <c:pt idx="10">
                  <c:v>5.5181769547818345</c:v>
                </c:pt>
                <c:pt idx="11">
                  <c:v>5.9301022505811174</c:v>
                </c:pt>
              </c:numCache>
            </c:numRef>
          </c:val>
          <c:smooth val="0"/>
          <c:extLst>
            <c:ext xmlns:c16="http://schemas.microsoft.com/office/drawing/2014/chart" uri="{C3380CC4-5D6E-409C-BE32-E72D297353CC}">
              <c16:uniqueId val="{00000000-A4F0-4B8D-B023-3C253A02E62E}"/>
            </c:ext>
          </c:extLst>
        </c:ser>
        <c:dLbls>
          <c:showLegendKey val="0"/>
          <c:showVal val="0"/>
          <c:showCatName val="0"/>
          <c:showSerName val="0"/>
          <c:showPercent val="0"/>
          <c:showBubbleSize val="0"/>
        </c:dLbls>
        <c:marker val="1"/>
        <c:smooth val="0"/>
        <c:axId val="371063888"/>
        <c:axId val="371054288"/>
      </c:lineChart>
      <c:catAx>
        <c:axId val="37106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54288"/>
        <c:crosses val="autoZero"/>
        <c:auto val="1"/>
        <c:lblAlgn val="ctr"/>
        <c:lblOffset val="100"/>
        <c:noMultiLvlLbl val="0"/>
      </c:catAx>
      <c:valAx>
        <c:axId val="3710542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Forecasting-Interest Cover Ratio</a:t>
            </a: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'Forecasting-Liquidity Ratios'!$C$4:$C$15</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'Forecasting-Liquidity Ratios'!$D$4:$D$15</c:f>
              <c:numCache>
                <c:formatCode>0.00\x</c:formatCode>
                <c:ptCount val="12"/>
                <c:pt idx="0">
                  <c:v>2.4551378884586641</c:v>
                </c:pt>
                <c:pt idx="1">
                  <c:v>1.5700778517822505</c:v>
                </c:pt>
                <c:pt idx="2">
                  <c:v>3.3247494608651529</c:v>
                </c:pt>
                <c:pt idx="3">
                  <c:v>3.0016485265100883</c:v>
                </c:pt>
                <c:pt idx="4">
                  <c:v>2.3480873946798733</c:v>
                </c:pt>
                <c:pt idx="5">
                  <c:v>1.8932594183085267</c:v>
                </c:pt>
                <c:pt idx="6">
                  <c:v>2.3295003485619601</c:v>
                </c:pt>
                <c:pt idx="7">
                  <c:v>2.3066870726644488</c:v>
                </c:pt>
                <c:pt idx="8">
                  <c:v>2.283873796766938</c:v>
                </c:pt>
                <c:pt idx="9">
                  <c:v>2.2610605208694272</c:v>
                </c:pt>
                <c:pt idx="10">
                  <c:v>2.238247244971916</c:v>
                </c:pt>
                <c:pt idx="11">
                  <c:v>2.2154339690744052</c:v>
                </c:pt>
              </c:numCache>
            </c:numRef>
          </c:val>
          <c:smooth val="0"/>
          <c:extLst>
            <c:ext xmlns:c16="http://schemas.microsoft.com/office/drawing/2014/chart" uri="{C3380CC4-5D6E-409C-BE32-E72D297353CC}">
              <c16:uniqueId val="{00000000-5357-4D4C-AC19-993CBE65A3C8}"/>
            </c:ext>
          </c:extLst>
        </c:ser>
        <c:dLbls>
          <c:showLegendKey val="0"/>
          <c:showVal val="0"/>
          <c:showCatName val="0"/>
          <c:showSerName val="0"/>
          <c:showPercent val="0"/>
          <c:showBubbleSize val="0"/>
        </c:dLbls>
        <c:marker val="1"/>
        <c:smooth val="0"/>
        <c:axId val="371063888"/>
        <c:axId val="371054288"/>
      </c:lineChart>
      <c:catAx>
        <c:axId val="37106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54288"/>
        <c:crosses val="autoZero"/>
        <c:auto val="1"/>
        <c:lblAlgn val="ctr"/>
        <c:lblOffset val="100"/>
        <c:noMultiLvlLbl val="0"/>
      </c:catAx>
      <c:valAx>
        <c:axId val="371054288"/>
        <c:scaling>
          <c:orientation val="minMax"/>
        </c:scaling>
        <c:delete val="0"/>
        <c:axPos val="l"/>
        <c:numFmt formatCode="0.00\x"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Forecasting-Operating Cycle</a:t>
            </a:r>
            <a:r>
              <a:rPr lang="en-US" b="1" baseline="0">
                <a:solidFill>
                  <a:schemeClr val="bg1"/>
                </a:solidFill>
              </a:rPr>
              <a:t> (Days)</a:t>
            </a:r>
            <a:endParaRPr lang="en-US"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'Forecasting-Activity Ratio'!$C$4:$C$15</c:f>
              <c:strCache>
                <c:ptCount val="12"/>
                <c:pt idx="0">
                  <c:v>2019</c:v>
                </c:pt>
                <c:pt idx="1">
                  <c:v>2020</c:v>
                </c:pt>
                <c:pt idx="2">
                  <c:v>2021</c:v>
                </c:pt>
                <c:pt idx="3">
                  <c:v>2022</c:v>
                </c:pt>
                <c:pt idx="4">
                  <c:v>2023</c:v>
                </c:pt>
                <c:pt idx="5">
                  <c:v>2024</c:v>
                </c:pt>
                <c:pt idx="6">
                  <c:v>2025-E</c:v>
                </c:pt>
                <c:pt idx="7">
                  <c:v>2026-E</c:v>
                </c:pt>
                <c:pt idx="8">
                  <c:v>2027-E</c:v>
                </c:pt>
                <c:pt idx="9">
                  <c:v>2028-E</c:v>
                </c:pt>
                <c:pt idx="10">
                  <c:v>2029-E</c:v>
                </c:pt>
                <c:pt idx="11">
                  <c:v>2030-E</c:v>
                </c:pt>
              </c:strCache>
            </c:strRef>
          </c:cat>
          <c:val>
            <c:numRef>
              <c:f>'Forecasting-Activity Ratio'!$D$4:$D$15</c:f>
              <c:numCache>
                <c:formatCode>_(* #,##0.00_);_(* \(#,##0.00\);_(* "-"??_);_(@_)</c:formatCode>
                <c:ptCount val="12"/>
                <c:pt idx="0">
                  <c:v>38.731913360688793</c:v>
                </c:pt>
                <c:pt idx="1">
                  <c:v>64.576350220687161</c:v>
                </c:pt>
                <c:pt idx="2">
                  <c:v>71.466630271102019</c:v>
                </c:pt>
                <c:pt idx="3">
                  <c:v>63.941149408471432</c:v>
                </c:pt>
                <c:pt idx="4">
                  <c:v>65.4148342915461</c:v>
                </c:pt>
                <c:pt idx="5">
                  <c:v>60.233882765510884</c:v>
                </c:pt>
                <c:pt idx="6">
                  <c:v>73.906008129665494</c:v>
                </c:pt>
                <c:pt idx="7">
                  <c:v>76.834574368924265</c:v>
                </c:pt>
                <c:pt idx="8">
                  <c:v>79.763140608183022</c:v>
                </c:pt>
                <c:pt idx="9">
                  <c:v>82.691706847441793</c:v>
                </c:pt>
                <c:pt idx="10">
                  <c:v>85.62027308670055</c:v>
                </c:pt>
                <c:pt idx="11">
                  <c:v>88.548839325959307</c:v>
                </c:pt>
              </c:numCache>
            </c:numRef>
          </c:val>
          <c:smooth val="0"/>
          <c:extLst>
            <c:ext xmlns:c16="http://schemas.microsoft.com/office/drawing/2014/chart" uri="{C3380CC4-5D6E-409C-BE32-E72D297353CC}">
              <c16:uniqueId val="{00000000-B8FB-410B-95B3-0392553497E3}"/>
            </c:ext>
          </c:extLst>
        </c:ser>
        <c:dLbls>
          <c:showLegendKey val="0"/>
          <c:showVal val="0"/>
          <c:showCatName val="0"/>
          <c:showSerName val="0"/>
          <c:showPercent val="0"/>
          <c:showBubbleSize val="0"/>
        </c:dLbls>
        <c:marker val="1"/>
        <c:smooth val="0"/>
        <c:axId val="371063888"/>
        <c:axId val="371054288"/>
      </c:lineChart>
      <c:catAx>
        <c:axId val="37106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54288"/>
        <c:crosses val="autoZero"/>
        <c:auto val="1"/>
        <c:lblAlgn val="ctr"/>
        <c:lblOffset val="100"/>
        <c:noMultiLvlLbl val="0"/>
      </c:catAx>
      <c:valAx>
        <c:axId val="371054288"/>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37106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5875">
              <a:solidFill>
                <a:schemeClr val="tx1">
                  <a:alpha val="90000"/>
                </a:schemeClr>
              </a:solidFill>
            </a:ln>
            <a:effectLst/>
          </c:spPr>
          <c:invertIfNegative val="0"/>
          <c:dPt>
            <c:idx val="0"/>
            <c:invertIfNegative val="0"/>
            <c:bubble3D val="0"/>
            <c:spPr>
              <a:solidFill>
                <a:srgbClr val="DADDE2"/>
              </a:solidFill>
              <a:ln w="15875">
                <a:solidFill>
                  <a:schemeClr val="tx1">
                    <a:alpha val="90000"/>
                  </a:schemeClr>
                </a:solidFill>
              </a:ln>
              <a:effectLst/>
            </c:spPr>
            <c:extLst>
              <c:ext xmlns:c16="http://schemas.microsoft.com/office/drawing/2014/chart" uri="{C3380CC4-5D6E-409C-BE32-E72D297353CC}">
                <c16:uniqueId val="{00000001-BD33-4D22-8E02-ABAD3035C868}"/>
              </c:ext>
            </c:extLst>
          </c:dPt>
          <c:dLbls>
            <c:dLbl>
              <c:idx val="0"/>
              <c:layout>
                <c:manualLayout>
                  <c:x val="3.5460992907801317E-2"/>
                  <c:y val="-7.342143906020566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5289598108747047"/>
                      <c:h val="0.147503671071953"/>
                    </c:manualLayout>
                  </c15:layout>
                </c:ext>
                <c:ext xmlns:c16="http://schemas.microsoft.com/office/drawing/2014/chart" uri="{C3380CC4-5D6E-409C-BE32-E72D297353CC}">
                  <c16:uniqueId val="{00000001-BD33-4D22-8E02-ABAD3035C868}"/>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8835697399527188"/>
                      <c:h val="0.147503671071953"/>
                    </c:manualLayout>
                  </c15:layout>
                </c:ext>
                <c:ext xmlns:c16="http://schemas.microsoft.com/office/drawing/2014/chart" uri="{C3380CC4-5D6E-409C-BE32-E72D297353CC}">
                  <c16:uniqueId val="{00000002-BD33-4D22-8E02-ABAD3035C86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&amp; Summary'!$F$67:$I$67</c:f>
              <c:numCache>
                <c:formatCode>mmm\-yy</c:formatCode>
                <c:ptCount val="4"/>
                <c:pt idx="0">
                  <c:v>45627</c:v>
                </c:pt>
                <c:pt idx="1">
                  <c:v>45261</c:v>
                </c:pt>
                <c:pt idx="2">
                  <c:v>44896</c:v>
                </c:pt>
                <c:pt idx="3">
                  <c:v>44531</c:v>
                </c:pt>
              </c:numCache>
            </c:numRef>
          </c:cat>
          <c:val>
            <c:numRef>
              <c:f>'DuPont Analysis &amp; Summary'!$F$70:$I$70</c:f>
              <c:numCache>
                <c:formatCode>_(* #,##0_);_(* \(#,##0\);_(* "-"??_);_(@_)</c:formatCode>
                <c:ptCount val="4"/>
                <c:pt idx="0">
                  <c:v>108887024</c:v>
                </c:pt>
                <c:pt idx="1">
                  <c:v>88905796</c:v>
                </c:pt>
                <c:pt idx="2">
                  <c:v>55260699</c:v>
                </c:pt>
                <c:pt idx="3">
                  <c:v>37307760</c:v>
                </c:pt>
              </c:numCache>
            </c:numRef>
          </c:val>
          <c:extLst>
            <c:ext xmlns:c16="http://schemas.microsoft.com/office/drawing/2014/chart" uri="{C3380CC4-5D6E-409C-BE32-E72D297353CC}">
              <c16:uniqueId val="{00000003-BD33-4D22-8E02-ABAD3035C868}"/>
            </c:ext>
          </c:extLst>
        </c:ser>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_(* #,##0_);_(* \(#,##0\);_(* &quot;-&quot;??_);_(@_)"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&amp; Summary'!$F$67:$I$67</c:f>
              <c:numCache>
                <c:formatCode>mmm\-yy</c:formatCode>
                <c:ptCount val="4"/>
                <c:pt idx="0">
                  <c:v>45627</c:v>
                </c:pt>
                <c:pt idx="1">
                  <c:v>45261</c:v>
                </c:pt>
                <c:pt idx="2">
                  <c:v>44896</c:v>
                </c:pt>
                <c:pt idx="3">
                  <c:v>44531</c:v>
                </c:pt>
              </c:numCache>
            </c:numRef>
          </c:cat>
          <c:val>
            <c:numRef>
              <c:f>'DuPont Analysis &amp; Summary'!$F$69:$I$69</c:f>
              <c:numCache>
                <c:formatCode>#,##0_);[Red]\(#,##0\)</c:formatCode>
                <c:ptCount val="4"/>
                <c:pt idx="0">
                  <c:v>6132050</c:v>
                </c:pt>
                <c:pt idx="1">
                  <c:v>6381685</c:v>
                </c:pt>
                <c:pt idx="2">
                  <c:v>2551021</c:v>
                </c:pt>
                <c:pt idx="3">
                  <c:v>1776666</c:v>
                </c:pt>
              </c:numCache>
            </c:numRef>
          </c:val>
          <c:extLst>
            <c:ext xmlns:c16="http://schemas.microsoft.com/office/drawing/2014/chart" uri="{C3380CC4-5D6E-409C-BE32-E72D297353CC}">
              <c16:uniqueId val="{00000000-BC0D-4DF0-821A-167445677D73}"/>
            </c:ext>
          </c:extLst>
        </c:ser>
        <c:dLbls>
          <c:dLblPos val="outEnd"/>
          <c:showLegendKey val="0"/>
          <c:showVal val="1"/>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_);[Red]\(#,##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&amp; Summary'!$F$67:$I$67</c:f>
              <c:numCache>
                <c:formatCode>mmm\-yy</c:formatCode>
                <c:ptCount val="4"/>
                <c:pt idx="0">
                  <c:v>45627</c:v>
                </c:pt>
                <c:pt idx="1">
                  <c:v>45261</c:v>
                </c:pt>
                <c:pt idx="2">
                  <c:v>44896</c:v>
                </c:pt>
                <c:pt idx="3">
                  <c:v>44531</c:v>
                </c:pt>
              </c:numCache>
            </c:numRef>
          </c:cat>
          <c:val>
            <c:numRef>
              <c:f>'DuPont Analysis &amp; Summary'!$F$74:$I$74</c:f>
              <c:numCache>
                <c:formatCode>_(* #,##0_);_(* \(#,##0\);_(* "-"??_);_(@_)</c:formatCode>
                <c:ptCount val="4"/>
                <c:pt idx="0">
                  <c:v>81986130</c:v>
                </c:pt>
                <c:pt idx="1">
                  <c:v>62199800.5</c:v>
                </c:pt>
                <c:pt idx="2">
                  <c:v>46166993</c:v>
                </c:pt>
                <c:pt idx="3">
                  <c:v>39248958</c:v>
                </c:pt>
              </c:numCache>
            </c:numRef>
          </c:val>
          <c:extLst>
            <c:ext xmlns:c16="http://schemas.microsoft.com/office/drawing/2014/chart" uri="{C3380CC4-5D6E-409C-BE32-E72D297353CC}">
              <c16:uniqueId val="{00000000-A7F2-4BB9-A8C4-ED3F5B705ED5}"/>
            </c:ext>
          </c:extLst>
        </c:ser>
        <c:dLbls>
          <c:dLblPos val="outEnd"/>
          <c:showLegendKey val="0"/>
          <c:showVal val="1"/>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_(* #,##0_);_(* \(#,##0\);_(* &quot;-&quot;??_);_(@_)"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&amp; Summary'!$F$61:$I$61</c:f>
              <c:numCache>
                <c:formatCode>mmm\-yy</c:formatCode>
                <c:ptCount val="4"/>
                <c:pt idx="0">
                  <c:v>45627</c:v>
                </c:pt>
                <c:pt idx="1">
                  <c:v>45261</c:v>
                </c:pt>
                <c:pt idx="2">
                  <c:v>44896</c:v>
                </c:pt>
                <c:pt idx="3">
                  <c:v>44531</c:v>
                </c:pt>
              </c:numCache>
            </c:numRef>
          </c:cat>
          <c:val>
            <c:numRef>
              <c:f>'DuPont Analysis &amp; Summary'!$F$64:$I$64</c:f>
              <c:numCache>
                <c:formatCode>0.00%</c:formatCode>
                <c:ptCount val="4"/>
                <c:pt idx="0">
                  <c:v>0.29252740495983992</c:v>
                </c:pt>
                <c:pt idx="1">
                  <c:v>0.42129848860454128</c:v>
                </c:pt>
                <c:pt idx="2">
                  <c:v>0.21388337323246887</c:v>
                </c:pt>
                <c:pt idx="3">
                  <c:v>0.16781167480427658</c:v>
                </c:pt>
              </c:numCache>
            </c:numRef>
          </c:val>
          <c:extLst>
            <c:ext xmlns:c16="http://schemas.microsoft.com/office/drawing/2014/chart" uri="{C3380CC4-5D6E-409C-BE32-E72D297353CC}">
              <c16:uniqueId val="{00000000-73A8-424A-8507-C43E026C53FF}"/>
            </c:ext>
          </c:extLst>
        </c:ser>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&amp; Summary'!$F$85:$I$85</c:f>
              <c:numCache>
                <c:formatCode>mmm\-yy</c:formatCode>
                <c:ptCount val="4"/>
                <c:pt idx="0">
                  <c:v>45627</c:v>
                </c:pt>
                <c:pt idx="1">
                  <c:v>45261</c:v>
                </c:pt>
                <c:pt idx="2">
                  <c:v>44896</c:v>
                </c:pt>
                <c:pt idx="3">
                  <c:v>44531</c:v>
                </c:pt>
              </c:numCache>
            </c:numRef>
          </c:cat>
          <c:val>
            <c:numRef>
              <c:f>'DuPont Analysis &amp; Summary'!$F$88:$I$88</c:f>
              <c:numCache>
                <c:formatCode>0.00%</c:formatCode>
                <c:ptCount val="4"/>
                <c:pt idx="0">
                  <c:v>7.479374864992408E-2</c:v>
                </c:pt>
                <c:pt idx="1">
                  <c:v>0.10259976637706418</c:v>
                </c:pt>
                <c:pt idx="2">
                  <c:v>5.5256381978354099E-2</c:v>
                </c:pt>
                <c:pt idx="3">
                  <c:v>4.5266577522898824E-2</c:v>
                </c:pt>
              </c:numCache>
            </c:numRef>
          </c:val>
          <c:extLst>
            <c:ext xmlns:c16="http://schemas.microsoft.com/office/drawing/2014/chart" uri="{C3380CC4-5D6E-409C-BE32-E72D297353CC}">
              <c16:uniqueId val="{00000000-13A2-45D2-8D49-F2287CDD5B87}"/>
            </c:ext>
          </c:extLst>
        </c:ser>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&amp; Summary'!$F$67:$I$67</c:f>
              <c:numCache>
                <c:formatCode>mmm\-yy</c:formatCode>
                <c:ptCount val="4"/>
                <c:pt idx="0">
                  <c:v>45627</c:v>
                </c:pt>
                <c:pt idx="1">
                  <c:v>45261</c:v>
                </c:pt>
                <c:pt idx="2">
                  <c:v>44896</c:v>
                </c:pt>
                <c:pt idx="3">
                  <c:v>44531</c:v>
                </c:pt>
              </c:numCache>
            </c:numRef>
          </c:cat>
          <c:val>
            <c:numRef>
              <c:f>'DuPont Analysis &amp; Summary'!$F$79:$I$79</c:f>
              <c:numCache>
                <c:formatCode>0.00\x</c:formatCode>
                <c:ptCount val="4"/>
                <c:pt idx="0">
                  <c:v>3.9111210527637712</c:v>
                </c:pt>
                <c:pt idx="1">
                  <c:v>4.1062324358149906</c:v>
                </c:pt>
                <c:pt idx="2">
                  <c:v>3.8707451623643148</c:v>
                </c:pt>
                <c:pt idx="3">
                  <c:v>3.7071871563381689</c:v>
                </c:pt>
              </c:numCache>
            </c:numRef>
          </c:val>
          <c:extLst>
            <c:ext xmlns:c16="http://schemas.microsoft.com/office/drawing/2014/chart" uri="{C3380CC4-5D6E-409C-BE32-E72D297353CC}">
              <c16:uniqueId val="{00000000-FFCC-4551-B38D-1CB897B3D747}"/>
            </c:ext>
          </c:extLst>
        </c:ser>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x"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alpha val="90000"/>
                </a:schemeClr>
              </a:solidFill>
            </a:ln>
            <a:effectLst/>
          </c:spPr>
          <c:invertIfNegative val="0"/>
          <c:dPt>
            <c:idx val="0"/>
            <c:invertIfNegative val="0"/>
            <c:bubble3D val="0"/>
            <c:spPr>
              <a:solidFill>
                <a:srgbClr val="DADDE2"/>
              </a:solidFill>
              <a:ln w="12700">
                <a:solidFill>
                  <a:schemeClr val="tx1">
                    <a:alpha val="90000"/>
                  </a:schemeClr>
                </a:solidFill>
              </a:ln>
              <a:effectLst/>
            </c:spPr>
            <c:extLst>
              <c:ext xmlns:c16="http://schemas.microsoft.com/office/drawing/2014/chart" uri="{C3380CC4-5D6E-409C-BE32-E72D297353CC}">
                <c16:uniqueId val="{00000001-2D8F-4C6C-A745-B75120B5C95E}"/>
              </c:ext>
            </c:extLst>
          </c:dPt>
          <c:dLbls>
            <c:dLbl>
              <c:idx val="0"/>
              <c:layout>
                <c:manualLayout>
                  <c:x val="3.5460992907801317E-2"/>
                  <c:y val="-7.342143906020566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5289598108747047"/>
                      <c:h val="0.147503671071953"/>
                    </c:manualLayout>
                  </c15:layout>
                </c:ext>
                <c:ext xmlns:c16="http://schemas.microsoft.com/office/drawing/2014/chart" uri="{C3380CC4-5D6E-409C-BE32-E72D297353CC}">
                  <c16:uniqueId val="{00000001-2D8F-4C6C-A745-B75120B5C95E}"/>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8835697399527188"/>
                      <c:h val="0.147503671071953"/>
                    </c:manualLayout>
                  </c15:layout>
                </c:ext>
                <c:ext xmlns:c16="http://schemas.microsoft.com/office/drawing/2014/chart" uri="{C3380CC4-5D6E-409C-BE32-E72D297353CC}">
                  <c16:uniqueId val="{00000002-2D8F-4C6C-A745-B75120B5C95E}"/>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Modelling'!$F$69:$I$69</c:f>
              <c:numCache>
                <c:formatCode>mmm\-yy</c:formatCode>
                <c:ptCount val="4"/>
                <c:pt idx="0">
                  <c:v>45627</c:v>
                </c:pt>
                <c:pt idx="1">
                  <c:v>45261</c:v>
                </c:pt>
                <c:pt idx="2">
                  <c:v>44896</c:v>
                </c:pt>
                <c:pt idx="3">
                  <c:v>44531</c:v>
                </c:pt>
              </c:numCache>
            </c:numRef>
          </c:cat>
          <c:val>
            <c:numRef>
              <c:f>'Altman Z Score Modelling'!$F$72:$I$72</c:f>
              <c:numCache>
                <c:formatCode>0.00%</c:formatCode>
                <c:ptCount val="4"/>
                <c:pt idx="0">
                  <c:v>5.6994920095176392E-2</c:v>
                </c:pt>
                <c:pt idx="1">
                  <c:v>7.8901334266029396E-2</c:v>
                </c:pt>
                <c:pt idx="2">
                  <c:v>4.5338457722571508E-2</c:v>
                </c:pt>
                <c:pt idx="3">
                  <c:v>6.2897565139149493E-3</c:v>
                </c:pt>
              </c:numCache>
            </c:numRef>
          </c:val>
          <c:extLst>
            <c:ext xmlns:c16="http://schemas.microsoft.com/office/drawing/2014/chart" uri="{C3380CC4-5D6E-409C-BE32-E72D297353CC}">
              <c16:uniqueId val="{00000003-2D8F-4C6C-A745-B75120B5C95E}"/>
            </c:ext>
          </c:extLst>
        </c:ser>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Modelling'!$F$75:$I$75</c:f>
              <c:numCache>
                <c:formatCode>mmm\-yy</c:formatCode>
                <c:ptCount val="4"/>
                <c:pt idx="0">
                  <c:v>45627</c:v>
                </c:pt>
                <c:pt idx="1">
                  <c:v>45261</c:v>
                </c:pt>
                <c:pt idx="2">
                  <c:v>44896</c:v>
                </c:pt>
                <c:pt idx="3">
                  <c:v>44531</c:v>
                </c:pt>
              </c:numCache>
            </c:numRef>
          </c:cat>
          <c:val>
            <c:numRef>
              <c:f>'Altman Z Score Modelling'!$F$79:$I$79</c:f>
              <c:numCache>
                <c:formatCode>0.00%</c:formatCode>
                <c:ptCount val="4"/>
                <c:pt idx="0">
                  <c:v>0.23510127349151308</c:v>
                </c:pt>
                <c:pt idx="1">
                  <c:v>0.21047308251376115</c:v>
                </c:pt>
                <c:pt idx="2">
                  <c:v>0.19360369657567619</c:v>
                </c:pt>
                <c:pt idx="3">
                  <c:v>0.20535641960897713</c:v>
                </c:pt>
              </c:numCache>
            </c:numRef>
          </c:val>
          <c:extLst>
            <c:ext xmlns:c16="http://schemas.microsoft.com/office/drawing/2014/chart" uri="{C3380CC4-5D6E-409C-BE32-E72D297353CC}">
              <c16:uniqueId val="{00000000-8230-4D72-ADC1-1C8AB3DEF0FD}"/>
            </c:ext>
          </c:extLst>
        </c:ser>
        <c:dLbls>
          <c:dLblPos val="outEnd"/>
          <c:showLegendKey val="0"/>
          <c:showVal val="1"/>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Modelling'!$F$75:$I$75</c:f>
              <c:numCache>
                <c:formatCode>mmm\-yy</c:formatCode>
                <c:ptCount val="4"/>
                <c:pt idx="0">
                  <c:v>45627</c:v>
                </c:pt>
                <c:pt idx="1">
                  <c:v>45261</c:v>
                </c:pt>
                <c:pt idx="2">
                  <c:v>44896</c:v>
                </c:pt>
                <c:pt idx="3">
                  <c:v>44531</c:v>
                </c:pt>
              </c:numCache>
            </c:numRef>
          </c:cat>
          <c:val>
            <c:numRef>
              <c:f>'Altman Z Score Modelling'!$F$84:$I$84</c:f>
              <c:numCache>
                <c:formatCode>0.00%</c:formatCode>
                <c:ptCount val="4"/>
                <c:pt idx="0">
                  <c:v>0.15376852146708769</c:v>
                </c:pt>
                <c:pt idx="1">
                  <c:v>0.14140298027272272</c:v>
                </c:pt>
                <c:pt idx="2">
                  <c:v>8.2664003324243993E-2</c:v>
                </c:pt>
                <c:pt idx="3">
                  <c:v>5.6267213200220809E-2</c:v>
                </c:pt>
              </c:numCache>
            </c:numRef>
          </c:val>
          <c:extLst>
            <c:ext xmlns:c16="http://schemas.microsoft.com/office/drawing/2014/chart" uri="{C3380CC4-5D6E-409C-BE32-E72D297353CC}">
              <c16:uniqueId val="{00000000-5AC9-42E0-A339-E2F2629790E6}"/>
            </c:ext>
          </c:extLst>
        </c:ser>
        <c:dLbls>
          <c:dLblPos val="outEnd"/>
          <c:showLegendKey val="0"/>
          <c:showVal val="1"/>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687213914552324"/>
                      <c:h val="0.11098716632734655"/>
                    </c:manualLayout>
                  </c15:layout>
                </c:ext>
                <c:ext xmlns:c16="http://schemas.microsoft.com/office/drawing/2014/chart" uri="{C3380CC4-5D6E-409C-BE32-E72D297353CC}">
                  <c16:uniqueId val="{00000000-BAF0-4399-8A7B-5C218B4A8290}"/>
                </c:ext>
              </c:extLst>
            </c:dLbl>
            <c:dLbl>
              <c:idx val="1"/>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620880922861606"/>
                      <c:h val="0.13259401246505192"/>
                    </c:manualLayout>
                  </c15:layout>
                </c:ext>
                <c:ext xmlns:c16="http://schemas.microsoft.com/office/drawing/2014/chart" uri="{C3380CC4-5D6E-409C-BE32-E72D297353CC}">
                  <c16:uniqueId val="{00000001-BAF0-4399-8A7B-5C218B4A8290}"/>
                </c:ext>
              </c:extLst>
            </c:dLbl>
            <c:dLbl>
              <c:idx val="2"/>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31936421476721"/>
                      <c:h val="0.13259401246505192"/>
                    </c:manualLayout>
                  </c15:layout>
                </c:ext>
                <c:ext xmlns:c16="http://schemas.microsoft.com/office/drawing/2014/chart" uri="{C3380CC4-5D6E-409C-BE32-E72D297353CC}">
                  <c16:uniqueId val="{00000002-BAF0-4399-8A7B-5C218B4A8290}"/>
                </c:ext>
              </c:extLst>
            </c:dLbl>
            <c:dLbl>
              <c:idx val="3"/>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598769925631365"/>
                      <c:h val="0.11818944837324834"/>
                    </c:manualLayout>
                  </c15:layout>
                </c:ext>
                <c:ext xmlns:c16="http://schemas.microsoft.com/office/drawing/2014/chart" uri="{C3380CC4-5D6E-409C-BE32-E72D297353CC}">
                  <c16:uniqueId val="{00000003-BAF0-4399-8A7B-5C218B4A829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Modelling'!$F$69:$I$69</c:f>
              <c:numCache>
                <c:formatCode>mmm\-yy</c:formatCode>
                <c:ptCount val="4"/>
                <c:pt idx="0">
                  <c:v>45627</c:v>
                </c:pt>
                <c:pt idx="1">
                  <c:v>45261</c:v>
                </c:pt>
                <c:pt idx="2">
                  <c:v>44896</c:v>
                </c:pt>
                <c:pt idx="3">
                  <c:v>44531</c:v>
                </c:pt>
              </c:numCache>
            </c:numRef>
          </c:cat>
          <c:val>
            <c:numRef>
              <c:f>'Altman Z Score Modelling'!$F$89:$I$89</c:f>
              <c:numCache>
                <c:formatCode>0.00%</c:formatCode>
                <c:ptCount val="4"/>
                <c:pt idx="0">
                  <c:v>3.5289754555776125</c:v>
                </c:pt>
                <c:pt idx="1">
                  <c:v>1.2476175007612089</c:v>
                </c:pt>
                <c:pt idx="2">
                  <c:v>1.4176159695596087</c:v>
                </c:pt>
                <c:pt idx="3">
                  <c:v>1.6791081778771078</c:v>
                </c:pt>
              </c:numCache>
            </c:numRef>
          </c:val>
          <c:extLst>
            <c:ext xmlns:c16="http://schemas.microsoft.com/office/drawing/2014/chart" uri="{C3380CC4-5D6E-409C-BE32-E72D297353CC}">
              <c16:uniqueId val="{00000004-BAF0-4399-8A7B-5C218B4A8290}"/>
            </c:ext>
          </c:extLst>
        </c:ser>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DADDE2"/>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Modelling'!$F$93:$I$93</c:f>
              <c:numCache>
                <c:formatCode>mmm\-yy</c:formatCode>
                <c:ptCount val="4"/>
                <c:pt idx="0">
                  <c:v>45627</c:v>
                </c:pt>
                <c:pt idx="1">
                  <c:v>45261</c:v>
                </c:pt>
                <c:pt idx="2">
                  <c:v>44896</c:v>
                </c:pt>
                <c:pt idx="3">
                  <c:v>44531</c:v>
                </c:pt>
              </c:numCache>
            </c:numRef>
          </c:cat>
          <c:val>
            <c:numRef>
              <c:f>'Altman Z Score Modelling'!$F$96:$I$96</c:f>
              <c:numCache>
                <c:formatCode>0.00%</c:formatCode>
                <c:ptCount val="4"/>
                <c:pt idx="0">
                  <c:v>1.1976574943400915</c:v>
                </c:pt>
                <c:pt idx="1">
                  <c:v>1.216960792435394</c:v>
                </c:pt>
                <c:pt idx="2">
                  <c:v>1.0762833752450749</c:v>
                </c:pt>
                <c:pt idx="3">
                  <c:v>0.91016777978013697</c:v>
                </c:pt>
              </c:numCache>
            </c:numRef>
          </c:val>
          <c:extLst>
            <c:ext xmlns:c16="http://schemas.microsoft.com/office/drawing/2014/chart" uri="{C3380CC4-5D6E-409C-BE32-E72D297353CC}">
              <c16:uniqueId val="{00000000-AF60-4AA2-BEC3-07B7B1A03D24}"/>
            </c:ext>
          </c:extLst>
        </c:ser>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dLbls>
          <c:showLegendKey val="0"/>
          <c:showVal val="0"/>
          <c:showCatName val="0"/>
          <c:showSerName val="0"/>
          <c:showPercent val="0"/>
          <c:showBubbleSize val="0"/>
        </c:dLbls>
        <c:gapWidth val="219"/>
        <c:overlap val="-27"/>
        <c:axId val="1529294927"/>
        <c:axId val="1529284847"/>
      </c:barChart>
      <c:catAx>
        <c:axId val="152929492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84847"/>
        <c:crosses val="autoZero"/>
        <c:auto val="0"/>
        <c:lblAlgn val="ctr"/>
        <c:lblOffset val="100"/>
        <c:noMultiLvlLbl val="0"/>
      </c:catAx>
      <c:valAx>
        <c:axId val="1529284847"/>
        <c:scaling>
          <c:orientation val="minMax"/>
        </c:scaling>
        <c:delete val="1"/>
        <c:axPos val="l"/>
        <c:numFmt formatCode="0.00%" sourceLinked="1"/>
        <c:majorTickMark val="none"/>
        <c:minorTickMark val="none"/>
        <c:tickLblPos val="nextTo"/>
        <c:crossAx val="152929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5.xml"/><Relationship Id="rId7" Type="http://schemas.openxmlformats.org/officeDocument/2006/relationships/image" Target="../media/image1.jpeg"/><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3" Type="http://schemas.openxmlformats.org/officeDocument/2006/relationships/chart" Target="../charts/chart21.xml"/><Relationship Id="rId7" Type="http://schemas.openxmlformats.org/officeDocument/2006/relationships/image" Target="../media/image1.jpeg"/><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6</xdr:col>
      <xdr:colOff>22860</xdr:colOff>
      <xdr:row>2</xdr:row>
      <xdr:rowOff>30480</xdr:rowOff>
    </xdr:from>
    <xdr:to>
      <xdr:col>13</xdr:col>
      <xdr:colOff>327660</xdr:colOff>
      <xdr:row>17</xdr:row>
      <xdr:rowOff>22860</xdr:rowOff>
    </xdr:to>
    <xdr:graphicFrame macro="">
      <xdr:nvGraphicFramePr>
        <xdr:cNvPr id="2" name="Chart 1">
          <a:extLst>
            <a:ext uri="{FF2B5EF4-FFF2-40B4-BE49-F238E27FC236}">
              <a16:creationId xmlns:a16="http://schemas.microsoft.com/office/drawing/2014/main" id="{518EFC00-78E5-4974-8127-A09978815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53340</xdr:colOff>
      <xdr:row>1</xdr:row>
      <xdr:rowOff>137160</xdr:rowOff>
    </xdr:from>
    <xdr:to>
      <xdr:col>25</xdr:col>
      <xdr:colOff>441960</xdr:colOff>
      <xdr:row>16</xdr:row>
      <xdr:rowOff>129540</xdr:rowOff>
    </xdr:to>
    <xdr:graphicFrame macro="">
      <xdr:nvGraphicFramePr>
        <xdr:cNvPr id="3" name="Chart 2">
          <a:extLst>
            <a:ext uri="{FF2B5EF4-FFF2-40B4-BE49-F238E27FC236}">
              <a16:creationId xmlns:a16="http://schemas.microsoft.com/office/drawing/2014/main" id="{7B59BBE9-6155-4BE5-A4C9-2DE336640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68580</xdr:colOff>
      <xdr:row>4</xdr:row>
      <xdr:rowOff>53340</xdr:rowOff>
    </xdr:from>
    <xdr:to>
      <xdr:col>17</xdr:col>
      <xdr:colOff>373380</xdr:colOff>
      <xdr:row>19</xdr:row>
      <xdr:rowOff>144780</xdr:rowOff>
    </xdr:to>
    <xdr:graphicFrame macro="">
      <xdr:nvGraphicFramePr>
        <xdr:cNvPr id="2" name="Chart 1">
          <a:extLst>
            <a:ext uri="{FF2B5EF4-FFF2-40B4-BE49-F238E27FC236}">
              <a16:creationId xmlns:a16="http://schemas.microsoft.com/office/drawing/2014/main" id="{DB3865FE-536B-4F6C-BA97-EC71C022E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281940</xdr:colOff>
      <xdr:row>2</xdr:row>
      <xdr:rowOff>45720</xdr:rowOff>
    </xdr:from>
    <xdr:to>
      <xdr:col>13</xdr:col>
      <xdr:colOff>586740</xdr:colOff>
      <xdr:row>17</xdr:row>
      <xdr:rowOff>45720</xdr:rowOff>
    </xdr:to>
    <xdr:graphicFrame macro="">
      <xdr:nvGraphicFramePr>
        <xdr:cNvPr id="4" name="Chart 3">
          <a:extLst>
            <a:ext uri="{FF2B5EF4-FFF2-40B4-BE49-F238E27FC236}">
              <a16:creationId xmlns:a16="http://schemas.microsoft.com/office/drawing/2014/main" id="{640A2C75-94B8-3C64-157D-B614CDF592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327660</xdr:colOff>
      <xdr:row>22</xdr:row>
      <xdr:rowOff>30480</xdr:rowOff>
    </xdr:from>
    <xdr:to>
      <xdr:col>14</xdr:col>
      <xdr:colOff>190500</xdr:colOff>
      <xdr:row>37</xdr:row>
      <xdr:rowOff>30480</xdr:rowOff>
    </xdr:to>
    <xdr:graphicFrame macro="">
      <xdr:nvGraphicFramePr>
        <xdr:cNvPr id="3" name="Chart 2">
          <a:extLst>
            <a:ext uri="{FF2B5EF4-FFF2-40B4-BE49-F238E27FC236}">
              <a16:creationId xmlns:a16="http://schemas.microsoft.com/office/drawing/2014/main" id="{090DD8F4-5C69-3522-D524-A0DD05D997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289560</xdr:colOff>
      <xdr:row>1</xdr:row>
      <xdr:rowOff>144780</xdr:rowOff>
    </xdr:from>
    <xdr:to>
      <xdr:col>14</xdr:col>
      <xdr:colOff>396240</xdr:colOff>
      <xdr:row>16</xdr:row>
      <xdr:rowOff>144780</xdr:rowOff>
    </xdr:to>
    <xdr:graphicFrame macro="">
      <xdr:nvGraphicFramePr>
        <xdr:cNvPr id="3" name="Chart 2">
          <a:extLst>
            <a:ext uri="{FF2B5EF4-FFF2-40B4-BE49-F238E27FC236}">
              <a16:creationId xmlns:a16="http://schemas.microsoft.com/office/drawing/2014/main" id="{09438D26-78BB-EB96-C66D-63EC8FCA7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563880</xdr:colOff>
      <xdr:row>0</xdr:row>
      <xdr:rowOff>175260</xdr:rowOff>
    </xdr:from>
    <xdr:to>
      <xdr:col>14</xdr:col>
      <xdr:colOff>259080</xdr:colOff>
      <xdr:row>15</xdr:row>
      <xdr:rowOff>175260</xdr:rowOff>
    </xdr:to>
    <xdr:graphicFrame macro="">
      <xdr:nvGraphicFramePr>
        <xdr:cNvPr id="3" name="Chart 2">
          <a:extLst>
            <a:ext uri="{FF2B5EF4-FFF2-40B4-BE49-F238E27FC236}">
              <a16:creationId xmlns:a16="http://schemas.microsoft.com/office/drawing/2014/main" id="{F014AAB1-4F25-AA65-6C82-674AD7E7B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548640</xdr:colOff>
      <xdr:row>23</xdr:row>
      <xdr:rowOff>7620</xdr:rowOff>
    </xdr:from>
    <xdr:to>
      <xdr:col>14</xdr:col>
      <xdr:colOff>243840</xdr:colOff>
      <xdr:row>38</xdr:row>
      <xdr:rowOff>76200</xdr:rowOff>
    </xdr:to>
    <xdr:graphicFrame macro="">
      <xdr:nvGraphicFramePr>
        <xdr:cNvPr id="4" name="Chart 3">
          <a:extLst>
            <a:ext uri="{FF2B5EF4-FFF2-40B4-BE49-F238E27FC236}">
              <a16:creationId xmlns:a16="http://schemas.microsoft.com/office/drawing/2014/main" id="{E830D782-6ACF-7962-764E-F8DAF7AE28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403860</xdr:colOff>
      <xdr:row>46</xdr:row>
      <xdr:rowOff>30480</xdr:rowOff>
    </xdr:from>
    <xdr:to>
      <xdr:col>14</xdr:col>
      <xdr:colOff>99060</xdr:colOff>
      <xdr:row>61</xdr:row>
      <xdr:rowOff>30480</xdr:rowOff>
    </xdr:to>
    <xdr:graphicFrame macro="">
      <xdr:nvGraphicFramePr>
        <xdr:cNvPr id="5" name="Chart 4">
          <a:extLst>
            <a:ext uri="{FF2B5EF4-FFF2-40B4-BE49-F238E27FC236}">
              <a16:creationId xmlns:a16="http://schemas.microsoft.com/office/drawing/2014/main" id="{32DA86A4-3E8B-4C75-AC7F-12F5D01AC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22860</xdr:colOff>
      <xdr:row>2</xdr:row>
      <xdr:rowOff>99060</xdr:rowOff>
    </xdr:from>
    <xdr:to>
      <xdr:col>14</xdr:col>
      <xdr:colOff>327660</xdr:colOff>
      <xdr:row>17</xdr:row>
      <xdr:rowOff>99060</xdr:rowOff>
    </xdr:to>
    <xdr:graphicFrame macro="">
      <xdr:nvGraphicFramePr>
        <xdr:cNvPr id="2" name="Chart 1">
          <a:extLst>
            <a:ext uri="{FF2B5EF4-FFF2-40B4-BE49-F238E27FC236}">
              <a16:creationId xmlns:a16="http://schemas.microsoft.com/office/drawing/2014/main" id="{FC5A5384-1CD4-4CFF-90B3-B8F2ECE554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22860</xdr:colOff>
      <xdr:row>2</xdr:row>
      <xdr:rowOff>99060</xdr:rowOff>
    </xdr:from>
    <xdr:to>
      <xdr:col>14</xdr:col>
      <xdr:colOff>327660</xdr:colOff>
      <xdr:row>17</xdr:row>
      <xdr:rowOff>99060</xdr:rowOff>
    </xdr:to>
    <xdr:graphicFrame macro="">
      <xdr:nvGraphicFramePr>
        <xdr:cNvPr id="2" name="Chart 1">
          <a:extLst>
            <a:ext uri="{FF2B5EF4-FFF2-40B4-BE49-F238E27FC236}">
              <a16:creationId xmlns:a16="http://schemas.microsoft.com/office/drawing/2014/main" id="{0BF5B619-4246-4FED-828A-D34596189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22860</xdr:colOff>
      <xdr:row>2</xdr:row>
      <xdr:rowOff>99060</xdr:rowOff>
    </xdr:from>
    <xdr:to>
      <xdr:col>14</xdr:col>
      <xdr:colOff>327660</xdr:colOff>
      <xdr:row>17</xdr:row>
      <xdr:rowOff>99060</xdr:rowOff>
    </xdr:to>
    <xdr:graphicFrame macro="">
      <xdr:nvGraphicFramePr>
        <xdr:cNvPr id="2" name="Chart 1">
          <a:extLst>
            <a:ext uri="{FF2B5EF4-FFF2-40B4-BE49-F238E27FC236}">
              <a16:creationId xmlns:a16="http://schemas.microsoft.com/office/drawing/2014/main" id="{9FCF5EDA-6DE6-48B0-8141-9CF14EE9D0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60960</xdr:colOff>
      <xdr:row>19</xdr:row>
      <xdr:rowOff>0</xdr:rowOff>
    </xdr:from>
    <xdr:to>
      <xdr:col>4</xdr:col>
      <xdr:colOff>594360</xdr:colOff>
      <xdr:row>28</xdr:row>
      <xdr:rowOff>83820</xdr:rowOff>
    </xdr:to>
    <xdr:graphicFrame macro="">
      <xdr:nvGraphicFramePr>
        <xdr:cNvPr id="2" name="Chart 1">
          <a:extLst>
            <a:ext uri="{FF2B5EF4-FFF2-40B4-BE49-F238E27FC236}">
              <a16:creationId xmlns:a16="http://schemas.microsoft.com/office/drawing/2014/main" id="{78502A0F-55F7-415B-B7B4-100FE7BA4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556260</xdr:colOff>
      <xdr:row>18</xdr:row>
      <xdr:rowOff>38100</xdr:rowOff>
    </xdr:from>
    <xdr:to>
      <xdr:col>4</xdr:col>
      <xdr:colOff>114300</xdr:colOff>
      <xdr:row>19</xdr:row>
      <xdr:rowOff>152400</xdr:rowOff>
    </xdr:to>
    <xdr:sp macro="" textlink="">
      <xdr:nvSpPr>
        <xdr:cNvPr id="3" name="TextBox 2">
          <a:extLst>
            <a:ext uri="{FF2B5EF4-FFF2-40B4-BE49-F238E27FC236}">
              <a16:creationId xmlns:a16="http://schemas.microsoft.com/office/drawing/2014/main" id="{10538670-0B41-4AF9-93C8-F568B56BAD17}"/>
            </a:ext>
          </a:extLst>
        </xdr:cNvPr>
        <xdr:cNvSpPr txBox="1"/>
      </xdr:nvSpPr>
      <xdr:spPr>
        <a:xfrm>
          <a:off x="685800" y="3078480"/>
          <a:ext cx="13868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Revenues (PKR</a:t>
          </a:r>
          <a:r>
            <a:rPr lang="en-US" sz="1100" b="1" baseline="0">
              <a:solidFill>
                <a:sysClr val="windowText" lastClr="000000"/>
              </a:solidFill>
            </a:rPr>
            <a:t> 000)</a:t>
          </a:r>
        </a:p>
        <a:p>
          <a:endParaRPr lang="en-US" sz="1100" b="1">
            <a:solidFill>
              <a:sysClr val="windowText" lastClr="000000"/>
            </a:solidFill>
          </a:endParaRPr>
        </a:p>
      </xdr:txBody>
    </xdr:sp>
    <xdr:clientData/>
  </xdr:twoCellAnchor>
  <xdr:twoCellAnchor>
    <xdr:from>
      <xdr:col>1</xdr:col>
      <xdr:colOff>114300</xdr:colOff>
      <xdr:row>17</xdr:row>
      <xdr:rowOff>175260</xdr:rowOff>
    </xdr:from>
    <xdr:to>
      <xdr:col>4</xdr:col>
      <xdr:colOff>68580</xdr:colOff>
      <xdr:row>17</xdr:row>
      <xdr:rowOff>175260</xdr:rowOff>
    </xdr:to>
    <xdr:cxnSp macro="">
      <xdr:nvCxnSpPr>
        <xdr:cNvPr id="4" name="Straight Connector 3">
          <a:extLst>
            <a:ext uri="{FF2B5EF4-FFF2-40B4-BE49-F238E27FC236}">
              <a16:creationId xmlns:a16="http://schemas.microsoft.com/office/drawing/2014/main" id="{854A1920-37AF-4059-A5FF-493756C2D7E5}"/>
            </a:ext>
          </a:extLst>
        </xdr:cNvPr>
        <xdr:cNvCxnSpPr/>
      </xdr:nvCxnSpPr>
      <xdr:spPr>
        <a:xfrm>
          <a:off x="243840" y="3040380"/>
          <a:ext cx="17830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251460</xdr:colOff>
      <xdr:row>18</xdr:row>
      <xdr:rowOff>175260</xdr:rowOff>
    </xdr:from>
    <xdr:to>
      <xdr:col>7</xdr:col>
      <xdr:colOff>906780</xdr:colOff>
      <xdr:row>28</xdr:row>
      <xdr:rowOff>76200</xdr:rowOff>
    </xdr:to>
    <xdr:graphicFrame macro="">
      <xdr:nvGraphicFramePr>
        <xdr:cNvPr id="5" name="Chart 4">
          <a:extLst>
            <a:ext uri="{FF2B5EF4-FFF2-40B4-BE49-F238E27FC236}">
              <a16:creationId xmlns:a16="http://schemas.microsoft.com/office/drawing/2014/main" id="{4B733C17-323F-423E-A340-B37302C3B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45720</xdr:colOff>
      <xdr:row>18</xdr:row>
      <xdr:rowOff>30480</xdr:rowOff>
    </xdr:from>
    <xdr:to>
      <xdr:col>7</xdr:col>
      <xdr:colOff>426720</xdr:colOff>
      <xdr:row>19</xdr:row>
      <xdr:rowOff>144780</xdr:rowOff>
    </xdr:to>
    <xdr:sp macro="" textlink="">
      <xdr:nvSpPr>
        <xdr:cNvPr id="6" name="TextBox 5">
          <a:extLst>
            <a:ext uri="{FF2B5EF4-FFF2-40B4-BE49-F238E27FC236}">
              <a16:creationId xmlns:a16="http://schemas.microsoft.com/office/drawing/2014/main" id="{F0831764-1FAB-4A3B-912D-70B6567E9A22}"/>
            </a:ext>
          </a:extLst>
        </xdr:cNvPr>
        <xdr:cNvSpPr txBox="1"/>
      </xdr:nvSpPr>
      <xdr:spPr>
        <a:xfrm>
          <a:off x="4564380" y="3070860"/>
          <a:ext cx="13868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Net Profit (PKR</a:t>
          </a:r>
          <a:r>
            <a:rPr lang="en-US" sz="1100" b="1" baseline="0">
              <a:solidFill>
                <a:sysClr val="windowText" lastClr="000000"/>
              </a:solidFill>
            </a:rPr>
            <a:t> 000)</a:t>
          </a:r>
        </a:p>
        <a:p>
          <a:endParaRPr lang="en-US" sz="1100" b="1">
            <a:solidFill>
              <a:sysClr val="windowText" lastClr="000000"/>
            </a:solidFill>
          </a:endParaRPr>
        </a:p>
      </xdr:txBody>
    </xdr:sp>
    <xdr:clientData/>
  </xdr:twoCellAnchor>
  <xdr:twoCellAnchor>
    <xdr:from>
      <xdr:col>5</xdr:col>
      <xdr:colOff>609600</xdr:colOff>
      <xdr:row>17</xdr:row>
      <xdr:rowOff>167640</xdr:rowOff>
    </xdr:from>
    <xdr:to>
      <xdr:col>7</xdr:col>
      <xdr:colOff>381000</xdr:colOff>
      <xdr:row>17</xdr:row>
      <xdr:rowOff>167640</xdr:rowOff>
    </xdr:to>
    <xdr:cxnSp macro="">
      <xdr:nvCxnSpPr>
        <xdr:cNvPr id="7" name="Straight Connector 6">
          <a:extLst>
            <a:ext uri="{FF2B5EF4-FFF2-40B4-BE49-F238E27FC236}">
              <a16:creationId xmlns:a16="http://schemas.microsoft.com/office/drawing/2014/main" id="{DB5D89FC-7E2D-4B9E-A740-CE772101A3FC}"/>
            </a:ext>
          </a:extLst>
        </xdr:cNvPr>
        <xdr:cNvCxnSpPr/>
      </xdr:nvCxnSpPr>
      <xdr:spPr>
        <a:xfrm>
          <a:off x="4122420" y="3040380"/>
          <a:ext cx="17830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106680</xdr:colOff>
      <xdr:row>19</xdr:row>
      <xdr:rowOff>12286</xdr:rowOff>
    </xdr:from>
    <xdr:to>
      <xdr:col>10</xdr:col>
      <xdr:colOff>762000</xdr:colOff>
      <xdr:row>28</xdr:row>
      <xdr:rowOff>99838</xdr:rowOff>
    </xdr:to>
    <xdr:graphicFrame macro="">
      <xdr:nvGraphicFramePr>
        <xdr:cNvPr id="8" name="Chart 7">
          <a:extLst>
            <a:ext uri="{FF2B5EF4-FFF2-40B4-BE49-F238E27FC236}">
              <a16:creationId xmlns:a16="http://schemas.microsoft.com/office/drawing/2014/main" id="{A832503C-DFC2-43E0-8999-CEEB23802C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572433</xdr:colOff>
      <xdr:row>18</xdr:row>
      <xdr:rowOff>23015</xdr:rowOff>
    </xdr:from>
    <xdr:to>
      <xdr:col>10</xdr:col>
      <xdr:colOff>583163</xdr:colOff>
      <xdr:row>19</xdr:row>
      <xdr:rowOff>77755</xdr:rowOff>
    </xdr:to>
    <xdr:sp macro="" textlink="">
      <xdr:nvSpPr>
        <xdr:cNvPr id="9" name="TextBox 8">
          <a:extLst>
            <a:ext uri="{FF2B5EF4-FFF2-40B4-BE49-F238E27FC236}">
              <a16:creationId xmlns:a16="http://schemas.microsoft.com/office/drawing/2014/main" id="{5593381B-CED8-4F25-956D-20A6AE32CAC9}"/>
            </a:ext>
          </a:extLst>
        </xdr:cNvPr>
        <xdr:cNvSpPr txBox="1"/>
      </xdr:nvSpPr>
      <xdr:spPr>
        <a:xfrm>
          <a:off x="7102773" y="3063395"/>
          <a:ext cx="2273870" cy="237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AverageTotal Assets (PKR</a:t>
          </a:r>
          <a:r>
            <a:rPr lang="en-US" sz="1100" b="1" baseline="0">
              <a:solidFill>
                <a:sysClr val="windowText" lastClr="000000"/>
              </a:solidFill>
            </a:rPr>
            <a:t> 000)</a:t>
          </a:r>
        </a:p>
        <a:p>
          <a:endParaRPr lang="en-US" sz="1100" b="1">
            <a:solidFill>
              <a:sysClr val="windowText" lastClr="000000"/>
            </a:solidFill>
          </a:endParaRPr>
        </a:p>
      </xdr:txBody>
    </xdr:sp>
    <xdr:clientData/>
  </xdr:twoCellAnchor>
  <xdr:twoCellAnchor>
    <xdr:from>
      <xdr:col>8</xdr:col>
      <xdr:colOff>464820</xdr:colOff>
      <xdr:row>17</xdr:row>
      <xdr:rowOff>152400</xdr:rowOff>
    </xdr:from>
    <xdr:to>
      <xdr:col>10</xdr:col>
      <xdr:colOff>236220</xdr:colOff>
      <xdr:row>17</xdr:row>
      <xdr:rowOff>152400</xdr:rowOff>
    </xdr:to>
    <xdr:cxnSp macro="">
      <xdr:nvCxnSpPr>
        <xdr:cNvPr id="10" name="Straight Connector 9">
          <a:extLst>
            <a:ext uri="{FF2B5EF4-FFF2-40B4-BE49-F238E27FC236}">
              <a16:creationId xmlns:a16="http://schemas.microsoft.com/office/drawing/2014/main" id="{05BF92F9-4848-4791-8169-DE835FD067F7}"/>
            </a:ext>
          </a:extLst>
        </xdr:cNvPr>
        <xdr:cNvCxnSpPr/>
      </xdr:nvCxnSpPr>
      <xdr:spPr>
        <a:xfrm>
          <a:off x="6995160" y="3040380"/>
          <a:ext cx="203454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31102</xdr:colOff>
      <xdr:row>31</xdr:row>
      <xdr:rowOff>174638</xdr:rowOff>
    </xdr:from>
    <xdr:to>
      <xdr:col>4</xdr:col>
      <xdr:colOff>564502</xdr:colOff>
      <xdr:row>41</xdr:row>
      <xdr:rowOff>71845</xdr:rowOff>
    </xdr:to>
    <xdr:graphicFrame macro="">
      <xdr:nvGraphicFramePr>
        <xdr:cNvPr id="11" name="Chart 10">
          <a:extLst>
            <a:ext uri="{FF2B5EF4-FFF2-40B4-BE49-F238E27FC236}">
              <a16:creationId xmlns:a16="http://schemas.microsoft.com/office/drawing/2014/main" id="{983563FE-72BD-45E8-A7E0-9071755996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503075</xdr:colOff>
      <xdr:row>30</xdr:row>
      <xdr:rowOff>166084</xdr:rowOff>
    </xdr:from>
    <xdr:to>
      <xdr:col>4</xdr:col>
      <xdr:colOff>155510</xdr:colOff>
      <xdr:row>32</xdr:row>
      <xdr:rowOff>7775</xdr:rowOff>
    </xdr:to>
    <xdr:sp macro="" textlink="">
      <xdr:nvSpPr>
        <xdr:cNvPr id="12" name="TextBox 11">
          <a:extLst>
            <a:ext uri="{FF2B5EF4-FFF2-40B4-BE49-F238E27FC236}">
              <a16:creationId xmlns:a16="http://schemas.microsoft.com/office/drawing/2014/main" id="{124AF2C2-50A2-4E2A-8585-3EACCE479165}"/>
            </a:ext>
          </a:extLst>
        </xdr:cNvPr>
        <xdr:cNvSpPr txBox="1"/>
      </xdr:nvSpPr>
      <xdr:spPr>
        <a:xfrm>
          <a:off x="632615" y="5401024"/>
          <a:ext cx="1481235" cy="207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Return</a:t>
          </a:r>
          <a:r>
            <a:rPr lang="en-US" sz="1100" b="1" baseline="0">
              <a:solidFill>
                <a:sysClr val="windowText" lastClr="000000"/>
              </a:solidFill>
            </a:rPr>
            <a:t> on Equity (%)</a:t>
          </a:r>
          <a:endParaRPr lang="en-US" sz="1100" b="1">
            <a:solidFill>
              <a:sysClr val="windowText" lastClr="000000"/>
            </a:solidFill>
          </a:endParaRPr>
        </a:p>
      </xdr:txBody>
    </xdr:sp>
    <xdr:clientData/>
  </xdr:twoCellAnchor>
  <xdr:twoCellAnchor>
    <xdr:from>
      <xdr:col>1</xdr:col>
      <xdr:colOff>364361</xdr:colOff>
      <xdr:row>30</xdr:row>
      <xdr:rowOff>101081</xdr:rowOff>
    </xdr:from>
    <xdr:to>
      <xdr:col>4</xdr:col>
      <xdr:colOff>318641</xdr:colOff>
      <xdr:row>30</xdr:row>
      <xdr:rowOff>101081</xdr:rowOff>
    </xdr:to>
    <xdr:cxnSp macro="">
      <xdr:nvCxnSpPr>
        <xdr:cNvPr id="13" name="Straight Connector 12">
          <a:extLst>
            <a:ext uri="{FF2B5EF4-FFF2-40B4-BE49-F238E27FC236}">
              <a16:creationId xmlns:a16="http://schemas.microsoft.com/office/drawing/2014/main" id="{DF4D67DB-9311-488D-A972-83A66F9252D6}"/>
            </a:ext>
          </a:extLst>
        </xdr:cNvPr>
        <xdr:cNvCxnSpPr/>
      </xdr:nvCxnSpPr>
      <xdr:spPr>
        <a:xfrm>
          <a:off x="493901" y="5336021"/>
          <a:ext cx="17830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209939</xdr:colOff>
      <xdr:row>32</xdr:row>
      <xdr:rowOff>3577</xdr:rowOff>
    </xdr:from>
    <xdr:to>
      <xdr:col>7</xdr:col>
      <xdr:colOff>859971</xdr:colOff>
      <xdr:row>41</xdr:row>
      <xdr:rowOff>87396</xdr:rowOff>
    </xdr:to>
    <xdr:graphicFrame macro="">
      <xdr:nvGraphicFramePr>
        <xdr:cNvPr id="14" name="Chart 13">
          <a:extLst>
            <a:ext uri="{FF2B5EF4-FFF2-40B4-BE49-F238E27FC236}">
              <a16:creationId xmlns:a16="http://schemas.microsoft.com/office/drawing/2014/main" id="{AE92A1DD-6285-4859-9D14-C0173953A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961831</xdr:colOff>
      <xdr:row>31</xdr:row>
      <xdr:rowOff>10575</xdr:rowOff>
    </xdr:from>
    <xdr:to>
      <xdr:col>7</xdr:col>
      <xdr:colOff>427653</xdr:colOff>
      <xdr:row>32</xdr:row>
      <xdr:rowOff>124875</xdr:rowOff>
    </xdr:to>
    <xdr:sp macro="" textlink="">
      <xdr:nvSpPr>
        <xdr:cNvPr id="15" name="TextBox 14">
          <a:extLst>
            <a:ext uri="{FF2B5EF4-FFF2-40B4-BE49-F238E27FC236}">
              <a16:creationId xmlns:a16="http://schemas.microsoft.com/office/drawing/2014/main" id="{77E53CB8-B5B4-4F61-8834-6F9225795172}"/>
            </a:ext>
          </a:extLst>
        </xdr:cNvPr>
        <xdr:cNvSpPr txBox="1"/>
      </xdr:nvSpPr>
      <xdr:spPr>
        <a:xfrm>
          <a:off x="4474651" y="5428395"/>
          <a:ext cx="1477502"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Return</a:t>
          </a:r>
          <a:r>
            <a:rPr lang="en-US" sz="1100" b="1" baseline="0">
              <a:solidFill>
                <a:sysClr val="windowText" lastClr="000000"/>
              </a:solidFill>
            </a:rPr>
            <a:t> on Assets (%)</a:t>
          </a:r>
          <a:endParaRPr lang="en-US" sz="1100" b="1">
            <a:solidFill>
              <a:sysClr val="windowText" lastClr="000000"/>
            </a:solidFill>
          </a:endParaRPr>
        </a:p>
      </xdr:txBody>
    </xdr:sp>
    <xdr:clientData/>
  </xdr:twoCellAnchor>
  <xdr:twoCellAnchor>
    <xdr:from>
      <xdr:col>5</xdr:col>
      <xdr:colOff>830892</xdr:colOff>
      <xdr:row>30</xdr:row>
      <xdr:rowOff>108857</xdr:rowOff>
    </xdr:from>
    <xdr:to>
      <xdr:col>7</xdr:col>
      <xdr:colOff>598559</xdr:colOff>
      <xdr:row>30</xdr:row>
      <xdr:rowOff>108857</xdr:rowOff>
    </xdr:to>
    <xdr:cxnSp macro="">
      <xdr:nvCxnSpPr>
        <xdr:cNvPr id="16" name="Straight Connector 15">
          <a:extLst>
            <a:ext uri="{FF2B5EF4-FFF2-40B4-BE49-F238E27FC236}">
              <a16:creationId xmlns:a16="http://schemas.microsoft.com/office/drawing/2014/main" id="{88550C40-C8E2-4173-A78E-F355520C712E}"/>
            </a:ext>
          </a:extLst>
        </xdr:cNvPr>
        <xdr:cNvCxnSpPr/>
      </xdr:nvCxnSpPr>
      <xdr:spPr>
        <a:xfrm>
          <a:off x="4343712" y="5343797"/>
          <a:ext cx="1779347"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101081</xdr:colOff>
      <xdr:row>32</xdr:row>
      <xdr:rowOff>19128</xdr:rowOff>
    </xdr:from>
    <xdr:to>
      <xdr:col>10</xdr:col>
      <xdr:colOff>751114</xdr:colOff>
      <xdr:row>41</xdr:row>
      <xdr:rowOff>102947</xdr:rowOff>
    </xdr:to>
    <xdr:graphicFrame macro="">
      <xdr:nvGraphicFramePr>
        <xdr:cNvPr id="17" name="Chart 16">
          <a:extLst>
            <a:ext uri="{FF2B5EF4-FFF2-40B4-BE49-F238E27FC236}">
              <a16:creationId xmlns:a16="http://schemas.microsoft.com/office/drawing/2014/main" id="{EFE8EAAA-9736-4FCD-918E-6281CB7289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852973</xdr:colOff>
      <xdr:row>31</xdr:row>
      <xdr:rowOff>26126</xdr:rowOff>
    </xdr:from>
    <xdr:to>
      <xdr:col>10</xdr:col>
      <xdr:colOff>318796</xdr:colOff>
      <xdr:row>32</xdr:row>
      <xdr:rowOff>140426</xdr:rowOff>
    </xdr:to>
    <xdr:sp macro="" textlink="">
      <xdr:nvSpPr>
        <xdr:cNvPr id="18" name="TextBox 17">
          <a:extLst>
            <a:ext uri="{FF2B5EF4-FFF2-40B4-BE49-F238E27FC236}">
              <a16:creationId xmlns:a16="http://schemas.microsoft.com/office/drawing/2014/main" id="{852E70D6-C04E-442C-AD0D-C91D6CD80824}"/>
            </a:ext>
          </a:extLst>
        </xdr:cNvPr>
        <xdr:cNvSpPr txBox="1"/>
      </xdr:nvSpPr>
      <xdr:spPr>
        <a:xfrm>
          <a:off x="7383313" y="5443946"/>
          <a:ext cx="1728963"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Equity Multiplier (x)</a:t>
          </a:r>
        </a:p>
      </xdr:txBody>
    </xdr:sp>
    <xdr:clientData/>
  </xdr:twoCellAnchor>
  <xdr:twoCellAnchor>
    <xdr:from>
      <xdr:col>8</xdr:col>
      <xdr:colOff>722034</xdr:colOff>
      <xdr:row>30</xdr:row>
      <xdr:rowOff>124408</xdr:rowOff>
    </xdr:from>
    <xdr:to>
      <xdr:col>10</xdr:col>
      <xdr:colOff>489702</xdr:colOff>
      <xdr:row>30</xdr:row>
      <xdr:rowOff>124408</xdr:rowOff>
    </xdr:to>
    <xdr:cxnSp macro="">
      <xdr:nvCxnSpPr>
        <xdr:cNvPr id="19" name="Straight Connector 18">
          <a:extLst>
            <a:ext uri="{FF2B5EF4-FFF2-40B4-BE49-F238E27FC236}">
              <a16:creationId xmlns:a16="http://schemas.microsoft.com/office/drawing/2014/main" id="{074D585F-5864-49DB-8D9E-06F8A8317086}"/>
            </a:ext>
          </a:extLst>
        </xdr:cNvPr>
        <xdr:cNvCxnSpPr/>
      </xdr:nvCxnSpPr>
      <xdr:spPr>
        <a:xfrm>
          <a:off x="7252374" y="5359348"/>
          <a:ext cx="2030808"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256593</xdr:colOff>
      <xdr:row>0</xdr:row>
      <xdr:rowOff>7775</xdr:rowOff>
    </xdr:from>
    <xdr:to>
      <xdr:col>13</xdr:col>
      <xdr:colOff>513185</xdr:colOff>
      <xdr:row>10</xdr:row>
      <xdr:rowOff>38877</xdr:rowOff>
    </xdr:to>
    <xdr:pic>
      <xdr:nvPicPr>
        <xdr:cNvPr id="22" name="Picture 21" descr="Ismail Industries Quarterly Profit ...">
          <a:extLst>
            <a:ext uri="{FF2B5EF4-FFF2-40B4-BE49-F238E27FC236}">
              <a16:creationId xmlns:a16="http://schemas.microsoft.com/office/drawing/2014/main" id="{B07E50B4-B939-6D05-6477-6272D0BA56A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038185" y="7775"/>
          <a:ext cx="1928326" cy="1780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601980</xdr:colOff>
      <xdr:row>3</xdr:row>
      <xdr:rowOff>99060</xdr:rowOff>
    </xdr:from>
    <xdr:to>
      <xdr:col>3</xdr:col>
      <xdr:colOff>297180</xdr:colOff>
      <xdr:row>8</xdr:row>
      <xdr:rowOff>83820</xdr:rowOff>
    </xdr:to>
    <xdr:pic>
      <xdr:nvPicPr>
        <xdr:cNvPr id="2" name="Picture 1" descr="Ismail Industries Quarterly Profit ...">
          <a:extLst>
            <a:ext uri="{FF2B5EF4-FFF2-40B4-BE49-F238E27FC236}">
              <a16:creationId xmlns:a16="http://schemas.microsoft.com/office/drawing/2014/main" id="{60E57C37-1407-4CC2-A175-1BB71B389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434340"/>
          <a:ext cx="152400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3</xdr:row>
      <xdr:rowOff>99059</xdr:rowOff>
    </xdr:from>
    <xdr:to>
      <xdr:col>10</xdr:col>
      <xdr:colOff>83820</xdr:colOff>
      <xdr:row>23</xdr:row>
      <xdr:rowOff>7620</xdr:rowOff>
    </xdr:to>
    <xdr:pic>
      <xdr:nvPicPr>
        <xdr:cNvPr id="2" name="Picture 1">
          <a:extLst>
            <a:ext uri="{FF2B5EF4-FFF2-40B4-BE49-F238E27FC236}">
              <a16:creationId xmlns:a16="http://schemas.microsoft.com/office/drawing/2014/main" id="{129AC0E1-7585-42D2-8F27-D20A2236094D}"/>
            </a:ext>
          </a:extLst>
        </xdr:cNvPr>
        <xdr:cNvPicPr>
          <a:picLocks noChangeAspect="1"/>
        </xdr:cNvPicPr>
      </xdr:nvPicPr>
      <xdr:blipFill>
        <a:blip xmlns:r="http://schemas.openxmlformats.org/officeDocument/2006/relationships" r:embed="rId1"/>
        <a:stretch>
          <a:fillRect/>
        </a:stretch>
      </xdr:blipFill>
      <xdr:spPr>
        <a:xfrm>
          <a:off x="609600" y="647699"/>
          <a:ext cx="5570220" cy="3566161"/>
        </a:xfrm>
        <a:prstGeom prst="rect">
          <a:avLst/>
        </a:prstGeom>
        <a:ln w="19050">
          <a:solidFill>
            <a:schemeClr val="tx1"/>
          </a:solidFill>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60960</xdr:colOff>
      <xdr:row>26</xdr:row>
      <xdr:rowOff>0</xdr:rowOff>
    </xdr:from>
    <xdr:to>
      <xdr:col>4</xdr:col>
      <xdr:colOff>1251857</xdr:colOff>
      <xdr:row>36</xdr:row>
      <xdr:rowOff>31102</xdr:rowOff>
    </xdr:to>
    <xdr:graphicFrame macro="">
      <xdr:nvGraphicFramePr>
        <xdr:cNvPr id="2" name="Chart 1">
          <a:extLst>
            <a:ext uri="{FF2B5EF4-FFF2-40B4-BE49-F238E27FC236}">
              <a16:creationId xmlns:a16="http://schemas.microsoft.com/office/drawing/2014/main" id="{7C99BBA4-15CE-4CAA-820D-06C92564E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556259</xdr:colOff>
      <xdr:row>24</xdr:row>
      <xdr:rowOff>53651</xdr:rowOff>
    </xdr:from>
    <xdr:to>
      <xdr:col>4</xdr:col>
      <xdr:colOff>738673</xdr:colOff>
      <xdr:row>26</xdr:row>
      <xdr:rowOff>51319</xdr:rowOff>
    </xdr:to>
    <xdr:sp macro="" textlink="">
      <xdr:nvSpPr>
        <xdr:cNvPr id="3" name="TextBox 2">
          <a:extLst>
            <a:ext uri="{FF2B5EF4-FFF2-40B4-BE49-F238E27FC236}">
              <a16:creationId xmlns:a16="http://schemas.microsoft.com/office/drawing/2014/main" id="{6AEE0CE4-1F66-4B2C-94DC-DC2773A8374F}"/>
            </a:ext>
          </a:extLst>
        </xdr:cNvPr>
        <xdr:cNvSpPr txBox="1"/>
      </xdr:nvSpPr>
      <xdr:spPr>
        <a:xfrm>
          <a:off x="685799" y="4534211"/>
          <a:ext cx="2011214" cy="294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Working </a:t>
          </a:r>
          <a:r>
            <a:rPr lang="en-US" sz="1200" b="1">
              <a:solidFill>
                <a:sysClr val="windowText" lastClr="000000"/>
              </a:solidFill>
            </a:rPr>
            <a:t>Capital</a:t>
          </a:r>
          <a:r>
            <a:rPr lang="en-US" sz="1100" b="1">
              <a:solidFill>
                <a:sysClr val="windowText" lastClr="000000"/>
              </a:solidFill>
            </a:rPr>
            <a:t>/Total</a:t>
          </a:r>
          <a:r>
            <a:rPr lang="en-US" sz="1100" b="1" baseline="0">
              <a:solidFill>
                <a:sysClr val="windowText" lastClr="000000"/>
              </a:solidFill>
            </a:rPr>
            <a:t> Assets</a:t>
          </a:r>
        </a:p>
        <a:p>
          <a:endParaRPr lang="en-US" sz="1100" b="1" baseline="0">
            <a:solidFill>
              <a:sysClr val="windowText" lastClr="000000"/>
            </a:solidFill>
          </a:endParaRPr>
        </a:p>
        <a:p>
          <a:endParaRPr lang="en-US" sz="1100" b="1">
            <a:solidFill>
              <a:sysClr val="windowText" lastClr="000000"/>
            </a:solidFill>
          </a:endParaRPr>
        </a:p>
      </xdr:txBody>
    </xdr:sp>
    <xdr:clientData/>
  </xdr:twoCellAnchor>
  <xdr:twoCellAnchor>
    <xdr:from>
      <xdr:col>1</xdr:col>
      <xdr:colOff>114300</xdr:colOff>
      <xdr:row>22</xdr:row>
      <xdr:rowOff>175260</xdr:rowOff>
    </xdr:from>
    <xdr:to>
      <xdr:col>4</xdr:col>
      <xdr:colOff>68580</xdr:colOff>
      <xdr:row>22</xdr:row>
      <xdr:rowOff>175260</xdr:rowOff>
    </xdr:to>
    <xdr:cxnSp macro="">
      <xdr:nvCxnSpPr>
        <xdr:cNvPr id="4" name="Straight Connector 3">
          <a:extLst>
            <a:ext uri="{FF2B5EF4-FFF2-40B4-BE49-F238E27FC236}">
              <a16:creationId xmlns:a16="http://schemas.microsoft.com/office/drawing/2014/main" id="{5E52933E-8CC7-476B-A10F-8F3765FD73B4}"/>
            </a:ext>
          </a:extLst>
        </xdr:cNvPr>
        <xdr:cNvCxnSpPr/>
      </xdr:nvCxnSpPr>
      <xdr:spPr>
        <a:xfrm>
          <a:off x="243840" y="4366260"/>
          <a:ext cx="178308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251460</xdr:colOff>
      <xdr:row>25</xdr:row>
      <xdr:rowOff>175260</xdr:rowOff>
    </xdr:from>
    <xdr:to>
      <xdr:col>7</xdr:col>
      <xdr:colOff>906780</xdr:colOff>
      <xdr:row>35</xdr:row>
      <xdr:rowOff>76200</xdr:rowOff>
    </xdr:to>
    <xdr:graphicFrame macro="">
      <xdr:nvGraphicFramePr>
        <xdr:cNvPr id="5" name="Chart 4">
          <a:extLst>
            <a:ext uri="{FF2B5EF4-FFF2-40B4-BE49-F238E27FC236}">
              <a16:creationId xmlns:a16="http://schemas.microsoft.com/office/drawing/2014/main" id="{087AB12C-2D9C-48D1-AB22-FE4EBA44B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613333</xdr:colOff>
      <xdr:row>24</xdr:row>
      <xdr:rowOff>53807</xdr:rowOff>
    </xdr:from>
    <xdr:to>
      <xdr:col>7</xdr:col>
      <xdr:colOff>824204</xdr:colOff>
      <xdr:row>26</xdr:row>
      <xdr:rowOff>51474</xdr:rowOff>
    </xdr:to>
    <xdr:sp macro="" textlink="">
      <xdr:nvSpPr>
        <xdr:cNvPr id="6" name="TextBox 5">
          <a:extLst>
            <a:ext uri="{FF2B5EF4-FFF2-40B4-BE49-F238E27FC236}">
              <a16:creationId xmlns:a16="http://schemas.microsoft.com/office/drawing/2014/main" id="{4C9CD1AA-476C-4E67-A972-7E61D1748E0B}"/>
            </a:ext>
          </a:extLst>
        </xdr:cNvPr>
        <xdr:cNvSpPr txBox="1"/>
      </xdr:nvSpPr>
      <xdr:spPr>
        <a:xfrm>
          <a:off x="4126153" y="4534367"/>
          <a:ext cx="2222551" cy="294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rPr>
            <a:t>Retained Earnings/Total Assets</a:t>
          </a:r>
        </a:p>
        <a:p>
          <a:endParaRPr lang="en-US" sz="1200" b="1" baseline="0">
            <a:solidFill>
              <a:sysClr val="windowText" lastClr="000000"/>
            </a:solidFill>
          </a:endParaRPr>
        </a:p>
        <a:p>
          <a:endParaRPr lang="en-US" sz="1200" b="1">
            <a:solidFill>
              <a:sysClr val="windowText" lastClr="000000"/>
            </a:solidFill>
          </a:endParaRPr>
        </a:p>
      </xdr:txBody>
    </xdr:sp>
    <xdr:clientData/>
  </xdr:twoCellAnchor>
  <xdr:twoCellAnchor>
    <xdr:from>
      <xdr:col>5</xdr:col>
      <xdr:colOff>609600</xdr:colOff>
      <xdr:row>22</xdr:row>
      <xdr:rowOff>167640</xdr:rowOff>
    </xdr:from>
    <xdr:to>
      <xdr:col>7</xdr:col>
      <xdr:colOff>381000</xdr:colOff>
      <xdr:row>22</xdr:row>
      <xdr:rowOff>167640</xdr:rowOff>
    </xdr:to>
    <xdr:cxnSp macro="">
      <xdr:nvCxnSpPr>
        <xdr:cNvPr id="7" name="Straight Connector 6">
          <a:extLst>
            <a:ext uri="{FF2B5EF4-FFF2-40B4-BE49-F238E27FC236}">
              <a16:creationId xmlns:a16="http://schemas.microsoft.com/office/drawing/2014/main" id="{269FFF4C-7B1C-44D0-98B9-40429345BB20}"/>
            </a:ext>
          </a:extLst>
        </xdr:cNvPr>
        <xdr:cNvCxnSpPr/>
      </xdr:nvCxnSpPr>
      <xdr:spPr>
        <a:xfrm>
          <a:off x="4122420" y="4366260"/>
          <a:ext cx="17830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106680</xdr:colOff>
      <xdr:row>26</xdr:row>
      <xdr:rowOff>12286</xdr:rowOff>
    </xdr:from>
    <xdr:to>
      <xdr:col>10</xdr:col>
      <xdr:colOff>762000</xdr:colOff>
      <xdr:row>35</xdr:row>
      <xdr:rowOff>99838</xdr:rowOff>
    </xdr:to>
    <xdr:graphicFrame macro="">
      <xdr:nvGraphicFramePr>
        <xdr:cNvPr id="8" name="Chart 7">
          <a:extLst>
            <a:ext uri="{FF2B5EF4-FFF2-40B4-BE49-F238E27FC236}">
              <a16:creationId xmlns:a16="http://schemas.microsoft.com/office/drawing/2014/main" id="{91909775-D281-4920-9AFA-AFF9F20B6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549106</xdr:colOff>
      <xdr:row>24</xdr:row>
      <xdr:rowOff>61893</xdr:rowOff>
    </xdr:from>
    <xdr:to>
      <xdr:col>10</xdr:col>
      <xdr:colOff>559836</xdr:colOff>
      <xdr:row>26</xdr:row>
      <xdr:rowOff>0</xdr:rowOff>
    </xdr:to>
    <xdr:sp macro="" textlink="">
      <xdr:nvSpPr>
        <xdr:cNvPr id="9" name="TextBox 8">
          <a:extLst>
            <a:ext uri="{FF2B5EF4-FFF2-40B4-BE49-F238E27FC236}">
              <a16:creationId xmlns:a16="http://schemas.microsoft.com/office/drawing/2014/main" id="{CE91F516-0FF2-450A-8F0F-8D981944E1C1}"/>
            </a:ext>
          </a:extLst>
        </xdr:cNvPr>
        <xdr:cNvSpPr txBox="1"/>
      </xdr:nvSpPr>
      <xdr:spPr>
        <a:xfrm>
          <a:off x="7079446" y="4542453"/>
          <a:ext cx="2273870" cy="235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rPr>
            <a:t>EBIT/Total Assets</a:t>
          </a:r>
        </a:p>
        <a:p>
          <a:endParaRPr lang="en-US" sz="1200" b="1">
            <a:solidFill>
              <a:sysClr val="windowText" lastClr="000000"/>
            </a:solidFill>
          </a:endParaRPr>
        </a:p>
      </xdr:txBody>
    </xdr:sp>
    <xdr:clientData/>
  </xdr:twoCellAnchor>
  <xdr:twoCellAnchor>
    <xdr:from>
      <xdr:col>8</xdr:col>
      <xdr:colOff>464820</xdr:colOff>
      <xdr:row>22</xdr:row>
      <xdr:rowOff>152400</xdr:rowOff>
    </xdr:from>
    <xdr:to>
      <xdr:col>10</xdr:col>
      <xdr:colOff>236220</xdr:colOff>
      <xdr:row>22</xdr:row>
      <xdr:rowOff>152400</xdr:rowOff>
    </xdr:to>
    <xdr:cxnSp macro="">
      <xdr:nvCxnSpPr>
        <xdr:cNvPr id="10" name="Straight Connector 9">
          <a:extLst>
            <a:ext uri="{FF2B5EF4-FFF2-40B4-BE49-F238E27FC236}">
              <a16:creationId xmlns:a16="http://schemas.microsoft.com/office/drawing/2014/main" id="{C73D14BE-6448-405F-A575-9417EB0D743C}"/>
            </a:ext>
          </a:extLst>
        </xdr:cNvPr>
        <xdr:cNvCxnSpPr/>
      </xdr:nvCxnSpPr>
      <xdr:spPr>
        <a:xfrm>
          <a:off x="6995160" y="4366260"/>
          <a:ext cx="203454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31102</xdr:colOff>
      <xdr:row>39</xdr:row>
      <xdr:rowOff>174638</xdr:rowOff>
    </xdr:from>
    <xdr:to>
      <xdr:col>4</xdr:col>
      <xdr:colOff>564502</xdr:colOff>
      <xdr:row>49</xdr:row>
      <xdr:rowOff>71845</xdr:rowOff>
    </xdr:to>
    <xdr:graphicFrame macro="">
      <xdr:nvGraphicFramePr>
        <xdr:cNvPr id="11" name="Chart 10">
          <a:extLst>
            <a:ext uri="{FF2B5EF4-FFF2-40B4-BE49-F238E27FC236}">
              <a16:creationId xmlns:a16="http://schemas.microsoft.com/office/drawing/2014/main" id="{75185211-ADE4-45C2-86C4-9232AC2EC6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184278</xdr:colOff>
      <xdr:row>38</xdr:row>
      <xdr:rowOff>103881</xdr:rowOff>
    </xdr:from>
    <xdr:to>
      <xdr:col>4</xdr:col>
      <xdr:colOff>1158550</xdr:colOff>
      <xdr:row>40</xdr:row>
      <xdr:rowOff>101082</xdr:rowOff>
    </xdr:to>
    <xdr:sp macro="" textlink="">
      <xdr:nvSpPr>
        <xdr:cNvPr id="12" name="TextBox 11">
          <a:extLst>
            <a:ext uri="{FF2B5EF4-FFF2-40B4-BE49-F238E27FC236}">
              <a16:creationId xmlns:a16="http://schemas.microsoft.com/office/drawing/2014/main" id="{E0C3C93A-6C7E-4D92-B2A1-DF19A790B773}"/>
            </a:ext>
          </a:extLst>
        </xdr:cNvPr>
        <xdr:cNvSpPr txBox="1"/>
      </xdr:nvSpPr>
      <xdr:spPr>
        <a:xfrm>
          <a:off x="313818" y="7076181"/>
          <a:ext cx="2803072" cy="362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Market Capitalization/Long-Term</a:t>
          </a:r>
          <a:r>
            <a:rPr lang="en-US" sz="1100" b="1" baseline="0">
              <a:solidFill>
                <a:sysClr val="windowText" lastClr="000000"/>
              </a:solidFill>
            </a:rPr>
            <a:t> Liabilities</a:t>
          </a:r>
        </a:p>
      </xdr:txBody>
    </xdr:sp>
    <xdr:clientData/>
  </xdr:twoCellAnchor>
  <xdr:twoCellAnchor>
    <xdr:from>
      <xdr:col>1</xdr:col>
      <xdr:colOff>364361</xdr:colOff>
      <xdr:row>37</xdr:row>
      <xdr:rowOff>101081</xdr:rowOff>
    </xdr:from>
    <xdr:to>
      <xdr:col>4</xdr:col>
      <xdr:colOff>318641</xdr:colOff>
      <xdr:row>37</xdr:row>
      <xdr:rowOff>101081</xdr:rowOff>
    </xdr:to>
    <xdr:cxnSp macro="">
      <xdr:nvCxnSpPr>
        <xdr:cNvPr id="13" name="Straight Connector 12">
          <a:extLst>
            <a:ext uri="{FF2B5EF4-FFF2-40B4-BE49-F238E27FC236}">
              <a16:creationId xmlns:a16="http://schemas.microsoft.com/office/drawing/2014/main" id="{A62169DF-31CC-4A47-BD8C-11E40D959FA0}"/>
            </a:ext>
          </a:extLst>
        </xdr:cNvPr>
        <xdr:cNvCxnSpPr/>
      </xdr:nvCxnSpPr>
      <xdr:spPr>
        <a:xfrm>
          <a:off x="493901" y="6890501"/>
          <a:ext cx="17830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209939</xdr:colOff>
      <xdr:row>40</xdr:row>
      <xdr:rowOff>3577</xdr:rowOff>
    </xdr:from>
    <xdr:to>
      <xdr:col>7</xdr:col>
      <xdr:colOff>859971</xdr:colOff>
      <xdr:row>49</xdr:row>
      <xdr:rowOff>87396</xdr:rowOff>
    </xdr:to>
    <xdr:graphicFrame macro="">
      <xdr:nvGraphicFramePr>
        <xdr:cNvPr id="14" name="Chart 13">
          <a:extLst>
            <a:ext uri="{FF2B5EF4-FFF2-40B4-BE49-F238E27FC236}">
              <a16:creationId xmlns:a16="http://schemas.microsoft.com/office/drawing/2014/main" id="{91157064-A5BE-458F-ABF1-6A9BB1107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961831</xdr:colOff>
      <xdr:row>39</xdr:row>
      <xdr:rowOff>10575</xdr:rowOff>
    </xdr:from>
    <xdr:to>
      <xdr:col>7</xdr:col>
      <xdr:colOff>427653</xdr:colOff>
      <xdr:row>40</xdr:row>
      <xdr:rowOff>124875</xdr:rowOff>
    </xdr:to>
    <xdr:sp macro="" textlink="">
      <xdr:nvSpPr>
        <xdr:cNvPr id="15" name="TextBox 14">
          <a:extLst>
            <a:ext uri="{FF2B5EF4-FFF2-40B4-BE49-F238E27FC236}">
              <a16:creationId xmlns:a16="http://schemas.microsoft.com/office/drawing/2014/main" id="{C3D8C103-764E-4AFD-9897-A16CAC2BC05D}"/>
            </a:ext>
          </a:extLst>
        </xdr:cNvPr>
        <xdr:cNvSpPr txBox="1"/>
      </xdr:nvSpPr>
      <xdr:spPr>
        <a:xfrm>
          <a:off x="4474651" y="7165755"/>
          <a:ext cx="1477502"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rPr>
            <a:t>Sales/Total</a:t>
          </a:r>
          <a:r>
            <a:rPr lang="en-US" sz="1200" b="1" baseline="0">
              <a:solidFill>
                <a:sysClr val="windowText" lastClr="000000"/>
              </a:solidFill>
            </a:rPr>
            <a:t> Assets</a:t>
          </a:r>
          <a:endParaRPr lang="en-US" sz="1200" b="1">
            <a:solidFill>
              <a:sysClr val="windowText" lastClr="000000"/>
            </a:solidFill>
          </a:endParaRPr>
        </a:p>
      </xdr:txBody>
    </xdr:sp>
    <xdr:clientData/>
  </xdr:twoCellAnchor>
  <xdr:twoCellAnchor>
    <xdr:from>
      <xdr:col>5</xdr:col>
      <xdr:colOff>830892</xdr:colOff>
      <xdr:row>37</xdr:row>
      <xdr:rowOff>108857</xdr:rowOff>
    </xdr:from>
    <xdr:to>
      <xdr:col>7</xdr:col>
      <xdr:colOff>598559</xdr:colOff>
      <xdr:row>37</xdr:row>
      <xdr:rowOff>108857</xdr:rowOff>
    </xdr:to>
    <xdr:cxnSp macro="">
      <xdr:nvCxnSpPr>
        <xdr:cNvPr id="16" name="Straight Connector 15">
          <a:extLst>
            <a:ext uri="{FF2B5EF4-FFF2-40B4-BE49-F238E27FC236}">
              <a16:creationId xmlns:a16="http://schemas.microsoft.com/office/drawing/2014/main" id="{9F606D6F-7A4F-4A47-9892-99DD282E1ED9}"/>
            </a:ext>
          </a:extLst>
        </xdr:cNvPr>
        <xdr:cNvCxnSpPr/>
      </xdr:nvCxnSpPr>
      <xdr:spPr>
        <a:xfrm>
          <a:off x="4343712" y="6898277"/>
          <a:ext cx="1779347"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101081</xdr:colOff>
      <xdr:row>40</xdr:row>
      <xdr:rowOff>19128</xdr:rowOff>
    </xdr:from>
    <xdr:to>
      <xdr:col>10</xdr:col>
      <xdr:colOff>751114</xdr:colOff>
      <xdr:row>49</xdr:row>
      <xdr:rowOff>102947</xdr:rowOff>
    </xdr:to>
    <xdr:graphicFrame macro="">
      <xdr:nvGraphicFramePr>
        <xdr:cNvPr id="17" name="Chart 16">
          <a:extLst>
            <a:ext uri="{FF2B5EF4-FFF2-40B4-BE49-F238E27FC236}">
              <a16:creationId xmlns:a16="http://schemas.microsoft.com/office/drawing/2014/main" id="{67AF88AE-546A-41F9-8DD6-DF41C2207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0</xdr:colOff>
      <xdr:row>0</xdr:row>
      <xdr:rowOff>0</xdr:rowOff>
    </xdr:from>
    <xdr:to>
      <xdr:col>13</xdr:col>
      <xdr:colOff>248816</xdr:colOff>
      <xdr:row>10</xdr:row>
      <xdr:rowOff>0</xdr:rowOff>
    </xdr:to>
    <xdr:pic>
      <xdr:nvPicPr>
        <xdr:cNvPr id="19" name="Picture 18" descr="Ismail Industries Quarterly Profit ...">
          <a:extLst>
            <a:ext uri="{FF2B5EF4-FFF2-40B4-BE49-F238E27FC236}">
              <a16:creationId xmlns:a16="http://schemas.microsoft.com/office/drawing/2014/main" id="{78BA51D2-3925-40BE-8B21-35BD65F7812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310327" y="0"/>
          <a:ext cx="1928326" cy="1780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Upwork%20and%20Assirience%20work\Financial%20Modelling%20Whole\DCF_Discounted%20Cash%20Flow%20Model%20for%20Valua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Waleed%20Ghani\Desktop\Upwork%20and%20Assirience%20work\Financial%20Modelling%20Whole\IIL%20Data\IIL%20DCF%20and%20WACC%20Modelling.xlsx" TargetMode="External"/><Relationship Id="rId1" Type="http://schemas.openxmlformats.org/officeDocument/2006/relationships/externalLinkPath" Target="/Waleed%20Ghani/Desktop/Upwork%20and%20Assirience%20work/Financial%20Modelling%20Whole/IIL%20Data/IIL%20DCF%20and%20WACC%20Model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 formulas"/>
      <sheetName val="Integrated FS"/>
      <sheetName val="WACC, Ke, Kd calc"/>
      <sheetName val="Goal Seek, data table, scen ana"/>
      <sheetName val="Scenario manager"/>
      <sheetName val="Scenario Summary "/>
      <sheetName val="Free Cashflows to Firm"/>
      <sheetName val="WACC"/>
      <sheetName val="PV of CF"/>
      <sheetName val="FV Perpetuity"/>
      <sheetName val="FV EBITDA"/>
      <sheetName val="NPV Formula"/>
      <sheetName val="DCF"/>
    </sheetNames>
    <sheetDataSet>
      <sheetData sheetId="0" refreshError="1"/>
      <sheetData sheetId="1"/>
      <sheetData sheetId="2">
        <row r="3">
          <cell r="C3">
            <v>0.04</v>
          </cell>
        </row>
        <row r="4">
          <cell r="C4">
            <v>0.1</v>
          </cell>
        </row>
        <row r="5">
          <cell r="C5">
            <v>1.25</v>
          </cell>
        </row>
        <row r="8">
          <cell r="C8">
            <v>0.14000000000000001</v>
          </cell>
        </row>
        <row r="9">
          <cell r="C9">
            <v>0.3</v>
          </cell>
        </row>
        <row r="12">
          <cell r="C12">
            <v>125000</v>
          </cell>
        </row>
        <row r="13">
          <cell r="C13">
            <v>125000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CC"/>
      <sheetName val="Data-competitors"/>
      <sheetName val="Rm (KSE-100 Returns)"/>
      <sheetName val="Beta-UFPL"/>
      <sheetName val="Beta-Nestle Pak Ltd"/>
      <sheetName val="Beta-FCEPL"/>
      <sheetName val="Beta-Ismail Industries Ltd"/>
      <sheetName val="Beta-National Foods Ltd"/>
      <sheetName val="BS"/>
      <sheetName val="Pnl"/>
      <sheetName val="Raw CF Stm"/>
      <sheetName val="Ratio Analysis-Profitability"/>
      <sheetName val="Intrinsic Growth Rate"/>
      <sheetName val="DCF &amp; Sensitivity Analysis"/>
      <sheetName val="Further Sensitivity Analysis"/>
      <sheetName val="Raw Data for Relative Valuation"/>
      <sheetName val="IIL-Comp company Valuation"/>
      <sheetName val="Football Field Analysis"/>
    </sheetNames>
    <sheetDataSet>
      <sheetData sheetId="0" refreshError="1"/>
      <sheetData sheetId="1" refreshError="1"/>
      <sheetData sheetId="2" refreshError="1"/>
      <sheetData sheetId="3" refreshError="1"/>
      <sheetData sheetId="4" refreshError="1"/>
      <sheetData sheetId="5" refreshError="1"/>
      <sheetData sheetId="6">
        <row r="4">
          <cell r="B4" t="str">
            <v>Ismail Industries Limited</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20">
          <cell r="C20">
            <v>2024</v>
          </cell>
          <cell r="D20">
            <v>2023</v>
          </cell>
          <cell r="E20">
            <v>2022</v>
          </cell>
          <cell r="F20">
            <v>2021</v>
          </cell>
          <cell r="G20">
            <v>2020</v>
          </cell>
          <cell r="H20">
            <v>2019</v>
          </cell>
        </row>
        <row r="21">
          <cell r="C21">
            <v>6.14</v>
          </cell>
          <cell r="D21">
            <v>4.41</v>
          </cell>
          <cell r="E21">
            <v>8.24</v>
          </cell>
          <cell r="F21">
            <v>10.07</v>
          </cell>
          <cell r="G21">
            <v>12.51</v>
          </cell>
          <cell r="H21">
            <v>8.2739999999999991</v>
          </cell>
        </row>
        <row r="22">
          <cell r="C22">
            <v>1570.87</v>
          </cell>
          <cell r="D22">
            <v>846.3</v>
          </cell>
          <cell r="E22">
            <v>799.73</v>
          </cell>
          <cell r="F22">
            <v>611.59</v>
          </cell>
          <cell r="G22">
            <v>588</v>
          </cell>
          <cell r="H22">
            <v>883.298</v>
          </cell>
        </row>
        <row r="23">
          <cell r="C23">
            <v>0.96</v>
          </cell>
          <cell r="D23">
            <v>0.63</v>
          </cell>
          <cell r="E23">
            <v>0.96</v>
          </cell>
          <cell r="F23">
            <v>1.0900000000000001</v>
          </cell>
          <cell r="G23">
            <v>1.17</v>
          </cell>
          <cell r="H23">
            <v>0.96199999999999997</v>
          </cell>
        </row>
      </sheetData>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424FB-DEE0-4B3D-A10E-79E170FB3B81}">
  <sheetPr codeName="Sheet37"/>
  <dimension ref="B2:K38"/>
  <sheetViews>
    <sheetView showGridLines="0" topLeftCell="A4" workbookViewId="0">
      <selection activeCell="B38" sqref="B5:C38"/>
    </sheetView>
  </sheetViews>
  <sheetFormatPr defaultRowHeight="13.8"/>
  <cols>
    <col min="1" max="1" width="1.88671875" style="410" customWidth="1"/>
    <col min="2" max="2" width="8.88671875" style="410"/>
    <col min="3" max="3" width="33.109375" style="410" customWidth="1"/>
    <col min="4" max="16384" width="8.88671875" style="410"/>
  </cols>
  <sheetData>
    <row r="2" spans="2:11" ht="14.4">
      <c r="B2" s="412" t="str">
        <f>"Financial Model"&amp;" - "&amp;BS!$B$2</f>
        <v>Financial Model - Ismail Industries Limited</v>
      </c>
      <c r="C2" s="412"/>
      <c r="D2" s="412"/>
      <c r="E2" s="412"/>
      <c r="F2" s="412"/>
      <c r="G2" s="412"/>
      <c r="H2" s="412"/>
      <c r="I2" s="412"/>
      <c r="J2" s="412"/>
      <c r="K2" s="412"/>
    </row>
    <row r="4" spans="2:11">
      <c r="B4" s="413" t="s">
        <v>339</v>
      </c>
      <c r="C4" s="413"/>
    </row>
    <row r="5" spans="2:11" ht="14.4">
      <c r="B5" s="411" t="s">
        <v>340</v>
      </c>
    </row>
    <row r="6" spans="2:11" ht="14.4">
      <c r="B6" s="411" t="s">
        <v>341</v>
      </c>
    </row>
    <row r="7" spans="2:11" ht="14.4">
      <c r="B7" s="411" t="s">
        <v>335</v>
      </c>
    </row>
    <row r="8" spans="2:11" ht="14.4">
      <c r="B8" s="411" t="s">
        <v>336</v>
      </c>
    </row>
    <row r="9" spans="2:11" ht="14.4">
      <c r="B9" s="411" t="s">
        <v>337</v>
      </c>
    </row>
    <row r="10" spans="2:11" ht="14.4">
      <c r="B10" s="411" t="s">
        <v>338</v>
      </c>
    </row>
    <row r="11" spans="2:11" ht="14.4">
      <c r="B11" s="411" t="s">
        <v>342</v>
      </c>
    </row>
    <row r="12" spans="2:11" ht="14.4">
      <c r="B12" s="411" t="s">
        <v>343</v>
      </c>
    </row>
    <row r="13" spans="2:11" ht="14.4">
      <c r="B13" s="411" t="s">
        <v>344</v>
      </c>
    </row>
    <row r="14" spans="2:11" ht="14.4">
      <c r="B14" s="411" t="s">
        <v>345</v>
      </c>
    </row>
    <row r="15" spans="2:11" ht="14.4">
      <c r="B15" s="411" t="s">
        <v>388</v>
      </c>
    </row>
    <row r="16" spans="2:11" ht="14.4">
      <c r="B16" s="411" t="s">
        <v>346</v>
      </c>
    </row>
    <row r="17" spans="2:2" ht="14.4">
      <c r="B17" s="411" t="s">
        <v>347</v>
      </c>
    </row>
    <row r="18" spans="2:2" ht="14.4">
      <c r="B18" s="411" t="s">
        <v>348</v>
      </c>
    </row>
    <row r="19" spans="2:2" ht="14.4">
      <c r="B19" s="411" t="s">
        <v>349</v>
      </c>
    </row>
    <row r="20" spans="2:2" ht="14.4">
      <c r="B20" s="411" t="s">
        <v>350</v>
      </c>
    </row>
    <row r="21" spans="2:2" ht="14.4">
      <c r="B21" s="411" t="s">
        <v>394</v>
      </c>
    </row>
    <row r="22" spans="2:2" ht="14.4">
      <c r="B22" s="411" t="s">
        <v>395</v>
      </c>
    </row>
    <row r="23" spans="2:2" ht="14.4">
      <c r="B23" s="411" t="s">
        <v>396</v>
      </c>
    </row>
    <row r="24" spans="2:2" ht="14.4">
      <c r="B24" s="411" t="s">
        <v>351</v>
      </c>
    </row>
    <row r="25" spans="2:2" ht="14.4">
      <c r="B25" s="411" t="s">
        <v>352</v>
      </c>
    </row>
    <row r="26" spans="2:2" ht="14.4">
      <c r="B26" s="411" t="s">
        <v>353</v>
      </c>
    </row>
    <row r="27" spans="2:2" ht="14.4">
      <c r="B27" s="411" t="s">
        <v>397</v>
      </c>
    </row>
    <row r="28" spans="2:2" ht="14.4">
      <c r="B28" s="411" t="s">
        <v>354</v>
      </c>
    </row>
    <row r="29" spans="2:2" ht="14.4">
      <c r="B29" s="411" t="s">
        <v>355</v>
      </c>
    </row>
    <row r="30" spans="2:2" ht="14.4">
      <c r="B30" s="411" t="s">
        <v>356</v>
      </c>
    </row>
    <row r="31" spans="2:2" ht="14.4">
      <c r="B31" s="411" t="s">
        <v>357</v>
      </c>
    </row>
    <row r="32" spans="2:2" ht="14.4">
      <c r="B32" s="411" t="s">
        <v>358</v>
      </c>
    </row>
    <row r="33" spans="2:2" ht="14.4">
      <c r="B33" s="411" t="s">
        <v>359</v>
      </c>
    </row>
    <row r="34" spans="2:2" ht="14.4">
      <c r="B34" s="411" t="s">
        <v>360</v>
      </c>
    </row>
    <row r="35" spans="2:2" ht="14.4">
      <c r="B35" s="411" t="s">
        <v>361</v>
      </c>
    </row>
    <row r="36" spans="2:2" ht="14.4">
      <c r="B36" s="411" t="s">
        <v>362</v>
      </c>
    </row>
    <row r="37" spans="2:2" ht="14.4">
      <c r="B37" s="411" t="s">
        <v>363</v>
      </c>
    </row>
    <row r="38" spans="2:2" ht="14.4">
      <c r="B38" s="411" t="s">
        <v>387</v>
      </c>
    </row>
  </sheetData>
  <mergeCells count="2">
    <mergeCell ref="B2:K2"/>
    <mergeCell ref="B4:C4"/>
  </mergeCells>
  <hyperlinks>
    <hyperlink ref="B5" location="'BS'!A1" display="BS" xr:uid="{52AF677B-86CC-49AE-AAB3-AED26EB534D5}"/>
    <hyperlink ref="B6" location="'Pnl'!A1" display="Pnl" xr:uid="{CEF583DE-3146-4F8B-BC1F-67503EFBB2A4}"/>
    <hyperlink ref="B7" location="'Ratio Analysis-Profitability'!A1" display="Ratio Analysis-Profitability" xr:uid="{4946D0CC-E75F-4BC0-BC47-85BA7B3B9509}"/>
    <hyperlink ref="B8" location="'Ratio Analysis-Liquidity'!A1" display="Ratio Analysis-Liquidity" xr:uid="{5B95DE64-7E2A-471F-8983-B09F1529EF05}"/>
    <hyperlink ref="B9" location="'Ratio Analysis-Solvency'!A1" display="Ratio Analysis-Solvency" xr:uid="{512C2D6A-E22C-4F35-9C29-853A325E42B8}"/>
    <hyperlink ref="B10" location="'Ratio Analysis-Investment'!A1" display="Ratio Analysis-Investment" xr:uid="{D11CD56C-D9A2-419A-A7D1-3F40D2A5FF2B}"/>
    <hyperlink ref="B11" location="'Ratio Analysis-Activity'!A1" display="Ratio Analysis-Activity" xr:uid="{10836BF9-97EA-4B06-9EB0-D476F975EE18}"/>
    <hyperlink ref="B12" location="'Common Size Statement'!A1" display="Common Size Statement" xr:uid="{C96B4F93-9913-4FA1-AD16-F834C8EF4B2B}"/>
    <hyperlink ref="B13" location="'Forecasting-Sales'!A1" display="Forecasting-Sales" xr:uid="{582D07A4-D887-4902-86F5-69DAFF80DF18}"/>
    <hyperlink ref="B14" location="'Forecasting-Sales-other methods'!A1" display="Forecasting-Sales-other methods" xr:uid="{F3218E63-D474-45A8-AF92-F51147437EFD}"/>
    <hyperlink ref="B15" location="'Forecasting-Profitability'!A1" display="Forecasting-Profitability" xr:uid="{6AD046BC-B41D-41C1-AAC7-4939D8936126}"/>
    <hyperlink ref="B16" location="'Forecasting-EPS'!A1" display="Forecasting-EPS" xr:uid="{10D1D8C6-5464-4A91-80D0-F2C665916369}"/>
    <hyperlink ref="B17" location="'Forecasting-Inevstment Ratios'!A1" display="Forecasting-Inevstment Ratios" xr:uid="{77632D30-046E-45F2-83FB-0F94E9349EA7}"/>
    <hyperlink ref="B18" location="'Forecasting-Solvency Ratios'!A1" display="Forecasting-Solvency Ratios" xr:uid="{87903D9A-7822-45D2-B6CE-82EA6381A6FC}"/>
    <hyperlink ref="B19" location="'Forecasting-Liquidity Ratios'!A1" display="Forecasting-Liquidity Ratios" xr:uid="{1A753932-D561-46F8-940A-B36340D78732}"/>
    <hyperlink ref="B20" location="'Forecasting-Activity Ratio'!A1" display="Forecasting-Activity Ratio" xr:uid="{742E4448-083E-429B-8E5B-54D7955A231E}"/>
    <hyperlink ref="B21" location="'Scenario Analsis-PE Ratio'!A1" display="Scenario Analsis-PE Ratio" xr:uid="{C1D3686D-6516-4A01-BF75-65026F3302E9}"/>
    <hyperlink ref="B22" location="'Scen Analysis-Div Payout policy'!A1" display="Scen Analysis-Div Payout policy" xr:uid="{80C59EB4-B396-4A82-80A8-2CA7E021AFE5}"/>
    <hyperlink ref="B23" location="'Scen Analysis-div cover ratio'!A1" display="Scen Analysis-div cover ratio" xr:uid="{F4BD46D8-45ED-4B88-AEAB-16C601EED523}"/>
    <hyperlink ref="B24" location="'Scenario Analysis-Gross Profit'!A1" display="Scenario Analysis-Gross Profit" xr:uid="{07CA89E8-8CDB-4B4A-9289-0DEA80AF5029}"/>
    <hyperlink ref="B25" location="'Scenario Analysis-PAT'!A1" display="Scenario Analysis-PAT" xr:uid="{C1615A4A-F3CF-4A90-8627-D1DBC8888267}"/>
    <hyperlink ref="B26" location="'What if Analysis-Sales Growth'!A1" display="What if Analysis-Sales Growth" xr:uid="{28060FC3-093B-4581-968E-AAAFAC334BBC}"/>
    <hyperlink ref="B27" location="'Sensit Analysis-Int Cover Ratio'!A1" display="Sensit Analysis-Int Cover Ratio" xr:uid="{EB83787C-ECD8-4A35-8F39-3839A40E8ABE}"/>
    <hyperlink ref="B28" location="'Sensitivity Analysis-AR days'!A1" display="Sensitivity Analysis-AR days" xr:uid="{FC1CE213-0783-4966-8ACF-4561ABD13F1C}"/>
    <hyperlink ref="B29" location="'Sensitivity Analysis-Inv days'!A1" display="Sensitivity Analysis-Inv days" xr:uid="{64D9E960-F59B-476D-8907-F21BB9A866AB}"/>
    <hyperlink ref="B30" location="'Raw Data for Dupont'!A1" display="Raw Data for Dupont" xr:uid="{3F041FB2-F2DE-47BA-82C5-6889C93E64D8}"/>
    <hyperlink ref="B31" location="'DuPont Analysis &amp; Summary'!A1" display="DuPont Analysis &amp; Summary" xr:uid="{4EE40BE6-DB63-49CA-B133-F00D8713E27E}"/>
    <hyperlink ref="B32" location="'One Page co. Profie'!A1" display="One Page co. Profie" xr:uid="{734688BC-ACD0-4989-AB48-73A19640D354}"/>
    <hyperlink ref="B33" location="'Key Brands'!A1" display="Key Brands" xr:uid="{1BA45E32-16FC-4494-AC8F-E5BD719AF680}"/>
    <hyperlink ref="B34" location="'SWOT Analysis-IIL'!A1" display="SWOT Analysis-IIL" xr:uid="{42081883-ABCA-490F-8F15-421DDCF3B98B}"/>
    <hyperlink ref="B35" location="'BCG Matrix Analysis-IIL'!A1" display="BCG Matrix Analysis-IIL" xr:uid="{6C13BD10-08E1-42CB-8391-CCFFECE085EB}"/>
    <hyperlink ref="B36" location="'MOAT Analysis-IIL'!A1" display="MOAT Analysis-IIL" xr:uid="{313A516C-137A-4106-BC1C-12E810907BDE}"/>
    <hyperlink ref="B37" location="'Altman Z Score Modelling'!A1" display="Altman Z Score Modelling" xr:uid="{7AA3C023-2C80-44D8-AF2C-AF5B26F514A9}"/>
    <hyperlink ref="B38" location="'ESG Metric Analysis'!A1" display="ESG Metric Analysis" xr:uid="{B643A972-E7F9-41F4-BBD0-5E62BCDBF8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21C46-C73B-4B90-AE61-E83F5AC051B6}">
  <sheetPr codeName="Sheet2"/>
  <dimension ref="B2:M60"/>
  <sheetViews>
    <sheetView showGridLines="0" workbookViewId="0">
      <selection activeCell="B2" sqref="B2:C2"/>
    </sheetView>
  </sheetViews>
  <sheetFormatPr defaultRowHeight="14.4"/>
  <cols>
    <col min="1" max="1" width="1.88671875" style="2" customWidth="1"/>
    <col min="2" max="2" width="65.6640625" style="2" customWidth="1"/>
    <col min="3" max="3" width="20" style="2" customWidth="1"/>
    <col min="4" max="4" width="22.109375" style="2" customWidth="1"/>
    <col min="5" max="9" width="18.77734375" style="2" customWidth="1"/>
    <col min="10" max="10" width="13.5546875" style="2" bestFit="1" customWidth="1"/>
    <col min="11" max="11" width="21.6640625" style="2" customWidth="1"/>
    <col min="12" max="12" width="16.109375" style="2" bestFit="1" customWidth="1"/>
    <col min="13" max="13" width="13.6640625" style="2" bestFit="1" customWidth="1"/>
    <col min="14" max="16384" width="8.88671875" style="2"/>
  </cols>
  <sheetData>
    <row r="2" spans="2:13" ht="52.2" customHeight="1">
      <c r="B2" s="414" t="s">
        <v>222</v>
      </c>
      <c r="C2" s="414"/>
    </row>
    <row r="3" spans="2:13" ht="17.399999999999999" customHeight="1">
      <c r="B3" s="414" t="s">
        <v>238</v>
      </c>
      <c r="C3" s="414"/>
      <c r="D3" s="3"/>
    </row>
    <row r="4" spans="2:13" ht="13.5" customHeight="1">
      <c r="B4" s="4"/>
      <c r="C4" s="3"/>
      <c r="D4" s="3"/>
    </row>
    <row r="5" spans="2:13" ht="19.2" customHeight="1">
      <c r="B5" s="1" t="s">
        <v>0</v>
      </c>
      <c r="C5" s="3"/>
      <c r="D5" s="287"/>
      <c r="E5" s="27"/>
      <c r="F5" s="31"/>
      <c r="H5" s="20"/>
      <c r="I5" s="20"/>
      <c r="J5" s="268"/>
      <c r="K5" s="31"/>
      <c r="L5" s="20"/>
      <c r="M5" s="31"/>
    </row>
    <row r="6" spans="2:13" ht="13.5" customHeight="1">
      <c r="B6" s="5"/>
      <c r="C6" s="3"/>
      <c r="D6" s="3"/>
    </row>
    <row r="7" spans="2:13" ht="14.4" customHeight="1">
      <c r="B7" s="6"/>
      <c r="C7" s="8">
        <v>2024</v>
      </c>
      <c r="D7" s="8">
        <f>C7-1</f>
        <v>2023</v>
      </c>
      <c r="E7" s="8">
        <f t="shared" ref="E7:G7" si="0">D7-1</f>
        <v>2022</v>
      </c>
      <c r="F7" s="8">
        <f t="shared" si="0"/>
        <v>2021</v>
      </c>
      <c r="G7" s="8">
        <f t="shared" si="0"/>
        <v>2020</v>
      </c>
      <c r="H7" s="8">
        <v>2019</v>
      </c>
      <c r="I7" s="8"/>
      <c r="J7" s="7"/>
      <c r="K7" s="7"/>
    </row>
    <row r="8" spans="2:13" ht="10.199999999999999" customHeight="1">
      <c r="B8" s="6"/>
      <c r="C8" s="7"/>
      <c r="D8" s="7"/>
    </row>
    <row r="9" spans="2:13" ht="19.95" customHeight="1">
      <c r="B9" s="47" t="s">
        <v>231</v>
      </c>
      <c r="C9" s="273">
        <v>811364</v>
      </c>
      <c r="D9" s="273">
        <v>1530218</v>
      </c>
      <c r="E9" s="273">
        <v>242333</v>
      </c>
      <c r="F9" s="273">
        <v>143566</v>
      </c>
      <c r="G9" s="273">
        <v>51195</v>
      </c>
      <c r="H9" s="26">
        <f>32394264/1000</f>
        <v>32394.263999999999</v>
      </c>
      <c r="I9" s="26"/>
    </row>
    <row r="10" spans="2:13" ht="19.95" customHeight="1">
      <c r="B10" s="47" t="s">
        <v>223</v>
      </c>
      <c r="C10" s="273">
        <v>12639533</v>
      </c>
      <c r="D10" s="273">
        <v>15884922</v>
      </c>
      <c r="E10" s="273">
        <v>8337858</v>
      </c>
      <c r="F10" s="273">
        <v>7570435</v>
      </c>
      <c r="G10" s="273">
        <v>6251658</v>
      </c>
      <c r="H10" s="26">
        <f>5111616128/1000</f>
        <v>5111616.1279999996</v>
      </c>
      <c r="I10" s="26"/>
    </row>
    <row r="11" spans="2:13" ht="19.95" customHeight="1">
      <c r="B11" s="14" t="s">
        <v>224</v>
      </c>
      <c r="C11" s="273">
        <v>48694561</v>
      </c>
      <c r="D11" s="273">
        <v>35437631</v>
      </c>
      <c r="E11" s="273">
        <v>19041579</v>
      </c>
      <c r="F11" s="273">
        <v>14771622</v>
      </c>
      <c r="G11" s="273">
        <v>12565528</v>
      </c>
      <c r="H11" s="269">
        <f>10863987406/1000</f>
        <v>10863987.405999999</v>
      </c>
      <c r="I11" s="269"/>
    </row>
    <row r="12" spans="2:13" ht="19.95" customHeight="1">
      <c r="B12" s="47" t="s">
        <v>225</v>
      </c>
      <c r="C12" s="273">
        <v>9556241</v>
      </c>
      <c r="D12" s="273">
        <v>8751141</v>
      </c>
      <c r="E12" s="273">
        <v>7145569</v>
      </c>
      <c r="F12" s="273">
        <v>5277725</v>
      </c>
      <c r="G12" s="273">
        <v>5276304</v>
      </c>
      <c r="H12" s="15">
        <f>3212049382/1000</f>
        <v>3212049.3820000002</v>
      </c>
      <c r="I12" s="15"/>
    </row>
    <row r="13" spans="2:13" ht="19.95" customHeight="1" thickBot="1">
      <c r="B13" s="47" t="s">
        <v>226</v>
      </c>
      <c r="C13" s="273">
        <v>42222103</v>
      </c>
      <c r="D13" s="274">
        <v>37617965</v>
      </c>
      <c r="E13" s="274">
        <v>32302425</v>
      </c>
      <c r="F13" s="274">
        <v>26218359</v>
      </c>
      <c r="G13" s="274">
        <v>24942407</v>
      </c>
      <c r="H13" s="270">
        <f>16100508128/1000</f>
        <v>16100508.128</v>
      </c>
      <c r="I13" s="270"/>
    </row>
    <row r="14" spans="2:13" ht="19.95" customHeight="1" thickBot="1">
      <c r="B14" s="14" t="s">
        <v>205</v>
      </c>
      <c r="C14" s="12">
        <v>90916664</v>
      </c>
      <c r="D14" s="12">
        <v>73055596</v>
      </c>
      <c r="E14" s="12">
        <v>51344005</v>
      </c>
      <c r="F14" s="12">
        <v>40989981</v>
      </c>
      <c r="G14" s="12">
        <v>37507935</v>
      </c>
      <c r="H14" s="12">
        <f>26964495534/1000</f>
        <v>26964495.534000002</v>
      </c>
      <c r="I14" s="279"/>
    </row>
    <row r="15" spans="2:13" ht="19.95" customHeight="1" thickTop="1">
      <c r="B15" s="14"/>
      <c r="C15" s="279"/>
      <c r="D15" s="279"/>
      <c r="E15" s="279"/>
      <c r="F15" s="279"/>
      <c r="G15" s="279"/>
      <c r="H15" s="279"/>
      <c r="I15" s="279"/>
    </row>
    <row r="16" spans="2:13" ht="19.95" customHeight="1">
      <c r="B16" s="47" t="s">
        <v>227</v>
      </c>
      <c r="C16" s="273">
        <v>43512773</v>
      </c>
      <c r="D16" s="273">
        <v>29673447</v>
      </c>
      <c r="E16" s="273">
        <v>16713721</v>
      </c>
      <c r="F16" s="273">
        <v>14513805</v>
      </c>
      <c r="G16" s="273">
        <v>11933946</v>
      </c>
      <c r="H16" s="11">
        <f>10766730877/1000</f>
        <v>10766730.877</v>
      </c>
      <c r="I16" s="11"/>
    </row>
    <row r="17" spans="2:9" ht="19.95" customHeight="1">
      <c r="B17" s="267" t="s">
        <v>228</v>
      </c>
      <c r="C17" s="273">
        <v>23195005</v>
      </c>
      <c r="D17" s="273">
        <v>25666415</v>
      </c>
      <c r="E17" s="273">
        <v>22050702</v>
      </c>
      <c r="F17" s="273">
        <v>15201439</v>
      </c>
      <c r="G17" s="273">
        <v>15674204</v>
      </c>
      <c r="H17" s="10">
        <f>8823517997/1000</f>
        <v>8823517.9969999995</v>
      </c>
      <c r="I17" s="10"/>
    </row>
    <row r="18" spans="2:9" ht="19.95" customHeight="1">
      <c r="B18" s="14" t="s">
        <v>1</v>
      </c>
      <c r="C18" s="275">
        <v>66707778</v>
      </c>
      <c r="D18" s="275">
        <v>55339862</v>
      </c>
      <c r="E18" s="276">
        <v>38764423</v>
      </c>
      <c r="F18" s="276">
        <v>29715244</v>
      </c>
      <c r="G18" s="276">
        <v>27608150</v>
      </c>
      <c r="H18" s="271">
        <f>19590248874/1000</f>
        <v>19590248.874000002</v>
      </c>
      <c r="I18" s="271"/>
    </row>
    <row r="19" spans="2:9" ht="19.95" customHeight="1">
      <c r="B19" s="47" t="s">
        <v>229</v>
      </c>
      <c r="C19" s="275">
        <v>663569</v>
      </c>
      <c r="D19" s="275">
        <v>663569</v>
      </c>
      <c r="E19" s="276">
        <v>663569</v>
      </c>
      <c r="F19" s="276">
        <v>663569</v>
      </c>
      <c r="G19" s="276">
        <v>663569</v>
      </c>
      <c r="H19" s="276">
        <f>638047500/1000</f>
        <v>638047.5</v>
      </c>
      <c r="I19" s="276"/>
    </row>
    <row r="20" spans="2:9" ht="19.95" customHeight="1">
      <c r="B20" s="14" t="s">
        <v>230</v>
      </c>
      <c r="C20" s="273">
        <v>24208886</v>
      </c>
      <c r="D20" s="273">
        <v>17715733</v>
      </c>
      <c r="E20" s="273">
        <v>12579581</v>
      </c>
      <c r="F20" s="273">
        <v>11274737</v>
      </c>
      <c r="G20" s="273">
        <v>9899785</v>
      </c>
      <c r="H20" s="15">
        <f>7374246660/1000</f>
        <v>7374246.6600000001</v>
      </c>
      <c r="I20" s="15"/>
    </row>
    <row r="21" spans="2:9" ht="13.5" customHeight="1" thickBot="1">
      <c r="B21" s="9"/>
      <c r="C21" s="10"/>
      <c r="D21" s="26"/>
      <c r="E21" s="15"/>
      <c r="F21" s="15"/>
      <c r="G21" s="15"/>
      <c r="H21" s="15"/>
      <c r="I21" s="15"/>
    </row>
    <row r="22" spans="2:9" ht="13.5" customHeight="1" thickBot="1">
      <c r="B22" s="14" t="s">
        <v>240</v>
      </c>
      <c r="C22" s="12">
        <f>C20+C18</f>
        <v>90916664</v>
      </c>
      <c r="D22" s="12">
        <f t="shared" ref="D22:H22" si="1">D20+D18</f>
        <v>73055595</v>
      </c>
      <c r="E22" s="12">
        <f t="shared" si="1"/>
        <v>51344004</v>
      </c>
      <c r="F22" s="12">
        <f t="shared" si="1"/>
        <v>40989981</v>
      </c>
      <c r="G22" s="12">
        <f t="shared" si="1"/>
        <v>37507935</v>
      </c>
      <c r="H22" s="12">
        <f t="shared" si="1"/>
        <v>26964495.534000002</v>
      </c>
      <c r="I22" s="279"/>
    </row>
    <row r="23" spans="2:9" ht="13.5" customHeight="1" thickTop="1">
      <c r="B23" s="14"/>
      <c r="C23" s="10"/>
      <c r="D23" s="26"/>
      <c r="E23" s="15"/>
      <c r="F23" s="15"/>
      <c r="G23" s="15"/>
      <c r="H23" s="15"/>
      <c r="I23" s="15"/>
    </row>
    <row r="24" spans="2:9" ht="13.5" customHeight="1">
      <c r="B24" s="14"/>
      <c r="C24" s="10"/>
      <c r="D24" s="26"/>
      <c r="E24" s="15"/>
      <c r="F24" s="15"/>
      <c r="G24" s="15"/>
      <c r="H24" s="15"/>
      <c r="I24" s="15"/>
    </row>
    <row r="25" spans="2:9" ht="13.5" customHeight="1">
      <c r="B25" s="369" t="s">
        <v>319</v>
      </c>
      <c r="C25" s="10"/>
      <c r="D25" s="26"/>
      <c r="E25" s="15"/>
      <c r="F25" s="15"/>
      <c r="G25" s="15"/>
      <c r="H25" s="15"/>
      <c r="I25" s="15"/>
    </row>
    <row r="26" spans="2:9" ht="13.5" customHeight="1">
      <c r="B26" s="14" t="s">
        <v>318</v>
      </c>
      <c r="C26" s="15">
        <f>21374623488*(1/1000)</f>
        <v>21374623.488000002</v>
      </c>
      <c r="D26" s="15">
        <f>15376236485*(1/1000)</f>
        <v>15376236.484999999</v>
      </c>
      <c r="E26" s="15">
        <f>9940389165*(1/1000)</f>
        <v>9940389.165000001</v>
      </c>
      <c r="F26" s="15">
        <f>8417555738*(1/1000)</f>
        <v>8417555.7379999999</v>
      </c>
      <c r="G26" s="15">
        <f>6805286458*(1/1000)</f>
        <v>6805286.4580000006</v>
      </c>
      <c r="H26" s="15">
        <f>6094677327*(1/1000)</f>
        <v>6094677.3270000005</v>
      </c>
      <c r="I26" s="15"/>
    </row>
    <row r="27" spans="2:9" ht="13.5" customHeight="1">
      <c r="B27" s="14"/>
      <c r="C27" s="10"/>
      <c r="D27" s="26"/>
      <c r="E27" s="15"/>
      <c r="F27" s="15"/>
      <c r="G27" s="15"/>
      <c r="H27" s="15"/>
      <c r="I27" s="15"/>
    </row>
    <row r="28" spans="2:9" ht="13.5" customHeight="1">
      <c r="B28" s="282" t="s">
        <v>246</v>
      </c>
      <c r="C28" s="281">
        <f>C14-C16</f>
        <v>47403891</v>
      </c>
      <c r="D28" s="281">
        <f t="shared" ref="D28:H28" si="2">D14-D16</f>
        <v>43382149</v>
      </c>
      <c r="E28" s="281">
        <f t="shared" si="2"/>
        <v>34630284</v>
      </c>
      <c r="F28" s="281">
        <f t="shared" si="2"/>
        <v>26476176</v>
      </c>
      <c r="G28" s="281">
        <f t="shared" si="2"/>
        <v>25573989</v>
      </c>
      <c r="H28" s="281">
        <f t="shared" si="2"/>
        <v>16197764.657000002</v>
      </c>
      <c r="I28" s="281"/>
    </row>
    <row r="29" spans="2:9" ht="13.5" customHeight="1">
      <c r="B29" s="282"/>
      <c r="C29" s="281"/>
      <c r="D29" s="281"/>
      <c r="E29" s="281"/>
      <c r="F29" s="281"/>
      <c r="G29" s="281"/>
      <c r="H29" s="281"/>
      <c r="I29" s="281"/>
    </row>
    <row r="30" spans="2:9" ht="13.5" customHeight="1">
      <c r="B30" s="282" t="s">
        <v>255</v>
      </c>
      <c r="C30" s="26">
        <v>60224000</v>
      </c>
      <c r="D30" s="26">
        <v>47163000</v>
      </c>
      <c r="E30" s="26">
        <v>33731000</v>
      </c>
      <c r="F30" s="26">
        <v>23224000</v>
      </c>
      <c r="G30" s="26">
        <v>21876000</v>
      </c>
      <c r="H30" s="294" t="s">
        <v>22</v>
      </c>
      <c r="I30" s="294"/>
    </row>
    <row r="31" spans="2:9" ht="13.5" customHeight="1">
      <c r="B31" s="14"/>
      <c r="C31" s="10"/>
      <c r="D31" s="26"/>
      <c r="E31" s="15"/>
      <c r="F31" s="15"/>
      <c r="G31" s="15"/>
      <c r="H31" s="15"/>
      <c r="I31" s="15"/>
    </row>
    <row r="32" spans="2:9" ht="13.5" customHeight="1">
      <c r="B32" s="14" t="s">
        <v>271</v>
      </c>
      <c r="C32" s="10">
        <f>(C10+D10)/2</f>
        <v>14262227.5</v>
      </c>
      <c r="D32" s="10">
        <f t="shared" ref="D32:G32" si="3">(D10+E10)/2</f>
        <v>12111390</v>
      </c>
      <c r="E32" s="10">
        <f t="shared" si="3"/>
        <v>7954146.5</v>
      </c>
      <c r="F32" s="10">
        <f t="shared" si="3"/>
        <v>6911046.5</v>
      </c>
      <c r="G32" s="10">
        <f t="shared" si="3"/>
        <v>5681637.0639999993</v>
      </c>
      <c r="H32" s="10">
        <f>(H10+J10)/2</f>
        <v>2555808.0639999998</v>
      </c>
      <c r="I32" s="10"/>
    </row>
    <row r="33" spans="2:12" ht="13.5" customHeight="1">
      <c r="B33" s="14"/>
      <c r="C33" s="10"/>
      <c r="D33" s="10"/>
      <c r="E33" s="10"/>
      <c r="F33" s="10"/>
      <c r="G33" s="10"/>
      <c r="H33" s="10"/>
      <c r="I33" s="10"/>
    </row>
    <row r="34" spans="2:12" ht="13.5" customHeight="1">
      <c r="B34" s="14" t="s">
        <v>272</v>
      </c>
      <c r="C34" s="10">
        <f>((K48+K49)/2)/1000</f>
        <v>11819791.867000001</v>
      </c>
      <c r="D34" s="10">
        <f>((K49+K50)/2)/1000</f>
        <v>8125303.2779999999</v>
      </c>
      <c r="E34" s="10">
        <f>((K50+K51)/2)/1000</f>
        <v>4545878.5925000003</v>
      </c>
      <c r="F34" s="10">
        <f>((K51+K52)/2)/1000</f>
        <v>3345327.4479999999</v>
      </c>
      <c r="G34" s="10">
        <f>((K52+K53)/2)/1000</f>
        <v>3045658.5285</v>
      </c>
      <c r="H34" s="10">
        <f>((K53+K54)/2)/1000</f>
        <v>2156259.1145000001</v>
      </c>
      <c r="I34" s="10"/>
    </row>
    <row r="35" spans="2:12" ht="13.5" customHeight="1">
      <c r="B35" s="14"/>
      <c r="C35" s="39"/>
      <c r="D35" s="26"/>
      <c r="E35" s="15"/>
      <c r="F35" s="15"/>
      <c r="G35" s="15"/>
      <c r="H35" s="15"/>
      <c r="I35" s="15"/>
    </row>
    <row r="36" spans="2:12" ht="13.5" customHeight="1">
      <c r="B36" s="14" t="s">
        <v>275</v>
      </c>
      <c r="C36" s="10">
        <f>((L48+L49)/2)/1000</f>
        <v>9469597.3699999992</v>
      </c>
      <c r="D36" s="10">
        <f>((L49+L50)/2)/1000</f>
        <v>5921935.8684999999</v>
      </c>
      <c r="E36" s="10">
        <f>((L50+L51)/2)/1000</f>
        <v>3734219.7215</v>
      </c>
      <c r="F36" s="10">
        <f>((L51+L52)/2)/1000</f>
        <v>3715032.3675000002</v>
      </c>
      <c r="G36" s="10">
        <f>((L52+L52)/2)/1000</f>
        <v>3436484.784</v>
      </c>
      <c r="H36" s="10">
        <f>((L53+L54)/2)/1000</f>
        <v>1737915.6465</v>
      </c>
      <c r="I36" s="15"/>
    </row>
    <row r="37" spans="2:12" ht="13.5" customHeight="1">
      <c r="B37" s="14"/>
      <c r="C37" s="39"/>
      <c r="D37" s="26"/>
      <c r="E37" s="15"/>
      <c r="F37" s="15"/>
      <c r="G37" s="15"/>
      <c r="H37" s="15"/>
      <c r="I37" s="15"/>
    </row>
    <row r="38" spans="2:12" ht="13.5" customHeight="1">
      <c r="B38" s="14" t="s">
        <v>191</v>
      </c>
      <c r="C38" s="10">
        <f>(C14+D14)/2</f>
        <v>81986130</v>
      </c>
      <c r="D38" s="10">
        <f t="shared" ref="D38:H38" si="4">(D14+E14)/2</f>
        <v>62199800.5</v>
      </c>
      <c r="E38" s="10">
        <f t="shared" si="4"/>
        <v>46166993</v>
      </c>
      <c r="F38" s="10">
        <f t="shared" si="4"/>
        <v>39248958</v>
      </c>
      <c r="G38" s="10">
        <f t="shared" si="4"/>
        <v>32236215.267000001</v>
      </c>
      <c r="H38" s="10">
        <f t="shared" si="4"/>
        <v>13482247.767000001</v>
      </c>
      <c r="I38" s="15"/>
    </row>
    <row r="39" spans="2:12" ht="13.5" customHeight="1">
      <c r="B39" s="14"/>
      <c r="C39" s="10"/>
      <c r="D39" s="10"/>
      <c r="E39" s="10"/>
      <c r="F39" s="10"/>
      <c r="G39" s="10"/>
      <c r="H39" s="10"/>
      <c r="I39" s="15"/>
    </row>
    <row r="40" spans="2:12" ht="13.5" customHeight="1">
      <c r="B40" s="14" t="s">
        <v>276</v>
      </c>
      <c r="C40" s="10">
        <f>(C13+D13)/2</f>
        <v>39920034</v>
      </c>
      <c r="D40" s="10">
        <f t="shared" ref="D40:H40" si="5">(D13+E13)/2</f>
        <v>34960195</v>
      </c>
      <c r="E40" s="10">
        <f t="shared" si="5"/>
        <v>29260392</v>
      </c>
      <c r="F40" s="10">
        <f t="shared" si="5"/>
        <v>25580383</v>
      </c>
      <c r="G40" s="10">
        <f t="shared" si="5"/>
        <v>20521457.563999999</v>
      </c>
      <c r="H40" s="10">
        <f t="shared" si="5"/>
        <v>8050254.0640000002</v>
      </c>
      <c r="I40" s="15"/>
    </row>
    <row r="41" spans="2:12" ht="13.5" customHeight="1">
      <c r="B41" s="14"/>
      <c r="C41" s="39"/>
      <c r="D41" s="26"/>
      <c r="E41" s="15"/>
      <c r="F41" s="15"/>
      <c r="G41" s="15"/>
      <c r="H41" s="15"/>
      <c r="I41" s="15"/>
    </row>
    <row r="42" spans="2:12" ht="13.5" customHeight="1">
      <c r="B42" s="14" t="s">
        <v>312</v>
      </c>
      <c r="C42" s="10">
        <f>(C20+D20)/2</f>
        <v>20962309.5</v>
      </c>
      <c r="D42" s="10">
        <f t="shared" ref="D42:H42" si="6">(D20+E20)/2</f>
        <v>15147657</v>
      </c>
      <c r="E42" s="10">
        <f t="shared" si="6"/>
        <v>11927159</v>
      </c>
      <c r="F42" s="10">
        <f t="shared" si="6"/>
        <v>10587261</v>
      </c>
      <c r="G42" s="10">
        <f t="shared" si="6"/>
        <v>8637015.8300000001</v>
      </c>
      <c r="H42" s="10">
        <f t="shared" si="6"/>
        <v>3687123.33</v>
      </c>
      <c r="I42" s="15"/>
    </row>
    <row r="43" spans="2:12" ht="13.5" customHeight="1">
      <c r="B43" s="14"/>
      <c r="C43" s="39"/>
      <c r="D43" s="26"/>
      <c r="E43" s="15"/>
      <c r="F43" s="15"/>
      <c r="G43" s="15"/>
      <c r="H43" s="15"/>
      <c r="I43" s="15"/>
    </row>
    <row r="44" spans="2:12" ht="13.5" customHeight="1">
      <c r="B44" s="278" t="s">
        <v>2</v>
      </c>
      <c r="C44" s="30"/>
      <c r="D44" s="26"/>
      <c r="E44" s="271"/>
      <c r="F44" s="15"/>
      <c r="G44" s="15"/>
      <c r="H44" s="15"/>
      <c r="I44" s="15"/>
    </row>
    <row r="45" spans="2:12" ht="13.5" customHeight="1">
      <c r="B45" s="415" t="s">
        <v>239</v>
      </c>
      <c r="C45" s="415"/>
      <c r="D45" s="415"/>
      <c r="E45" s="415"/>
      <c r="F45" s="415"/>
      <c r="G45" s="15"/>
      <c r="H45" s="15"/>
      <c r="I45" s="15"/>
    </row>
    <row r="46" spans="2:12" ht="13.5" customHeight="1">
      <c r="B46" s="415"/>
      <c r="C46" s="415"/>
      <c r="D46" s="415"/>
      <c r="E46" s="415"/>
      <c r="F46" s="415"/>
      <c r="G46" s="272"/>
      <c r="H46" s="272"/>
      <c r="I46" s="272"/>
    </row>
    <row r="47" spans="2:12" ht="13.5" customHeight="1">
      <c r="B47" s="415"/>
      <c r="C47" s="415"/>
      <c r="D47" s="415"/>
      <c r="E47" s="415"/>
      <c r="F47" s="415"/>
      <c r="G47" s="15"/>
      <c r="J47" s="297" t="s">
        <v>23</v>
      </c>
      <c r="K47" s="297" t="s">
        <v>273</v>
      </c>
      <c r="L47" s="298" t="s">
        <v>274</v>
      </c>
    </row>
    <row r="48" spans="2:12" ht="13.5" customHeight="1">
      <c r="B48" s="415"/>
      <c r="C48" s="415"/>
      <c r="D48" s="415"/>
      <c r="E48" s="415"/>
      <c r="F48" s="415"/>
      <c r="G48" s="15"/>
      <c r="J48" s="59">
        <v>2024</v>
      </c>
      <c r="K48" s="15">
        <v>13135064556</v>
      </c>
      <c r="L48" s="268">
        <v>10570182495</v>
      </c>
    </row>
    <row r="49" spans="2:12" ht="13.5" customHeight="1">
      <c r="B49" s="415"/>
      <c r="C49" s="415"/>
      <c r="D49" s="415"/>
      <c r="E49" s="415"/>
      <c r="F49" s="415"/>
      <c r="G49" s="15"/>
      <c r="J49" s="59">
        <v>2023</v>
      </c>
      <c r="K49" s="15">
        <v>10504519178</v>
      </c>
      <c r="L49" s="268">
        <v>8369012245</v>
      </c>
    </row>
    <row r="50" spans="2:12" ht="13.5" customHeight="1">
      <c r="B50" s="277"/>
      <c r="C50" s="277"/>
      <c r="D50" s="277"/>
      <c r="E50" s="277"/>
      <c r="F50" s="277"/>
      <c r="G50" s="15"/>
      <c r="J50" s="59">
        <v>2022</v>
      </c>
      <c r="K50" s="15">
        <v>5746087378</v>
      </c>
      <c r="L50" s="268">
        <v>3474859492</v>
      </c>
    </row>
    <row r="51" spans="2:12" ht="13.5" customHeight="1">
      <c r="B51" s="278" t="s">
        <v>42</v>
      </c>
      <c r="C51" s="26"/>
      <c r="D51" s="26"/>
      <c r="E51" s="15"/>
      <c r="F51" s="15"/>
      <c r="G51" s="15"/>
      <c r="J51" s="59">
        <v>2021</v>
      </c>
      <c r="K51" s="15">
        <v>3345669807</v>
      </c>
      <c r="L51" s="2">
        <v>3993579951</v>
      </c>
    </row>
    <row r="52" spans="2:12" ht="13.5" customHeight="1">
      <c r="B52" s="416" t="s">
        <v>256</v>
      </c>
      <c r="C52" s="416"/>
      <c r="D52" s="416"/>
      <c r="E52" s="416"/>
      <c r="F52" s="416"/>
      <c r="G52" s="15"/>
      <c r="J52" s="59">
        <v>2020</v>
      </c>
      <c r="K52" s="15">
        <v>3344985089</v>
      </c>
      <c r="L52" s="2">
        <v>3436484784</v>
      </c>
    </row>
    <row r="53" spans="2:12" ht="13.5" customHeight="1">
      <c r="B53" s="416"/>
      <c r="C53" s="416"/>
      <c r="D53" s="416"/>
      <c r="E53" s="416"/>
      <c r="F53" s="416"/>
      <c r="J53" s="59">
        <v>2019</v>
      </c>
      <c r="K53" s="15">
        <v>2746331968</v>
      </c>
      <c r="L53" s="268">
        <v>2051217937</v>
      </c>
    </row>
    <row r="54" spans="2:12">
      <c r="B54" s="416"/>
      <c r="C54" s="416"/>
      <c r="D54" s="416"/>
      <c r="E54" s="416"/>
      <c r="F54" s="416"/>
      <c r="J54" s="59">
        <v>2018</v>
      </c>
      <c r="K54" s="20">
        <v>1566186261</v>
      </c>
      <c r="L54" s="268">
        <v>1424613356</v>
      </c>
    </row>
    <row r="55" spans="2:12">
      <c r="B55" s="416"/>
      <c r="C55" s="416"/>
      <c r="D55" s="416"/>
      <c r="E55" s="416"/>
      <c r="F55" s="416"/>
    </row>
    <row r="56" spans="2:12">
      <c r="B56" s="416"/>
      <c r="C56" s="416"/>
      <c r="D56" s="416"/>
      <c r="E56" s="416"/>
      <c r="F56" s="416"/>
    </row>
    <row r="57" spans="2:12">
      <c r="B57" s="416"/>
      <c r="C57" s="416"/>
      <c r="D57" s="416"/>
      <c r="E57" s="416"/>
      <c r="F57" s="416"/>
    </row>
    <row r="58" spans="2:12">
      <c r="B58" s="416"/>
      <c r="C58" s="416"/>
      <c r="D58" s="416"/>
      <c r="E58" s="416"/>
      <c r="F58" s="416"/>
    </row>
    <row r="59" spans="2:12">
      <c r="B59" s="416"/>
      <c r="C59" s="416"/>
      <c r="D59" s="416"/>
      <c r="E59" s="416"/>
      <c r="F59" s="416"/>
    </row>
    <row r="60" spans="2:12">
      <c r="B60" s="416"/>
      <c r="C60" s="416"/>
      <c r="D60" s="416"/>
      <c r="E60" s="416"/>
      <c r="F60" s="416"/>
    </row>
  </sheetData>
  <mergeCells count="4">
    <mergeCell ref="B3:C3"/>
    <mergeCell ref="B2:C2"/>
    <mergeCell ref="B45:F49"/>
    <mergeCell ref="B52: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7AFF-7DB8-4E3F-88AD-87358E4B0A41}">
  <sheetPr codeName="Sheet3"/>
  <dimension ref="B2:N48"/>
  <sheetViews>
    <sheetView showGridLines="0" topLeftCell="A8" workbookViewId="0">
      <selection activeCell="C40" sqref="C40"/>
    </sheetView>
  </sheetViews>
  <sheetFormatPr defaultRowHeight="14.4"/>
  <cols>
    <col min="1" max="1" width="1.88671875" style="2" customWidth="1"/>
    <col min="2" max="2" width="62.6640625" style="2" customWidth="1"/>
    <col min="3" max="3" width="17.109375" style="2" customWidth="1"/>
    <col min="4" max="4" width="20.44140625" style="2" customWidth="1"/>
    <col min="5" max="5" width="18.33203125" style="2" bestFit="1" customWidth="1"/>
    <col min="6" max="6" width="17.21875" style="2" bestFit="1" customWidth="1"/>
    <col min="7" max="8" width="18.77734375" style="2" customWidth="1"/>
    <col min="9" max="10" width="12.5546875" style="2" bestFit="1" customWidth="1"/>
    <col min="11" max="11" width="11.109375" style="2" bestFit="1" customWidth="1"/>
    <col min="12" max="12" width="11.6640625" style="2" bestFit="1" customWidth="1"/>
    <col min="13" max="13" width="8.88671875" style="2"/>
    <col min="14" max="14" width="11" style="2" bestFit="1" customWidth="1"/>
    <col min="15" max="16384" width="8.88671875" style="2"/>
  </cols>
  <sheetData>
    <row r="2" spans="2:8" ht="18">
      <c r="B2" s="414" t="str">
        <f>BS!B2</f>
        <v>Ismail Industries Limited</v>
      </c>
      <c r="C2" s="414"/>
    </row>
    <row r="3" spans="2:8" ht="36" customHeight="1">
      <c r="B3" s="414" t="s">
        <v>237</v>
      </c>
      <c r="C3" s="414"/>
    </row>
    <row r="4" spans="2:8" ht="18">
      <c r="B4" s="4"/>
    </row>
    <row r="5" spans="2:8" ht="18">
      <c r="B5" s="1" t="s">
        <v>0</v>
      </c>
      <c r="D5" s="31"/>
    </row>
    <row r="6" spans="2:8" ht="18">
      <c r="B6" s="5"/>
    </row>
    <row r="7" spans="2:8" ht="18">
      <c r="B7" s="5"/>
      <c r="C7" s="22">
        <v>2024</v>
      </c>
      <c r="D7" s="22">
        <f>C7-1</f>
        <v>2023</v>
      </c>
      <c r="E7" s="22">
        <f t="shared" ref="E7:G7" si="0">D7-1</f>
        <v>2022</v>
      </c>
      <c r="F7" s="22">
        <f t="shared" si="0"/>
        <v>2021</v>
      </c>
      <c r="G7" s="22">
        <f t="shared" si="0"/>
        <v>2020</v>
      </c>
      <c r="H7" s="37">
        <v>2019</v>
      </c>
    </row>
    <row r="8" spans="2:8" ht="8.4" customHeight="1">
      <c r="B8" s="5"/>
      <c r="C8" s="22"/>
      <c r="D8" s="22"/>
      <c r="E8" s="22"/>
      <c r="F8" s="23"/>
      <c r="G8" s="23"/>
    </row>
    <row r="9" spans="2:8" ht="19.95" customHeight="1">
      <c r="B9" s="9" t="s">
        <v>58</v>
      </c>
      <c r="C9" s="10">
        <v>108887024</v>
      </c>
      <c r="D9" s="26">
        <v>88905796</v>
      </c>
      <c r="E9" s="271">
        <v>55260699</v>
      </c>
      <c r="F9" s="271">
        <v>37307760</v>
      </c>
      <c r="G9" s="271">
        <v>33218273</v>
      </c>
      <c r="H9" s="271">
        <f>30090888452*(1/1000)</f>
        <v>30090888.452</v>
      </c>
    </row>
    <row r="10" spans="2:8" ht="19.95" customHeight="1">
      <c r="B10" s="9" t="s">
        <v>232</v>
      </c>
      <c r="C10" s="29">
        <v>84865314</v>
      </c>
      <c r="D10" s="29">
        <v>70473695</v>
      </c>
      <c r="E10" s="271">
        <v>45415202</v>
      </c>
      <c r="F10" s="271">
        <v>30113980</v>
      </c>
      <c r="G10" s="271">
        <v>26340649</v>
      </c>
      <c r="H10" s="271">
        <f>23736870313*(1/1000)</f>
        <v>23736870.313000001</v>
      </c>
    </row>
    <row r="11" spans="2:8" ht="19.95" customHeight="1">
      <c r="B11" s="13" t="s">
        <v>120</v>
      </c>
      <c r="C11" s="26">
        <f>C9-C10</f>
        <v>24021710</v>
      </c>
      <c r="D11" s="26">
        <f t="shared" ref="D11:H11" si="1">D9-D10</f>
        <v>18432101</v>
      </c>
      <c r="E11" s="26">
        <f t="shared" si="1"/>
        <v>9845497</v>
      </c>
      <c r="F11" s="26">
        <f t="shared" si="1"/>
        <v>7193780</v>
      </c>
      <c r="G11" s="26">
        <f t="shared" si="1"/>
        <v>6877624</v>
      </c>
      <c r="H11" s="26">
        <f t="shared" si="1"/>
        <v>6354018.1389999986</v>
      </c>
    </row>
    <row r="12" spans="2:8" ht="19.95" customHeight="1">
      <c r="B12" s="13" t="s">
        <v>125</v>
      </c>
      <c r="C12" s="26">
        <v>13980121</v>
      </c>
      <c r="D12" s="26">
        <v>10330279</v>
      </c>
      <c r="E12" s="271">
        <v>4244301</v>
      </c>
      <c r="F12" s="271">
        <v>2306392</v>
      </c>
      <c r="G12" s="271">
        <v>1814674</v>
      </c>
      <c r="H12" s="271">
        <f>2223446084*(1/1000)</f>
        <v>2223446.0840000003</v>
      </c>
    </row>
    <row r="13" spans="2:8" ht="19.95" customHeight="1">
      <c r="B13" s="9" t="s">
        <v>233</v>
      </c>
      <c r="C13" s="28">
        <v>1308843</v>
      </c>
      <c r="D13" s="29">
        <v>1995431</v>
      </c>
      <c r="E13" s="271">
        <v>762854</v>
      </c>
      <c r="F13" s="271">
        <v>392805</v>
      </c>
      <c r="G13" s="271">
        <v>353404</v>
      </c>
      <c r="H13" s="271">
        <f>212920752*(1/1000)</f>
        <v>212920.75200000001</v>
      </c>
    </row>
    <row r="14" spans="2:8" ht="19.95" customHeight="1">
      <c r="B14" s="9" t="s">
        <v>234</v>
      </c>
      <c r="C14" s="28">
        <v>7384155</v>
      </c>
      <c r="D14" s="29">
        <v>4399444</v>
      </c>
      <c r="E14" s="271">
        <v>1413990</v>
      </c>
      <c r="F14" s="271">
        <v>693704</v>
      </c>
      <c r="G14" s="271">
        <v>1155786</v>
      </c>
      <c r="H14" s="271">
        <f>905629820*(1/1000)</f>
        <v>905629.82000000007</v>
      </c>
    </row>
    <row r="15" spans="2:8" ht="19.95" customHeight="1">
      <c r="B15" s="13" t="s">
        <v>235</v>
      </c>
      <c r="C15" s="28">
        <v>7676461</v>
      </c>
      <c r="D15" s="29">
        <v>7531482</v>
      </c>
      <c r="E15" s="271">
        <v>3386959</v>
      </c>
      <c r="F15" s="271">
        <v>2213246</v>
      </c>
      <c r="G15" s="271">
        <v>1322703</v>
      </c>
      <c r="H15" s="271">
        <f>1403540255*(1/1000)</f>
        <v>1403540.2550000001</v>
      </c>
    </row>
    <row r="16" spans="2:8" ht="19.95" customHeight="1" thickBot="1">
      <c r="B16" s="9" t="s">
        <v>7</v>
      </c>
      <c r="C16" s="29">
        <v>1544411</v>
      </c>
      <c r="D16" s="29">
        <v>1149797</v>
      </c>
      <c r="E16" s="271">
        <v>835938</v>
      </c>
      <c r="F16" s="271">
        <v>436580</v>
      </c>
      <c r="G16" s="271">
        <v>390738</v>
      </c>
      <c r="H16" s="271">
        <f>436942413*(1/1000)</f>
        <v>436942.413</v>
      </c>
    </row>
    <row r="17" spans="2:14" ht="19.95" customHeight="1">
      <c r="B17" s="13" t="s">
        <v>236</v>
      </c>
      <c r="C17" s="25">
        <f>C15-C16</f>
        <v>6132050</v>
      </c>
      <c r="D17" s="25">
        <f t="shared" ref="D17:H17" si="2">D15-D16</f>
        <v>6381685</v>
      </c>
      <c r="E17" s="25">
        <f t="shared" si="2"/>
        <v>2551021</v>
      </c>
      <c r="F17" s="25">
        <f t="shared" si="2"/>
        <v>1776666</v>
      </c>
      <c r="G17" s="25">
        <f t="shared" si="2"/>
        <v>931965</v>
      </c>
      <c r="H17" s="25">
        <f t="shared" si="2"/>
        <v>966597.84200000018</v>
      </c>
    </row>
    <row r="18" spans="2:14" ht="19.95" customHeight="1">
      <c r="B18" s="6"/>
      <c r="C18" s="26"/>
      <c r="D18" s="26"/>
      <c r="E18" s="26"/>
      <c r="F18" s="26"/>
      <c r="G18" s="26"/>
      <c r="H18" s="27"/>
      <c r="I18" s="272"/>
      <c r="J18" s="272"/>
      <c r="K18" s="272"/>
      <c r="L18" s="272"/>
      <c r="M18" s="27"/>
      <c r="N18" s="27"/>
    </row>
    <row r="19" spans="2:14" ht="19.95" customHeight="1">
      <c r="B19" s="6" t="s">
        <v>245</v>
      </c>
      <c r="C19" s="27">
        <v>66356940</v>
      </c>
      <c r="D19" s="26">
        <f>C19</f>
        <v>66356940</v>
      </c>
      <c r="E19" s="26">
        <f>D19</f>
        <v>66356940</v>
      </c>
      <c r="F19" s="27">
        <f>E19</f>
        <v>66356940</v>
      </c>
      <c r="G19" s="26">
        <v>64336165</v>
      </c>
      <c r="H19" s="27">
        <v>63804750</v>
      </c>
    </row>
    <row r="20" spans="2:14" ht="19.95" customHeight="1">
      <c r="B20" s="6"/>
      <c r="C20" s="26"/>
      <c r="D20" s="26"/>
      <c r="E20" s="30"/>
      <c r="F20" s="31"/>
      <c r="G20" s="31"/>
      <c r="H20" s="31"/>
    </row>
    <row r="21" spans="2:14" ht="19.95" customHeight="1">
      <c r="B21" s="6" t="s">
        <v>241</v>
      </c>
      <c r="C21" s="32">
        <f>(C17*1000)/C19</f>
        <v>92.410077981293284</v>
      </c>
      <c r="D21" s="32">
        <f t="shared" ref="D21:H21" si="3">(D17*1000)/D19</f>
        <v>96.172080870516325</v>
      </c>
      <c r="E21" s="32">
        <f t="shared" si="3"/>
        <v>38.44392161543314</v>
      </c>
      <c r="F21" s="32">
        <f t="shared" si="3"/>
        <v>26.774381097139198</v>
      </c>
      <c r="G21" s="32">
        <f t="shared" si="3"/>
        <v>14.485864987445241</v>
      </c>
      <c r="H21" s="32">
        <f t="shared" si="3"/>
        <v>15.149308507595441</v>
      </c>
    </row>
    <row r="22" spans="2:14">
      <c r="B22" s="33" t="s">
        <v>9</v>
      </c>
      <c r="C22" s="34">
        <f>(C21-D21)/D21</f>
        <v>-3.9117411780744425E-2</v>
      </c>
      <c r="D22" s="34">
        <f>(D21-E21)/E21</f>
        <v>1.5016199396241738</v>
      </c>
      <c r="E22" s="34">
        <f t="shared" ref="E22:F22" si="4">(E21-F21)/F21</f>
        <v>0.43584725547739422</v>
      </c>
      <c r="F22" s="34">
        <f t="shared" si="4"/>
        <v>0.84831082716457007</v>
      </c>
      <c r="G22" s="34">
        <f t="shared" ref="G22" si="5">(G21-H21)/H21</f>
        <v>-4.3793650371405882E-2</v>
      </c>
      <c r="H22" s="34">
        <f>IFERROR((H21-I21)/(I21),0)</f>
        <v>0</v>
      </c>
    </row>
    <row r="23" spans="2:14">
      <c r="B23" s="33"/>
      <c r="C23" s="35"/>
      <c r="D23" s="35"/>
      <c r="E23" s="36"/>
      <c r="F23" s="36"/>
      <c r="G23" s="36"/>
    </row>
    <row r="24" spans="2:14">
      <c r="B24" s="37" t="s">
        <v>242</v>
      </c>
      <c r="C24" s="38">
        <v>1473.97</v>
      </c>
      <c r="D24" s="38">
        <v>520.61</v>
      </c>
      <c r="E24" s="38">
        <v>479.56</v>
      </c>
      <c r="F24" s="38">
        <v>382.49</v>
      </c>
      <c r="G24" s="38">
        <v>342.7</v>
      </c>
      <c r="H24" s="103" t="s">
        <v>22</v>
      </c>
    </row>
    <row r="25" spans="2:14" ht="45" hidden="1" customHeight="1">
      <c r="B25" s="1" t="s">
        <v>10</v>
      </c>
    </row>
    <row r="26" spans="2:14" hidden="1"/>
    <row r="27" spans="2:14" hidden="1"/>
    <row r="28" spans="2:14" ht="19.2" hidden="1" customHeight="1">
      <c r="B28" s="13" t="s">
        <v>11</v>
      </c>
      <c r="C28" s="39" t="e">
        <f>#REF!</f>
        <v>#REF!</v>
      </c>
      <c r="D28" s="39" t="e">
        <f>#REF!</f>
        <v>#REF!</v>
      </c>
    </row>
    <row r="29" spans="2:14" ht="19.2" hidden="1" customHeight="1">
      <c r="B29" s="37" t="s">
        <v>12</v>
      </c>
      <c r="C29" s="39"/>
      <c r="D29" s="39"/>
    </row>
    <row r="30" spans="2:14" ht="19.2" hidden="1" customHeight="1">
      <c r="B30" s="37" t="s">
        <v>13</v>
      </c>
      <c r="C30" s="39"/>
      <c r="D30" s="39"/>
    </row>
    <row r="31" spans="2:14" hidden="1">
      <c r="B31" s="40" t="s">
        <v>14</v>
      </c>
      <c r="C31" s="41">
        <v>-31602</v>
      </c>
      <c r="D31" s="42">
        <v>-120756</v>
      </c>
    </row>
    <row r="32" spans="2:14" hidden="1">
      <c r="B32" s="40" t="s">
        <v>15</v>
      </c>
      <c r="C32" s="43">
        <v>9165</v>
      </c>
      <c r="D32" s="43">
        <v>17510</v>
      </c>
    </row>
    <row r="33" spans="2:8" hidden="1">
      <c r="B33" s="44" t="s">
        <v>16</v>
      </c>
      <c r="C33" s="45">
        <f>SUM(C31:C32)</f>
        <v>-22437</v>
      </c>
      <c r="D33" s="46">
        <v>-103246</v>
      </c>
    </row>
    <row r="34" spans="2:8" hidden="1">
      <c r="B34" s="47"/>
      <c r="C34" s="45"/>
      <c r="D34" s="46"/>
    </row>
    <row r="35" spans="2:8" hidden="1">
      <c r="B35" s="13" t="s">
        <v>17</v>
      </c>
      <c r="C35" s="48" t="e">
        <f>C28+C33</f>
        <v>#REF!</v>
      </c>
      <c r="D35" s="48" t="e">
        <f>D28+D33</f>
        <v>#REF!</v>
      </c>
    </row>
    <row r="36" spans="2:8">
      <c r="C36" s="49"/>
      <c r="D36" s="49"/>
    </row>
    <row r="37" spans="2:8">
      <c r="B37" s="50" t="s">
        <v>18</v>
      </c>
      <c r="C37" s="49">
        <v>10</v>
      </c>
      <c r="D37" s="49">
        <v>12</v>
      </c>
      <c r="E37" s="49">
        <v>4</v>
      </c>
      <c r="F37" s="49">
        <v>15</v>
      </c>
      <c r="G37" s="49">
        <v>3</v>
      </c>
      <c r="H37" s="20">
        <v>3.5</v>
      </c>
    </row>
    <row r="38" spans="2:8">
      <c r="B38" s="51" t="s">
        <v>19</v>
      </c>
      <c r="C38" s="52">
        <f>IFERROR(C37/C21,0)</f>
        <v>0.10821330550142286</v>
      </c>
      <c r="D38" s="52">
        <f t="shared" ref="D38:H38" si="6">IFERROR(D37/D21,0)</f>
        <v>0.12477633728396184</v>
      </c>
      <c r="E38" s="53">
        <f t="shared" si="6"/>
        <v>0.1040476577809434</v>
      </c>
      <c r="F38" s="52">
        <f t="shared" si="6"/>
        <v>0.56023703948857018</v>
      </c>
      <c r="G38" s="52">
        <f t="shared" si="6"/>
        <v>0.2070984371730698</v>
      </c>
      <c r="H38" s="52">
        <f t="shared" si="6"/>
        <v>0.23103364739355578</v>
      </c>
    </row>
    <row r="39" spans="2:8">
      <c r="B39" s="51"/>
      <c r="C39" s="54"/>
      <c r="D39" s="54"/>
      <c r="E39" s="55"/>
      <c r="F39" s="56"/>
      <c r="G39" s="56"/>
    </row>
    <row r="40" spans="2:8">
      <c r="B40" s="51" t="s">
        <v>20</v>
      </c>
      <c r="C40" s="52">
        <f>100%-C38</f>
        <v>0.89178669449857717</v>
      </c>
      <c r="D40" s="52">
        <f t="shared" ref="D40:G40" si="7">100%-D38</f>
        <v>0.87522366271603813</v>
      </c>
      <c r="E40" s="53">
        <f t="shared" si="7"/>
        <v>0.89595234221905662</v>
      </c>
      <c r="F40" s="52">
        <f t="shared" si="7"/>
        <v>0.43976296051142982</v>
      </c>
      <c r="G40" s="52">
        <f t="shared" si="7"/>
        <v>0.79290156282693025</v>
      </c>
      <c r="H40" s="52">
        <f t="shared" ref="H40" si="8">100%-H38</f>
        <v>0.76896635260644419</v>
      </c>
    </row>
    <row r="41" spans="2:8">
      <c r="C41" s="57"/>
      <c r="D41" s="57"/>
      <c r="E41" s="58"/>
      <c r="F41" s="58"/>
      <c r="G41" s="58"/>
      <c r="H41" s="58"/>
    </row>
    <row r="42" spans="2:8">
      <c r="B42" s="59" t="s">
        <v>21</v>
      </c>
      <c r="C42" s="49">
        <v>1233.55</v>
      </c>
      <c r="D42" s="49">
        <v>482.57</v>
      </c>
      <c r="E42" s="56">
        <v>471.08</v>
      </c>
      <c r="F42" s="56">
        <v>384.66</v>
      </c>
      <c r="G42" s="56">
        <v>352.56</v>
      </c>
      <c r="H42" s="56">
        <v>300.11</v>
      </c>
    </row>
    <row r="43" spans="2:8">
      <c r="B43" s="59"/>
      <c r="C43" s="49"/>
      <c r="D43" s="49"/>
      <c r="E43" s="56"/>
      <c r="F43" s="56"/>
      <c r="G43" s="56"/>
      <c r="H43" s="56"/>
    </row>
    <row r="44" spans="2:8">
      <c r="B44" s="59" t="s">
        <v>243</v>
      </c>
      <c r="C44" s="24">
        <f>(BS!C20)*1000</f>
        <v>24208886000</v>
      </c>
      <c r="D44" s="24">
        <f>(BS!D20)*1000</f>
        <v>17715733000</v>
      </c>
      <c r="E44" s="24">
        <f>(BS!E20)*1000</f>
        <v>12579581000</v>
      </c>
      <c r="F44" s="24">
        <f>(BS!F20)*1000</f>
        <v>11274737000</v>
      </c>
      <c r="G44" s="24">
        <f>(BS!G20)*1000</f>
        <v>9899785000</v>
      </c>
      <c r="H44" s="24">
        <f>(BS!H20)*1000</f>
        <v>7374246660</v>
      </c>
    </row>
    <row r="46" spans="2:8">
      <c r="B46" s="21" t="s">
        <v>244</v>
      </c>
      <c r="C46" s="280">
        <f>C44/C19</f>
        <v>364.8282455459821</v>
      </c>
      <c r="D46" s="280">
        <f t="shared" ref="D46:H46" si="9">D44/D19</f>
        <v>266.97634037977036</v>
      </c>
      <c r="E46" s="280">
        <f t="shared" si="9"/>
        <v>189.5744589789704</v>
      </c>
      <c r="F46" s="280">
        <f t="shared" si="9"/>
        <v>169.91044192212601</v>
      </c>
      <c r="G46" s="280">
        <f t="shared" si="9"/>
        <v>153.87589546252875</v>
      </c>
      <c r="H46" s="280">
        <f t="shared" si="9"/>
        <v>115.57519871169467</v>
      </c>
    </row>
    <row r="48" spans="2:8">
      <c r="B48" s="370" t="s">
        <v>320</v>
      </c>
      <c r="C48" s="20">
        <f>C19/1000*C42</f>
        <v>81854603.336999997</v>
      </c>
      <c r="D48" s="20">
        <f>D19/1000*D42</f>
        <v>32021868.535800003</v>
      </c>
      <c r="E48" s="20">
        <f>(E19/1000)*E42</f>
        <v>31259427.295200001</v>
      </c>
      <c r="F48" s="20">
        <f>(F19/1000)*F42</f>
        <v>25524860.540400002</v>
      </c>
      <c r="G48" s="20">
        <f>(G19/1000)*G42</f>
        <v>22682358.332400002</v>
      </c>
      <c r="H48" s="20">
        <f>(H19/1000)*H42</f>
        <v>19148443.522500001</v>
      </c>
    </row>
  </sheetData>
  <mergeCells count="2">
    <mergeCell ref="B3:C3"/>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5A83-8D0B-4CDE-98F9-5DCF64DEB3EB}">
  <sheetPr codeName="Sheet4"/>
  <dimension ref="B2:K35"/>
  <sheetViews>
    <sheetView showGridLines="0" workbookViewId="0">
      <selection activeCell="I23" sqref="I23"/>
    </sheetView>
  </sheetViews>
  <sheetFormatPr defaultRowHeight="14.4"/>
  <cols>
    <col min="1" max="1" width="1.88671875" style="16" customWidth="1"/>
    <col min="2" max="2" width="48.6640625" style="16" bestFit="1" customWidth="1"/>
    <col min="3" max="3" width="16.6640625" style="16" customWidth="1"/>
    <col min="4" max="4" width="15.21875" style="16" customWidth="1"/>
    <col min="5" max="8" width="12.77734375" style="16" customWidth="1"/>
    <col min="9" max="9" width="16.6640625" style="16" customWidth="1"/>
    <col min="10" max="16384" width="8.88671875" style="16"/>
  </cols>
  <sheetData>
    <row r="2" spans="2:11" ht="25.2" customHeight="1">
      <c r="B2" s="412" t="str">
        <f>"Ratio Analysis-Profitability"&amp;" - "&amp;BS!$B$2</f>
        <v>Ratio Analysis-Profitability - Ismail Industries Limited</v>
      </c>
      <c r="C2" s="412"/>
      <c r="D2" s="412"/>
      <c r="E2" s="412"/>
      <c r="F2" s="412"/>
      <c r="G2" s="412"/>
      <c r="H2" s="412"/>
      <c r="I2" s="412"/>
      <c r="J2" s="412"/>
      <c r="K2" s="412"/>
    </row>
    <row r="3" spans="2:11">
      <c r="B3" s="60" t="s">
        <v>23</v>
      </c>
      <c r="C3" s="61">
        <v>2024</v>
      </c>
      <c r="D3" s="62">
        <f>C3-1</f>
        <v>2023</v>
      </c>
      <c r="E3" s="62">
        <f t="shared" ref="E3:H3" si="0">D3-1</f>
        <v>2022</v>
      </c>
      <c r="F3" s="62">
        <f t="shared" si="0"/>
        <v>2021</v>
      </c>
      <c r="G3" s="62">
        <f t="shared" si="0"/>
        <v>2020</v>
      </c>
      <c r="H3" s="62">
        <f t="shared" si="0"/>
        <v>2019</v>
      </c>
      <c r="I3" s="62" t="s">
        <v>24</v>
      </c>
      <c r="J3" s="62" t="s">
        <v>25</v>
      </c>
      <c r="K3" s="62" t="s">
        <v>26</v>
      </c>
    </row>
    <row r="5" spans="2:11">
      <c r="B5" s="63" t="s">
        <v>27</v>
      </c>
      <c r="C5" s="63"/>
    </row>
    <row r="6" spans="2:11">
      <c r="B6" s="64" t="s">
        <v>28</v>
      </c>
      <c r="C6" s="65">
        <f>Pnl!C11/Pnl!C$9</f>
        <v>0.22061131912283691</v>
      </c>
      <c r="D6" s="65">
        <f>Pnl!D11/Pnl!D$9</f>
        <v>0.20732170262555211</v>
      </c>
      <c r="E6" s="65">
        <f>Pnl!E11/Pnl!E$9</f>
        <v>0.17816453968488527</v>
      </c>
      <c r="F6" s="65">
        <f>Pnl!F11/Pnl!F$9</f>
        <v>0.19282261920844349</v>
      </c>
      <c r="G6" s="65">
        <f>Pnl!G11/Pnl!G$9</f>
        <v>0.20704339445942901</v>
      </c>
      <c r="H6" s="65">
        <f>Pnl!H11/Pnl!H$9</f>
        <v>0.21116086848468169</v>
      </c>
      <c r="J6" s="67">
        <f t="shared" ref="J6:J11" si="1">IFERROR(AVERAGE(D6:H6),0)</f>
        <v>0.19930262489259828</v>
      </c>
      <c r="K6" s="67">
        <f t="shared" ref="K6:K11" si="2">IFERROR(MEDIAN(D6:H6),0)</f>
        <v>0.20704339445942901</v>
      </c>
    </row>
    <row r="7" spans="2:11">
      <c r="B7" s="18" t="s">
        <v>29</v>
      </c>
      <c r="C7" s="65">
        <f>Pnl!C12/Pnl!C$9</f>
        <v>0.12839106522003943</v>
      </c>
      <c r="D7" s="65">
        <f>Pnl!D12/Pnl!D$9</f>
        <v>0.11619353815807465</v>
      </c>
      <c r="E7" s="65">
        <f>Pnl!E12/Pnl!E$9</f>
        <v>7.6805054528897659E-2</v>
      </c>
      <c r="F7" s="65">
        <f>Pnl!F12/Pnl!F$9</f>
        <v>6.182070432531999E-2</v>
      </c>
      <c r="G7" s="65">
        <f>Pnl!G12/Pnl!G$9</f>
        <v>5.4628788197387625E-2</v>
      </c>
      <c r="H7" s="65">
        <f>Pnl!H12/Pnl!H$9</f>
        <v>7.3891008155068896E-2</v>
      </c>
      <c r="J7" s="67">
        <f t="shared" si="1"/>
        <v>7.6667818672949764E-2</v>
      </c>
      <c r="K7" s="67">
        <f t="shared" si="2"/>
        <v>7.3891008155068896E-2</v>
      </c>
    </row>
    <row r="8" spans="2:11">
      <c r="B8" s="18" t="s">
        <v>30</v>
      </c>
      <c r="C8" s="65">
        <f>Pnl!C17/Pnl!C$9</f>
        <v>5.6315709390680015E-2</v>
      </c>
      <c r="D8" s="65">
        <f>Pnl!D17/Pnl!D$9</f>
        <v>7.1780303277415122E-2</v>
      </c>
      <c r="E8" s="65">
        <f>Pnl!E17/Pnl!E$9</f>
        <v>4.6163386387855859E-2</v>
      </c>
      <c r="F8" s="65">
        <f>Pnl!F17/Pnl!F$9</f>
        <v>4.7621888851005795E-2</v>
      </c>
      <c r="G8" s="65">
        <f>Pnl!G17/Pnl!G$9</f>
        <v>2.8055793267759584E-2</v>
      </c>
      <c r="H8" s="65">
        <f>Pnl!H17/Pnl!H$9</f>
        <v>3.2122608926681756E-2</v>
      </c>
      <c r="J8" s="67">
        <f t="shared" si="1"/>
        <v>4.5148796142143628E-2</v>
      </c>
      <c r="K8" s="67">
        <f t="shared" si="2"/>
        <v>4.6163386387855859E-2</v>
      </c>
    </row>
    <row r="9" spans="2:11" hidden="1">
      <c r="B9" s="64" t="s">
        <v>31</v>
      </c>
      <c r="C9" s="66">
        <f>Pnl!C14/Pnl!$C$9</f>
        <v>6.7814829800105475E-2</v>
      </c>
      <c r="D9" s="66">
        <f>Pnl!D14/Pnl!$C$9</f>
        <v>4.0403749118903279E-2</v>
      </c>
      <c r="E9" s="66">
        <f>Pnl!E14/Pnl!$C$9</f>
        <v>1.2985844851448967E-2</v>
      </c>
      <c r="F9" s="66">
        <f>Pnl!F14/Pnl!$C$9</f>
        <v>6.3708601311392252E-3</v>
      </c>
      <c r="G9" s="66">
        <f>Pnl!G14/Pnl!$C$9</f>
        <v>1.0614543014785673E-2</v>
      </c>
      <c r="H9" s="66" t="e">
        <f>Pnl!#REF!/Pnl!$C$9</f>
        <v>#REF!</v>
      </c>
      <c r="J9" s="67">
        <f t="shared" si="1"/>
        <v>0</v>
      </c>
      <c r="K9" s="67">
        <f t="shared" si="2"/>
        <v>0</v>
      </c>
    </row>
    <row r="10" spans="2:11" ht="16.2" customHeight="1">
      <c r="B10" s="64" t="s">
        <v>32</v>
      </c>
      <c r="C10" s="66">
        <f>Pnl!C15/BS!C20</f>
        <v>0.31709269893707626</v>
      </c>
      <c r="D10" s="66">
        <f>Pnl!D15/BS!D20</f>
        <v>0.42512957267983209</v>
      </c>
      <c r="E10" s="66">
        <f>Pnl!E15/BS!E20</f>
        <v>0.26924259242020859</v>
      </c>
      <c r="F10" s="66">
        <f>Pnl!F15/BS!F20</f>
        <v>0.1963013416632246</v>
      </c>
      <c r="G10" s="66">
        <f>Pnl!G15/BS!G20</f>
        <v>0.13360926525172012</v>
      </c>
      <c r="H10" s="66">
        <f>Pnl!H15/BS!H20</f>
        <v>0.19032998483942767</v>
      </c>
      <c r="J10" s="67">
        <f t="shared" si="1"/>
        <v>0.24292255137088267</v>
      </c>
      <c r="K10" s="67">
        <f t="shared" si="2"/>
        <v>0.1963013416632246</v>
      </c>
    </row>
    <row r="11" spans="2:11">
      <c r="B11" s="64" t="s">
        <v>33</v>
      </c>
      <c r="C11" s="66">
        <f>Pnl!C17/BS!C20</f>
        <v>0.25329748754238424</v>
      </c>
      <c r="D11" s="66">
        <f>Pnl!D17/BS!D20</f>
        <v>0.36022698016503185</v>
      </c>
      <c r="E11" s="66">
        <f>Pnl!E17/BS!E20</f>
        <v>0.20279061758893241</v>
      </c>
      <c r="F11" s="66">
        <f>Pnl!F17/BS!F20</f>
        <v>0.15757937413529025</v>
      </c>
      <c r="G11" s="66">
        <f>Pnl!G17/BS!G20</f>
        <v>9.4139923240757248E-2</v>
      </c>
      <c r="H11" s="66">
        <f>Pnl!H17/BS!H20</f>
        <v>0.1310775034476539</v>
      </c>
      <c r="J11" s="67">
        <f t="shared" si="1"/>
        <v>0.18916287971553311</v>
      </c>
      <c r="K11" s="67">
        <f t="shared" si="2"/>
        <v>0.15757937413529025</v>
      </c>
    </row>
    <row r="12" spans="2:11" ht="16.2">
      <c r="B12" s="64" t="s">
        <v>247</v>
      </c>
      <c r="C12" s="66">
        <v>0.16589999999999999</v>
      </c>
      <c r="D12" s="66">
        <v>0.16120000000000001</v>
      </c>
      <c r="E12" s="66">
        <v>0.12659999999999999</v>
      </c>
      <c r="F12" s="66">
        <v>0.1241</v>
      </c>
      <c r="G12" s="66">
        <v>0.1139</v>
      </c>
      <c r="H12" s="66">
        <v>0.1132</v>
      </c>
      <c r="J12" s="67">
        <f t="shared" ref="J12" si="3">IFERROR(AVERAGE(D12:H12),0)</f>
        <v>0.1278</v>
      </c>
      <c r="K12" s="67">
        <f t="shared" ref="K12" si="4">IFERROR(MEDIAN(D12:H12),0)</f>
        <v>0.1241</v>
      </c>
    </row>
    <row r="13" spans="2:11">
      <c r="B13" s="64" t="s">
        <v>248</v>
      </c>
      <c r="C13" s="66">
        <v>0.12839999999999999</v>
      </c>
      <c r="D13" s="66">
        <v>0.1162</v>
      </c>
      <c r="E13" s="66">
        <v>7.6799999999999993E-2</v>
      </c>
      <c r="F13" s="66">
        <v>6.1800000000000001E-2</v>
      </c>
      <c r="G13" s="66">
        <v>5.4600000000000003E-2</v>
      </c>
      <c r="H13" s="66">
        <v>5.8200000000000002E-2</v>
      </c>
      <c r="J13" s="67">
        <f t="shared" ref="J13" si="5">IFERROR(AVERAGE(D13:H13),0)</f>
        <v>7.3520000000000002E-2</v>
      </c>
      <c r="K13" s="67">
        <f t="shared" ref="K13" si="6">IFERROR(MEDIAN(D13:H13),0)</f>
        <v>6.1800000000000001E-2</v>
      </c>
    </row>
    <row r="14" spans="2:11" ht="16.2">
      <c r="B14" s="18" t="s">
        <v>34</v>
      </c>
      <c r="C14" s="66">
        <f>Pnl!C12/BS!C28</f>
        <v>0.29491505243736216</v>
      </c>
      <c r="D14" s="66">
        <f>Pnl!D12/BS!D28</f>
        <v>0.23812280484307036</v>
      </c>
      <c r="E14" s="66">
        <f>Pnl!E12/BS!E28</f>
        <v>0.12256038674126958</v>
      </c>
      <c r="F14" s="66">
        <f>Pnl!F12/BS!F28</f>
        <v>8.7111975687123394E-2</v>
      </c>
      <c r="G14" s="66">
        <f>Pnl!G12/BS!G28</f>
        <v>7.0957800130437218E-2</v>
      </c>
      <c r="H14" s="66">
        <f>Pnl!H12/BS!H28</f>
        <v>0.13726869917443327</v>
      </c>
      <c r="J14" s="67">
        <f t="shared" ref="J14" si="7">IFERROR(AVERAGE(D14:H14),0)</f>
        <v>0.13120433331526676</v>
      </c>
      <c r="K14" s="67">
        <f t="shared" ref="K14" si="8">IFERROR(MEDIAN(D14:H14),0)</f>
        <v>0.12256038674126958</v>
      </c>
    </row>
    <row r="15" spans="2:11">
      <c r="C15" s="68"/>
      <c r="D15" s="68"/>
      <c r="E15" s="68"/>
      <c r="F15" s="68"/>
      <c r="G15" s="68"/>
      <c r="H15" s="68"/>
      <c r="J15" s="18"/>
      <c r="K15" s="18"/>
    </row>
    <row r="16" spans="2:11">
      <c r="B16" s="69"/>
      <c r="C16" s="70"/>
      <c r="D16" s="283"/>
      <c r="E16" s="68"/>
      <c r="F16" s="68"/>
      <c r="G16" s="68"/>
      <c r="H16" s="68"/>
      <c r="J16" s="18"/>
      <c r="K16" s="18"/>
    </row>
    <row r="18" spans="2:7" ht="15" thickBot="1">
      <c r="B18" s="19" t="s">
        <v>42</v>
      </c>
    </row>
    <row r="19" spans="2:7" ht="14.4" customHeight="1">
      <c r="B19" s="417" t="s">
        <v>249</v>
      </c>
      <c r="C19" s="418"/>
      <c r="D19" s="418"/>
      <c r="E19" s="418"/>
      <c r="F19" s="418"/>
      <c r="G19" s="419"/>
    </row>
    <row r="20" spans="2:7">
      <c r="B20" s="420"/>
      <c r="C20" s="421"/>
      <c r="D20" s="421"/>
      <c r="E20" s="421"/>
      <c r="F20" s="421"/>
      <c r="G20" s="422"/>
    </row>
    <row r="21" spans="2:7">
      <c r="B21" s="73"/>
      <c r="C21" s="73"/>
      <c r="D21" s="73"/>
      <c r="E21" s="73"/>
      <c r="F21" s="73"/>
      <c r="G21" s="73"/>
    </row>
    <row r="22" spans="2:7" ht="15" thickBot="1">
      <c r="B22" s="284" t="s">
        <v>250</v>
      </c>
      <c r="C22" s="73"/>
      <c r="D22" s="73"/>
      <c r="E22" s="73"/>
      <c r="F22" s="73"/>
      <c r="G22" s="73"/>
    </row>
    <row r="23" spans="2:7">
      <c r="B23" s="417" t="s">
        <v>251</v>
      </c>
      <c r="C23" s="418"/>
      <c r="D23" s="418"/>
      <c r="E23" s="418"/>
      <c r="F23" s="418"/>
      <c r="G23" s="419"/>
    </row>
    <row r="24" spans="2:7">
      <c r="B24" s="423"/>
      <c r="C24" s="424"/>
      <c r="D24" s="424"/>
      <c r="E24" s="424"/>
      <c r="F24" s="424"/>
      <c r="G24" s="425"/>
    </row>
    <row r="25" spans="2:7">
      <c r="B25" s="423"/>
      <c r="C25" s="424"/>
      <c r="D25" s="424"/>
      <c r="E25" s="424"/>
      <c r="F25" s="424"/>
      <c r="G25" s="425"/>
    </row>
    <row r="26" spans="2:7">
      <c r="B26" s="423"/>
      <c r="C26" s="424"/>
      <c r="D26" s="424"/>
      <c r="E26" s="424"/>
      <c r="F26" s="424"/>
      <c r="G26" s="425"/>
    </row>
    <row r="27" spans="2:7">
      <c r="B27" s="423"/>
      <c r="C27" s="424"/>
      <c r="D27" s="424"/>
      <c r="E27" s="424"/>
      <c r="F27" s="424"/>
      <c r="G27" s="425"/>
    </row>
    <row r="28" spans="2:7">
      <c r="B28" s="423"/>
      <c r="C28" s="424"/>
      <c r="D28" s="424"/>
      <c r="E28" s="424"/>
      <c r="F28" s="424"/>
      <c r="G28" s="425"/>
    </row>
    <row r="29" spans="2:7">
      <c r="B29" s="423"/>
      <c r="C29" s="424"/>
      <c r="D29" s="424"/>
      <c r="E29" s="424"/>
      <c r="F29" s="424"/>
      <c r="G29" s="425"/>
    </row>
    <row r="30" spans="2:7">
      <c r="B30" s="423"/>
      <c r="C30" s="424"/>
      <c r="D30" s="424"/>
      <c r="E30" s="424"/>
      <c r="F30" s="424"/>
      <c r="G30" s="425"/>
    </row>
    <row r="31" spans="2:7">
      <c r="B31" s="423"/>
      <c r="C31" s="424"/>
      <c r="D31" s="424"/>
      <c r="E31" s="424"/>
      <c r="F31" s="424"/>
      <c r="G31" s="425"/>
    </row>
    <row r="32" spans="2:7">
      <c r="B32" s="423"/>
      <c r="C32" s="424"/>
      <c r="D32" s="424"/>
      <c r="E32" s="424"/>
      <c r="F32" s="424"/>
      <c r="G32" s="425"/>
    </row>
    <row r="33" spans="2:7">
      <c r="B33" s="423"/>
      <c r="C33" s="424"/>
      <c r="D33" s="424"/>
      <c r="E33" s="424"/>
      <c r="F33" s="424"/>
      <c r="G33" s="425"/>
    </row>
    <row r="34" spans="2:7">
      <c r="B34" s="423"/>
      <c r="C34" s="424"/>
      <c r="D34" s="424"/>
      <c r="E34" s="424"/>
      <c r="F34" s="424"/>
      <c r="G34" s="425"/>
    </row>
    <row r="35" spans="2:7" ht="15" thickBot="1">
      <c r="B35" s="420"/>
      <c r="C35" s="421"/>
      <c r="D35" s="421"/>
      <c r="E35" s="421"/>
      <c r="F35" s="421"/>
      <c r="G35" s="422"/>
    </row>
  </sheetData>
  <mergeCells count="3">
    <mergeCell ref="B19:G20"/>
    <mergeCell ref="B2:K2"/>
    <mergeCell ref="B23:G35"/>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1D6C6B96-4EF8-46D7-93E2-9FABC11FFBD7}">
          <x14:colorSeries rgb="FF376092"/>
          <x14:colorNegative rgb="FFD00000"/>
          <x14:colorAxis rgb="FF000000"/>
          <x14:colorMarkers rgb="FFD00000"/>
          <x14:colorFirst rgb="FFD00000"/>
          <x14:colorLast rgb="FFD00000"/>
          <x14:colorHigh rgb="FFD00000"/>
          <x14:colorLow rgb="FFD00000"/>
          <x14:sparklines>
            <x14:sparkline>
              <xm:f>'Ratio Analysis-Profitability'!D6:H6</xm:f>
              <xm:sqref>I6</xm:sqref>
            </x14:sparkline>
            <x14:sparkline>
              <xm:f>'Ratio Analysis-Profitability'!D7:H7</xm:f>
              <xm:sqref>I7</xm:sqref>
            </x14:sparkline>
            <x14:sparkline>
              <xm:f>'Ratio Analysis-Profitability'!D8:H8</xm:f>
              <xm:sqref>I8</xm:sqref>
            </x14:sparkline>
            <x14:sparkline>
              <xm:f>'Ratio Analysis-Profitability'!D9:H9</xm:f>
              <xm:sqref>I9</xm:sqref>
            </x14:sparkline>
            <x14:sparkline>
              <xm:f>'Ratio Analysis-Profitability'!D10:H10</xm:f>
              <xm:sqref>I10</xm:sqref>
            </x14:sparkline>
            <x14:sparkline>
              <xm:f>'Ratio Analysis-Profitability'!D11:H11</xm:f>
              <xm:sqref>I11</xm:sqref>
            </x14:sparkline>
            <x14:sparkline>
              <xm:f>'Ratio Analysis-Profitability'!D12:H12</xm:f>
              <xm:sqref>I12</xm:sqref>
            </x14:sparkline>
            <x14:sparkline>
              <xm:f>'Ratio Analysis-Profitability'!D13:H13</xm:f>
              <xm:sqref>I13</xm:sqref>
            </x14:sparkline>
            <x14:sparkline>
              <xm:f>'Ratio Analysis-Profitability'!D14:H14</xm:f>
              <xm:sqref>I14</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82FCE-3D45-475F-9AE0-C31458816E5F}">
  <sheetPr codeName="Sheet5"/>
  <dimension ref="B2:K36"/>
  <sheetViews>
    <sheetView showGridLines="0" workbookViewId="0">
      <selection activeCell="C10" sqref="C10"/>
    </sheetView>
  </sheetViews>
  <sheetFormatPr defaultRowHeight="14.4"/>
  <cols>
    <col min="1" max="1" width="1.88671875" style="16" customWidth="1"/>
    <col min="2" max="2" width="48.6640625" style="16" bestFit="1" customWidth="1"/>
    <col min="3" max="3" width="16.6640625" style="16" customWidth="1"/>
    <col min="4" max="4" width="15.21875" style="16" customWidth="1"/>
    <col min="5" max="8" width="12.77734375" style="16" customWidth="1"/>
    <col min="9" max="9" width="16.6640625" style="16" customWidth="1"/>
    <col min="10" max="16384" width="8.88671875" style="16"/>
  </cols>
  <sheetData>
    <row r="2" spans="2:11" ht="25.2" customHeight="1">
      <c r="B2" s="412" t="str">
        <f>"Ratio Analysis-Liquidity"&amp;" - "&amp;BS!$B$2</f>
        <v>Ratio Analysis-Liquidity - Ismail Industries Limited</v>
      </c>
      <c r="C2" s="412"/>
      <c r="D2" s="412"/>
      <c r="E2" s="412"/>
      <c r="F2" s="412"/>
      <c r="G2" s="412"/>
      <c r="H2" s="412"/>
      <c r="I2" s="412"/>
      <c r="J2" s="412"/>
      <c r="K2" s="412"/>
    </row>
    <row r="3" spans="2:11">
      <c r="B3" s="60" t="s">
        <v>23</v>
      </c>
      <c r="C3" s="61">
        <v>2024</v>
      </c>
      <c r="D3" s="62">
        <f>C3-1</f>
        <v>2023</v>
      </c>
      <c r="E3" s="62">
        <f t="shared" ref="E3:H3" si="0">D3-1</f>
        <v>2022</v>
      </c>
      <c r="F3" s="62">
        <f t="shared" si="0"/>
        <v>2021</v>
      </c>
      <c r="G3" s="62">
        <f t="shared" si="0"/>
        <v>2020</v>
      </c>
      <c r="H3" s="62">
        <f t="shared" si="0"/>
        <v>2019</v>
      </c>
      <c r="I3" s="62" t="s">
        <v>24</v>
      </c>
      <c r="J3" s="62" t="s">
        <v>25</v>
      </c>
      <c r="K3" s="62" t="s">
        <v>26</v>
      </c>
    </row>
    <row r="5" spans="2:11">
      <c r="B5" s="71" t="s">
        <v>36</v>
      </c>
      <c r="C5" s="63"/>
    </row>
    <row r="6" spans="2:11">
      <c r="B6" s="72" t="s">
        <v>37</v>
      </c>
      <c r="C6" s="285">
        <f>BS!C11/BS!C16</f>
        <v>1.1190865955612619</v>
      </c>
      <c r="D6" s="285">
        <f>BS!D11/BS!D16</f>
        <v>1.1942539402314805</v>
      </c>
      <c r="E6" s="285">
        <f>BS!E11/BS!E16</f>
        <v>1.1392782612561261</v>
      </c>
      <c r="F6" s="285">
        <f>BS!F11/BS!F16</f>
        <v>1.017763570614322</v>
      </c>
      <c r="G6" s="285">
        <f>BS!G11/BS!G16</f>
        <v>1.0529231488059356</v>
      </c>
      <c r="H6" s="285">
        <f>BS!H11/BS!H16</f>
        <v>1.0090330602771691</v>
      </c>
      <c r="J6" s="67">
        <f t="shared" ref="J6:J10" si="1">IFERROR(AVERAGE(D6:H6),0)</f>
        <v>1.0826503962370064</v>
      </c>
      <c r="K6" s="67">
        <f t="shared" ref="K6:K10" si="2">IFERROR(MEDIAN(D6:H6),0)</f>
        <v>1.0529231488059356</v>
      </c>
    </row>
    <row r="7" spans="2:11">
      <c r="B7" s="72" t="s">
        <v>38</v>
      </c>
      <c r="C7" s="285">
        <f>(BS!C11-BS!C10)/BS!C16</f>
        <v>0.82860791243987142</v>
      </c>
      <c r="D7" s="285">
        <f>(BS!D11-BS!D10)/BS!D16</f>
        <v>0.65892947994885798</v>
      </c>
      <c r="E7" s="285">
        <f>(BS!E11-BS!E10)/BS!E16</f>
        <v>0.64041520137855601</v>
      </c>
      <c r="F7" s="285">
        <f>(BS!F11-BS!F10)/BS!F16</f>
        <v>0.49616120652027501</v>
      </c>
      <c r="G7" s="285">
        <f>(BS!G11-BS!G10)/BS!G16</f>
        <v>0.52906808862718169</v>
      </c>
      <c r="H7" s="285">
        <f>(BS!H11-BS!H10)/BS!H16</f>
        <v>0.53427278379255061</v>
      </c>
      <c r="J7" s="67">
        <f t="shared" si="1"/>
        <v>0.57176935205348423</v>
      </c>
      <c r="K7" s="67">
        <f t="shared" si="2"/>
        <v>0.53427278379255061</v>
      </c>
    </row>
    <row r="8" spans="2:11">
      <c r="B8" s="72" t="s">
        <v>39</v>
      </c>
      <c r="C8" s="285">
        <f>BS!C9/BS!C16</f>
        <v>1.864657074372162E-2</v>
      </c>
      <c r="D8" s="285">
        <f>BS!D9/BS!D16</f>
        <v>5.1568595990887069E-2</v>
      </c>
      <c r="E8" s="285">
        <f>BS!E9/BS!E16</f>
        <v>1.4499045425013377E-2</v>
      </c>
      <c r="F8" s="285">
        <f>BS!F9/BS!F16</f>
        <v>9.8916858811317915E-3</v>
      </c>
      <c r="G8" s="285">
        <f>BS!G9/BS!G16</f>
        <v>4.2898635539326225E-3</v>
      </c>
      <c r="H8" s="285">
        <f>BS!H9/BS!H16</f>
        <v>3.0087372267473458E-3</v>
      </c>
      <c r="J8" s="67">
        <f t="shared" si="1"/>
        <v>1.665158561554244E-2</v>
      </c>
      <c r="K8" s="67">
        <f t="shared" si="2"/>
        <v>9.8916858811317915E-3</v>
      </c>
    </row>
    <row r="9" spans="2:11" hidden="1">
      <c r="B9" s="72" t="s">
        <v>40</v>
      </c>
      <c r="C9" s="66">
        <f>Pnl!C14/Pnl!$C$9</f>
        <v>6.7814829800105475E-2</v>
      </c>
      <c r="D9" s="66">
        <f>Pnl!D14/Pnl!$C$9</f>
        <v>4.0403749118903279E-2</v>
      </c>
      <c r="E9" s="66">
        <f>Pnl!E14/Pnl!$C$9</f>
        <v>1.2985844851448967E-2</v>
      </c>
      <c r="F9" s="66">
        <f>Pnl!F14/Pnl!$C$9</f>
        <v>6.3708601311392252E-3</v>
      </c>
      <c r="G9" s="66">
        <f>Pnl!G14/Pnl!$C$9</f>
        <v>1.0614543014785673E-2</v>
      </c>
      <c r="H9" s="66" t="e">
        <f>Pnl!#REF!/Pnl!$C$9</f>
        <v>#REF!</v>
      </c>
      <c r="J9" s="67">
        <f t="shared" si="1"/>
        <v>0</v>
      </c>
      <c r="K9" s="67">
        <f t="shared" si="2"/>
        <v>0</v>
      </c>
    </row>
    <row r="10" spans="2:11" ht="16.2" customHeight="1">
      <c r="B10" s="18" t="s">
        <v>41</v>
      </c>
      <c r="C10" s="285">
        <f>Pnl!C12/Pnl!C14</f>
        <v>1.8932594183085267</v>
      </c>
      <c r="D10" s="285">
        <f>Pnl!D12/Pnl!D14</f>
        <v>2.3480873946798733</v>
      </c>
      <c r="E10" s="285">
        <f>Pnl!E12/Pnl!E14</f>
        <v>3.0016485265100883</v>
      </c>
      <c r="F10" s="285">
        <f>Pnl!F12/Pnl!F14</f>
        <v>3.3247494608651529</v>
      </c>
      <c r="G10" s="285">
        <f>Pnl!G12/Pnl!G14</f>
        <v>1.5700778517822505</v>
      </c>
      <c r="H10" s="285">
        <f>Pnl!H12/Pnl!H14</f>
        <v>2.4551378884586641</v>
      </c>
      <c r="J10" s="67">
        <f t="shared" si="1"/>
        <v>2.5399402244592055</v>
      </c>
      <c r="K10" s="67">
        <f t="shared" si="2"/>
        <v>2.4551378884586641</v>
      </c>
    </row>
    <row r="11" spans="2:11">
      <c r="C11" s="68"/>
      <c r="D11" s="68"/>
      <c r="E11" s="68"/>
      <c r="F11" s="68"/>
      <c r="G11" s="68"/>
      <c r="H11" s="68"/>
      <c r="J11" s="18"/>
      <c r="K11" s="18"/>
    </row>
    <row r="12" spans="2:11">
      <c r="B12" s="69"/>
      <c r="C12" s="70"/>
      <c r="D12" s="283"/>
      <c r="E12" s="68"/>
      <c r="F12" s="68"/>
      <c r="G12" s="68"/>
      <c r="H12" s="68"/>
      <c r="J12" s="18"/>
      <c r="K12" s="18"/>
    </row>
    <row r="13" spans="2:11">
      <c r="B13" s="73"/>
      <c r="C13" s="73"/>
      <c r="D13" s="73"/>
      <c r="E13" s="73"/>
      <c r="F13" s="73"/>
      <c r="G13" s="73"/>
    </row>
    <row r="14" spans="2:11">
      <c r="B14" s="284" t="s">
        <v>250</v>
      </c>
      <c r="C14" s="73"/>
      <c r="D14" s="73"/>
      <c r="E14" s="73"/>
      <c r="F14" s="73"/>
      <c r="G14" s="73"/>
    </row>
    <row r="15" spans="2:11">
      <c r="B15" s="424" t="s">
        <v>252</v>
      </c>
      <c r="C15" s="424"/>
      <c r="D15" s="424"/>
      <c r="E15" s="424"/>
      <c r="F15" s="424"/>
      <c r="G15" s="424"/>
      <c r="H15" s="424"/>
      <c r="I15" s="424"/>
      <c r="J15" s="424"/>
      <c r="K15" s="424"/>
    </row>
    <row r="16" spans="2:11">
      <c r="B16" s="424"/>
      <c r="C16" s="424"/>
      <c r="D16" s="424"/>
      <c r="E16" s="424"/>
      <c r="F16" s="424"/>
      <c r="G16" s="424"/>
      <c r="H16" s="424"/>
      <c r="I16" s="424"/>
      <c r="J16" s="424"/>
      <c r="K16" s="424"/>
    </row>
    <row r="17" spans="2:11">
      <c r="B17" s="424"/>
      <c r="C17" s="424"/>
      <c r="D17" s="424"/>
      <c r="E17" s="424"/>
      <c r="F17" s="424"/>
      <c r="G17" s="424"/>
      <c r="H17" s="424"/>
      <c r="I17" s="424"/>
      <c r="J17" s="424"/>
      <c r="K17" s="424"/>
    </row>
    <row r="18" spans="2:11">
      <c r="B18" s="424"/>
      <c r="C18" s="424"/>
      <c r="D18" s="424"/>
      <c r="E18" s="424"/>
      <c r="F18" s="424"/>
      <c r="G18" s="424"/>
      <c r="H18" s="424"/>
      <c r="I18" s="424"/>
      <c r="J18" s="424"/>
      <c r="K18" s="424"/>
    </row>
    <row r="19" spans="2:11">
      <c r="B19" s="424"/>
      <c r="C19" s="424"/>
      <c r="D19" s="424"/>
      <c r="E19" s="424"/>
      <c r="F19" s="424"/>
      <c r="G19" s="424"/>
      <c r="H19" s="424"/>
      <c r="I19" s="424"/>
      <c r="J19" s="424"/>
      <c r="K19" s="424"/>
    </row>
    <row r="20" spans="2:11">
      <c r="B20" s="424"/>
      <c r="C20" s="424"/>
      <c r="D20" s="424"/>
      <c r="E20" s="424"/>
      <c r="F20" s="424"/>
      <c r="G20" s="424"/>
      <c r="H20" s="424"/>
      <c r="I20" s="424"/>
      <c r="J20" s="424"/>
      <c r="K20" s="424"/>
    </row>
    <row r="21" spans="2:11">
      <c r="B21" s="424"/>
      <c r="C21" s="424"/>
      <c r="D21" s="424"/>
      <c r="E21" s="424"/>
      <c r="F21" s="424"/>
      <c r="G21" s="424"/>
      <c r="H21" s="424"/>
      <c r="I21" s="424"/>
      <c r="J21" s="424"/>
      <c r="K21" s="424"/>
    </row>
    <row r="22" spans="2:11">
      <c r="B22" s="424"/>
      <c r="C22" s="424"/>
      <c r="D22" s="424"/>
      <c r="E22" s="424"/>
      <c r="F22" s="424"/>
      <c r="G22" s="424"/>
      <c r="H22" s="424"/>
      <c r="I22" s="424"/>
      <c r="J22" s="424"/>
      <c r="K22" s="424"/>
    </row>
    <row r="23" spans="2:11">
      <c r="B23" s="424"/>
      <c r="C23" s="424"/>
      <c r="D23" s="424"/>
      <c r="E23" s="424"/>
      <c r="F23" s="424"/>
      <c r="G23" s="424"/>
      <c r="H23" s="424"/>
      <c r="I23" s="424"/>
      <c r="J23" s="424"/>
      <c r="K23" s="424"/>
    </row>
    <row r="24" spans="2:11">
      <c r="B24" s="424"/>
      <c r="C24" s="424"/>
      <c r="D24" s="424"/>
      <c r="E24" s="424"/>
      <c r="F24" s="424"/>
      <c r="G24" s="424"/>
      <c r="H24" s="424"/>
      <c r="I24" s="424"/>
      <c r="J24" s="424"/>
      <c r="K24" s="424"/>
    </row>
    <row r="25" spans="2:11">
      <c r="B25" s="424"/>
      <c r="C25" s="424"/>
      <c r="D25" s="424"/>
      <c r="E25" s="424"/>
      <c r="F25" s="424"/>
      <c r="G25" s="424"/>
      <c r="H25" s="424"/>
      <c r="I25" s="424"/>
      <c r="J25" s="424"/>
      <c r="K25" s="424"/>
    </row>
    <row r="26" spans="2:11">
      <c r="B26" s="424"/>
      <c r="C26" s="424"/>
      <c r="D26" s="424"/>
      <c r="E26" s="424"/>
      <c r="F26" s="424"/>
      <c r="G26" s="424"/>
      <c r="H26" s="424"/>
      <c r="I26" s="424"/>
      <c r="J26" s="424"/>
      <c r="K26" s="424"/>
    </row>
    <row r="27" spans="2:11">
      <c r="B27" s="424"/>
      <c r="C27" s="424"/>
      <c r="D27" s="424"/>
      <c r="E27" s="424"/>
      <c r="F27" s="424"/>
      <c r="G27" s="424"/>
      <c r="H27" s="424"/>
      <c r="I27" s="424"/>
      <c r="J27" s="424"/>
      <c r="K27" s="424"/>
    </row>
    <row r="28" spans="2:11">
      <c r="B28" s="424"/>
      <c r="C28" s="424"/>
      <c r="D28" s="424"/>
      <c r="E28" s="424"/>
      <c r="F28" s="424"/>
      <c r="G28" s="424"/>
      <c r="H28" s="424"/>
      <c r="I28" s="424"/>
      <c r="J28" s="424"/>
      <c r="K28" s="424"/>
    </row>
    <row r="29" spans="2:11">
      <c r="B29" s="424"/>
      <c r="C29" s="424"/>
      <c r="D29" s="424"/>
      <c r="E29" s="424"/>
      <c r="F29" s="424"/>
      <c r="G29" s="424"/>
      <c r="H29" s="424"/>
      <c r="I29" s="424"/>
      <c r="J29" s="424"/>
      <c r="K29" s="424"/>
    </row>
    <row r="30" spans="2:11">
      <c r="B30" s="424"/>
      <c r="C30" s="424"/>
      <c r="D30" s="424"/>
      <c r="E30" s="424"/>
      <c r="F30" s="424"/>
      <c r="G30" s="424"/>
      <c r="H30" s="424"/>
      <c r="I30" s="424"/>
      <c r="J30" s="424"/>
      <c r="K30" s="424"/>
    </row>
    <row r="31" spans="2:11">
      <c r="B31" s="424"/>
      <c r="C31" s="424"/>
      <c r="D31" s="424"/>
      <c r="E31" s="424"/>
      <c r="F31" s="424"/>
      <c r="G31" s="424"/>
      <c r="H31" s="424"/>
      <c r="I31" s="424"/>
      <c r="J31" s="424"/>
      <c r="K31" s="424"/>
    </row>
    <row r="32" spans="2:11">
      <c r="B32" s="424"/>
      <c r="C32" s="424"/>
      <c r="D32" s="424"/>
      <c r="E32" s="424"/>
      <c r="F32" s="424"/>
      <c r="G32" s="424"/>
      <c r="H32" s="424"/>
      <c r="I32" s="424"/>
      <c r="J32" s="424"/>
      <c r="K32" s="424"/>
    </row>
    <row r="33" spans="2:11">
      <c r="B33" s="424"/>
      <c r="C33" s="424"/>
      <c r="D33" s="424"/>
      <c r="E33" s="424"/>
      <c r="F33" s="424"/>
      <c r="G33" s="424"/>
      <c r="H33" s="424"/>
      <c r="I33" s="424"/>
      <c r="J33" s="424"/>
      <c r="K33" s="424"/>
    </row>
    <row r="34" spans="2:11">
      <c r="B34" s="424"/>
      <c r="C34" s="424"/>
      <c r="D34" s="424"/>
      <c r="E34" s="424"/>
      <c r="F34" s="424"/>
      <c r="G34" s="424"/>
      <c r="H34" s="424"/>
      <c r="I34" s="424"/>
      <c r="J34" s="424"/>
      <c r="K34" s="424"/>
    </row>
    <row r="35" spans="2:11">
      <c r="B35" s="424"/>
      <c r="C35" s="424"/>
      <c r="D35" s="424"/>
      <c r="E35" s="424"/>
      <c r="F35" s="424"/>
      <c r="G35" s="424"/>
      <c r="H35" s="424"/>
      <c r="I35" s="424"/>
      <c r="J35" s="424"/>
      <c r="K35" s="424"/>
    </row>
    <row r="36" spans="2:11">
      <c r="B36" s="424"/>
      <c r="C36" s="424"/>
      <c r="D36" s="424"/>
      <c r="E36" s="424"/>
      <c r="F36" s="424"/>
      <c r="G36" s="424"/>
      <c r="H36" s="424"/>
      <c r="I36" s="424"/>
      <c r="J36" s="424"/>
      <c r="K36" s="424"/>
    </row>
  </sheetData>
  <mergeCells count="2">
    <mergeCell ref="B2:K2"/>
    <mergeCell ref="B15:K36"/>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A622E004-C3B4-422D-B78B-83B500E426AD}">
          <x14:colorSeries rgb="FF376092"/>
          <x14:colorNegative rgb="FFD00000"/>
          <x14:colorAxis rgb="FF000000"/>
          <x14:colorMarkers rgb="FFD00000"/>
          <x14:colorFirst rgb="FFD00000"/>
          <x14:colorLast rgb="FFD00000"/>
          <x14:colorHigh rgb="FFD00000"/>
          <x14:colorLow rgb="FFD00000"/>
          <x14:sparklines>
            <x14:sparkline>
              <xm:f>'Ratio Analysis-Liquidity'!D6:H6</xm:f>
              <xm:sqref>I6</xm:sqref>
            </x14:sparkline>
            <x14:sparkline>
              <xm:f>'Ratio Analysis-Liquidity'!D7:H7</xm:f>
              <xm:sqref>I7</xm:sqref>
            </x14:sparkline>
            <x14:sparkline>
              <xm:f>'Ratio Analysis-Liquidity'!D8:H8</xm:f>
              <xm:sqref>I8</xm:sqref>
            </x14:sparkline>
            <x14:sparkline>
              <xm:f>'Ratio Analysis-Liquidity'!D9:H9</xm:f>
              <xm:sqref>I9</xm:sqref>
            </x14:sparkline>
            <x14:sparkline>
              <xm:f>'Ratio Analysis-Liquidity'!D10:H10</xm:f>
              <xm:sqref>I10</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C5CF-7968-4CD0-9C23-DFC0489F0426}">
  <sheetPr codeName="Sheet6"/>
  <dimension ref="B2:K45"/>
  <sheetViews>
    <sheetView showGridLines="0" workbookViewId="0">
      <selection activeCell="H9" sqref="H9"/>
    </sheetView>
  </sheetViews>
  <sheetFormatPr defaultRowHeight="14.4"/>
  <cols>
    <col min="1" max="1" width="1.88671875" style="16" customWidth="1"/>
    <col min="2" max="2" width="48.6640625" style="16" bestFit="1" customWidth="1"/>
    <col min="3" max="3" width="16.6640625" style="16" customWidth="1"/>
    <col min="4" max="4" width="15.21875" style="16" customWidth="1"/>
    <col min="5" max="8" width="12.77734375" style="16" customWidth="1"/>
    <col min="9" max="9" width="16.6640625" style="16" customWidth="1"/>
    <col min="10" max="16384" width="8.88671875" style="16"/>
  </cols>
  <sheetData>
    <row r="2" spans="2:11" ht="25.2" customHeight="1">
      <c r="B2" s="412" t="str">
        <f>"Ratio Analysis-Solvency/Capital Structure"&amp;" - "&amp;BS!$B$2</f>
        <v>Ratio Analysis-Solvency/Capital Structure - Ismail Industries Limited</v>
      </c>
      <c r="C2" s="412"/>
      <c r="D2" s="412"/>
      <c r="E2" s="412"/>
      <c r="F2" s="412"/>
      <c r="G2" s="412"/>
      <c r="H2" s="412"/>
      <c r="I2" s="412"/>
      <c r="J2" s="412"/>
      <c r="K2" s="412"/>
    </row>
    <row r="3" spans="2:11">
      <c r="B3" s="60" t="s">
        <v>23</v>
      </c>
      <c r="C3" s="61">
        <v>2024</v>
      </c>
      <c r="D3" s="62">
        <f>C3-1</f>
        <v>2023</v>
      </c>
      <c r="E3" s="62">
        <f t="shared" ref="E3:H3" si="0">D3-1</f>
        <v>2022</v>
      </c>
      <c r="F3" s="62">
        <f t="shared" si="0"/>
        <v>2021</v>
      </c>
      <c r="G3" s="62">
        <f t="shared" si="0"/>
        <v>2020</v>
      </c>
      <c r="H3" s="62">
        <f t="shared" si="0"/>
        <v>2019</v>
      </c>
      <c r="I3" s="62" t="s">
        <v>24</v>
      </c>
      <c r="J3" s="62" t="s">
        <v>25</v>
      </c>
      <c r="K3" s="62" t="s">
        <v>26</v>
      </c>
    </row>
    <row r="5" spans="2:11">
      <c r="B5" s="71" t="s">
        <v>253</v>
      </c>
      <c r="C5" s="63"/>
    </row>
    <row r="6" spans="2:11">
      <c r="B6" s="72" t="s">
        <v>260</v>
      </c>
      <c r="C6" s="286">
        <f>BS!C17/BS!C14</f>
        <v>0.25512380216678432</v>
      </c>
      <c r="D6" s="286">
        <f>BS!D17/BS!D14</f>
        <v>0.3513271591131773</v>
      </c>
      <c r="E6" s="286">
        <f>BS!E17/BS!E14</f>
        <v>0.42946984755084844</v>
      </c>
      <c r="F6" s="286">
        <f>BS!F17/BS!F14</f>
        <v>0.37085742977046027</v>
      </c>
      <c r="G6" s="286">
        <f>BS!G17/BS!G14</f>
        <v>0.41789034773575245</v>
      </c>
      <c r="H6" s="286">
        <f>BS!H17/BS!H14</f>
        <v>0.32722726022722259</v>
      </c>
      <c r="J6" s="67">
        <f>IFERROR(AVERAGE(C6:H6),0)</f>
        <v>0.35864930776070758</v>
      </c>
      <c r="K6" s="67">
        <f>IFERROR(MEDIAN(C6:H6),0)</f>
        <v>0.36109229444181878</v>
      </c>
    </row>
    <row r="7" spans="2:11">
      <c r="B7" s="72" t="s">
        <v>259</v>
      </c>
      <c r="C7" s="286">
        <f>BS!C30/BS!C14</f>
        <v>0.6624088186957674</v>
      </c>
      <c r="D7" s="286">
        <f>BS!D30/BS!D14</f>
        <v>0.64557682891259971</v>
      </c>
      <c r="E7" s="286">
        <f>BS!E30/BS!E14</f>
        <v>0.6569608272669808</v>
      </c>
      <c r="F7" s="286">
        <f>BS!F30/BS!F14</f>
        <v>0.56657747657897184</v>
      </c>
      <c r="G7" s="286">
        <f>BS!G30/BS!G14</f>
        <v>0.58323658713816151</v>
      </c>
      <c r="H7" s="286">
        <f>IFERROR((BS!H30/BS!H14),0)</f>
        <v>0</v>
      </c>
      <c r="J7" s="67">
        <f t="shared" ref="J7:J10" si="1">IFERROR(AVERAGE(C7:H7),0)</f>
        <v>0.51912675643208017</v>
      </c>
      <c r="K7" s="67">
        <f>IFERROR(MEDIAN(C7:G7),0)</f>
        <v>0.64557682891259971</v>
      </c>
    </row>
    <row r="8" spans="2:11">
      <c r="B8" s="72" t="s">
        <v>258</v>
      </c>
      <c r="C8" s="288">
        <f>BS!C17/BS!C20</f>
        <v>0.95811946902472089</v>
      </c>
      <c r="D8" s="288">
        <f>BS!D17/BS!D20</f>
        <v>1.4487921555376795</v>
      </c>
      <c r="E8" s="288">
        <f>BS!E17/BS!E20</f>
        <v>1.7528963802530466</v>
      </c>
      <c r="F8" s="288">
        <f>BS!F17/BS!F20</f>
        <v>1.3482743765996492</v>
      </c>
      <c r="G8" s="288">
        <f>BS!G17/BS!G20</f>
        <v>1.5832873138154011</v>
      </c>
      <c r="H8" s="288">
        <f>BS!H17/BS!H20</f>
        <v>1.1965314429826788</v>
      </c>
      <c r="J8" s="67">
        <f t="shared" si="1"/>
        <v>1.3813168563688627</v>
      </c>
      <c r="K8" s="67">
        <f t="shared" ref="K8:K10" si="2">IFERROR(MEDIAN(C8:H8),0)</f>
        <v>1.3985332660686645</v>
      </c>
    </row>
    <row r="9" spans="2:11">
      <c r="B9" s="72" t="s">
        <v>257</v>
      </c>
      <c r="C9" s="288">
        <f>BS!C30/BS!C20</f>
        <v>2.4876815893139401</v>
      </c>
      <c r="D9" s="288">
        <f>BS!D30/BS!D20</f>
        <v>2.6622099125110994</v>
      </c>
      <c r="E9" s="288">
        <f>BS!E30/BS!E20</f>
        <v>2.6814088640949172</v>
      </c>
      <c r="F9" s="288">
        <f>BS!F30/BS!F20</f>
        <v>2.0598263178999208</v>
      </c>
      <c r="G9" s="288">
        <f>BS!G30/BS!G20</f>
        <v>2.2097449591076979</v>
      </c>
      <c r="H9" s="288">
        <f>IFERROR((BS!H30/BS!H20),0)</f>
        <v>0</v>
      </c>
      <c r="J9" s="67">
        <f>IFERROR(AVERAGE(C9:G9),0)</f>
        <v>2.4201743285855151</v>
      </c>
      <c r="K9" s="67">
        <f>IFERROR(MEDIAN(C9:G9),0)</f>
        <v>2.4876815893139401</v>
      </c>
    </row>
    <row r="10" spans="2:11" hidden="1">
      <c r="B10" s="72" t="s">
        <v>254</v>
      </c>
      <c r="C10" s="66">
        <f>Pnl!C14/Pnl!$C$9</f>
        <v>6.7814829800105475E-2</v>
      </c>
      <c r="D10" s="66">
        <f>Pnl!D14/Pnl!$C$9</f>
        <v>4.0403749118903279E-2</v>
      </c>
      <c r="E10" s="66">
        <f>Pnl!E14/Pnl!$C$9</f>
        <v>1.2985844851448967E-2</v>
      </c>
      <c r="F10" s="66">
        <f>Pnl!F14/Pnl!$C$9</f>
        <v>6.3708601311392252E-3</v>
      </c>
      <c r="G10" s="66">
        <f>Pnl!G14/Pnl!$C$9</f>
        <v>1.0614543014785673E-2</v>
      </c>
      <c r="H10" s="66" t="e">
        <f>Pnl!#REF!/Pnl!$C$9</f>
        <v>#REF!</v>
      </c>
      <c r="J10" s="67">
        <f t="shared" si="1"/>
        <v>0</v>
      </c>
      <c r="K10" s="67">
        <f t="shared" si="2"/>
        <v>0</v>
      </c>
    </row>
    <row r="11" spans="2:11" ht="16.2" customHeight="1">
      <c r="B11" s="18" t="s">
        <v>261</v>
      </c>
      <c r="C11" s="286">
        <f>(BS!C17-BS!D17)/BS!D17</f>
        <v>-9.6289645437432542E-2</v>
      </c>
      <c r="D11" s="286">
        <f>(BS!D17-BS!E17)/BS!E17</f>
        <v>0.16397269347706028</v>
      </c>
      <c r="E11" s="286">
        <f>(BS!E17-BS!F17)/BS!F17</f>
        <v>0.450566752266019</v>
      </c>
      <c r="F11" s="286">
        <f>(BS!F17-BS!G17)/BS!G17</f>
        <v>-3.0161978241446903E-2</v>
      </c>
      <c r="G11" s="286">
        <f>(BS!G17-BS!H17)/BS!H17</f>
        <v>0.77641208476360979</v>
      </c>
      <c r="H11" s="286">
        <f>IFERROR(((BS!H17-BS!J17)/BS!J17), 0)</f>
        <v>0</v>
      </c>
      <c r="J11" s="67">
        <f>IFERROR(AVERAGE(C11:G11),0)</f>
        <v>0.25289998136556191</v>
      </c>
      <c r="K11" s="67">
        <f>IFERROR(MEDIAN(C11:G11),0)</f>
        <v>0.16397269347706028</v>
      </c>
    </row>
    <row r="12" spans="2:11">
      <c r="C12" s="68"/>
      <c r="D12" s="68"/>
      <c r="E12" s="68"/>
      <c r="F12" s="68"/>
      <c r="G12" s="68"/>
      <c r="H12" s="68"/>
      <c r="J12" s="18"/>
      <c r="K12" s="18"/>
    </row>
    <row r="13" spans="2:11">
      <c r="B13" s="73"/>
      <c r="C13" s="73"/>
      <c r="D13" s="73"/>
      <c r="E13" s="73"/>
      <c r="F13" s="73"/>
      <c r="G13" s="73"/>
    </row>
    <row r="14" spans="2:11">
      <c r="B14" s="284" t="s">
        <v>250</v>
      </c>
      <c r="C14" s="73"/>
      <c r="D14" s="73"/>
      <c r="E14" s="73"/>
      <c r="F14" s="73"/>
      <c r="G14" s="73"/>
    </row>
    <row r="15" spans="2:11" ht="56.4" customHeight="1">
      <c r="B15" s="424" t="s">
        <v>280</v>
      </c>
      <c r="C15" s="424"/>
      <c r="D15" s="424"/>
      <c r="E15" s="424"/>
      <c r="F15" s="424"/>
      <c r="G15" s="424"/>
      <c r="H15" s="424"/>
      <c r="I15" s="424"/>
      <c r="J15" s="424"/>
      <c r="K15" s="424"/>
    </row>
    <row r="16" spans="2:11">
      <c r="B16" s="424"/>
      <c r="C16" s="424"/>
      <c r="D16" s="424"/>
      <c r="E16" s="424"/>
      <c r="F16" s="424"/>
      <c r="G16" s="424"/>
      <c r="H16" s="424"/>
      <c r="I16" s="424"/>
      <c r="J16" s="424"/>
      <c r="K16" s="424"/>
    </row>
    <row r="17" spans="2:11">
      <c r="B17" s="424"/>
      <c r="C17" s="424"/>
      <c r="D17" s="424"/>
      <c r="E17" s="424"/>
      <c r="F17" s="424"/>
      <c r="G17" s="424"/>
      <c r="H17" s="424"/>
      <c r="I17" s="424"/>
      <c r="J17" s="424"/>
      <c r="K17" s="424"/>
    </row>
    <row r="18" spans="2:11">
      <c r="B18" s="424"/>
      <c r="C18" s="424"/>
      <c r="D18" s="424"/>
      <c r="E18" s="424"/>
      <c r="F18" s="424"/>
      <c r="G18" s="424"/>
      <c r="H18" s="424"/>
      <c r="I18" s="424"/>
      <c r="J18" s="424"/>
      <c r="K18" s="424"/>
    </row>
    <row r="19" spans="2:11">
      <c r="B19" s="424"/>
      <c r="C19" s="424"/>
      <c r="D19" s="424"/>
      <c r="E19" s="424"/>
      <c r="F19" s="424"/>
      <c r="G19" s="424"/>
      <c r="H19" s="424"/>
      <c r="I19" s="424"/>
      <c r="J19" s="424"/>
      <c r="K19" s="424"/>
    </row>
    <row r="20" spans="2:11">
      <c r="B20" s="424"/>
      <c r="C20" s="424"/>
      <c r="D20" s="424"/>
      <c r="E20" s="424"/>
      <c r="F20" s="424"/>
      <c r="G20" s="424"/>
      <c r="H20" s="424"/>
      <c r="I20" s="424"/>
      <c r="J20" s="424"/>
      <c r="K20" s="424"/>
    </row>
    <row r="21" spans="2:11">
      <c r="B21" s="424"/>
      <c r="C21" s="424"/>
      <c r="D21" s="424"/>
      <c r="E21" s="424"/>
      <c r="F21" s="424"/>
      <c r="G21" s="424"/>
      <c r="H21" s="424"/>
      <c r="I21" s="424"/>
      <c r="J21" s="424"/>
      <c r="K21" s="424"/>
    </row>
    <row r="22" spans="2:11">
      <c r="B22" s="424"/>
      <c r="C22" s="424"/>
      <c r="D22" s="424"/>
      <c r="E22" s="424"/>
      <c r="F22" s="424"/>
      <c r="G22" s="424"/>
      <c r="H22" s="424"/>
      <c r="I22" s="424"/>
      <c r="J22" s="424"/>
      <c r="K22" s="424"/>
    </row>
    <row r="23" spans="2:11">
      <c r="B23" s="424"/>
      <c r="C23" s="424"/>
      <c r="D23" s="424"/>
      <c r="E23" s="424"/>
      <c r="F23" s="424"/>
      <c r="G23" s="424"/>
      <c r="H23" s="424"/>
      <c r="I23" s="424"/>
      <c r="J23" s="424"/>
      <c r="K23" s="424"/>
    </row>
    <row r="24" spans="2:11">
      <c r="B24" s="424"/>
      <c r="C24" s="424"/>
      <c r="D24" s="424"/>
      <c r="E24" s="424"/>
      <c r="F24" s="424"/>
      <c r="G24" s="424"/>
      <c r="H24" s="424"/>
      <c r="I24" s="424"/>
      <c r="J24" s="424"/>
      <c r="K24" s="424"/>
    </row>
    <row r="25" spans="2:11">
      <c r="B25" s="424"/>
      <c r="C25" s="424"/>
      <c r="D25" s="424"/>
      <c r="E25" s="424"/>
      <c r="F25" s="424"/>
      <c r="G25" s="424"/>
      <c r="H25" s="424"/>
      <c r="I25" s="424"/>
      <c r="J25" s="424"/>
      <c r="K25" s="424"/>
    </row>
    <row r="26" spans="2:11">
      <c r="B26" s="424"/>
      <c r="C26" s="424"/>
      <c r="D26" s="424"/>
      <c r="E26" s="424"/>
      <c r="F26" s="424"/>
      <c r="G26" s="424"/>
      <c r="H26" s="424"/>
      <c r="I26" s="424"/>
      <c r="J26" s="424"/>
      <c r="K26" s="424"/>
    </row>
    <row r="27" spans="2:11">
      <c r="B27" s="73"/>
      <c r="C27" s="73"/>
      <c r="D27" s="73"/>
      <c r="E27" s="73"/>
      <c r="F27" s="73"/>
      <c r="G27" s="73"/>
      <c r="H27" s="73"/>
      <c r="I27" s="73"/>
      <c r="J27" s="73"/>
      <c r="K27" s="73"/>
    </row>
    <row r="28" spans="2:11">
      <c r="B28" s="73"/>
      <c r="C28" s="73"/>
      <c r="D28" s="73"/>
      <c r="E28" s="73"/>
      <c r="F28" s="73"/>
      <c r="G28" s="73"/>
      <c r="H28" s="73"/>
      <c r="I28" s="73"/>
      <c r="J28" s="73"/>
      <c r="K28" s="73"/>
    </row>
    <row r="29" spans="2:11">
      <c r="B29" s="284" t="s">
        <v>262</v>
      </c>
      <c r="C29" s="73"/>
      <c r="D29" s="73"/>
      <c r="E29" s="73"/>
      <c r="F29" s="73"/>
      <c r="G29" s="73"/>
      <c r="H29" s="73"/>
      <c r="I29" s="73"/>
      <c r="J29" s="73"/>
      <c r="K29" s="73"/>
    </row>
    <row r="30" spans="2:11" ht="57.6" customHeight="1">
      <c r="B30" s="424" t="s">
        <v>263</v>
      </c>
      <c r="C30" s="424"/>
      <c r="D30" s="424"/>
      <c r="E30" s="424"/>
      <c r="F30" s="424"/>
      <c r="G30" s="424"/>
      <c r="H30" s="424"/>
      <c r="I30" s="424"/>
      <c r="J30" s="73"/>
      <c r="K30" s="73"/>
    </row>
    <row r="31" spans="2:11">
      <c r="B31" s="424"/>
      <c r="C31" s="424"/>
      <c r="D31" s="424"/>
      <c r="E31" s="424"/>
      <c r="F31" s="424"/>
      <c r="G31" s="424"/>
      <c r="H31" s="424"/>
      <c r="I31" s="424"/>
      <c r="J31" s="73"/>
      <c r="K31" s="73"/>
    </row>
    <row r="32" spans="2:11">
      <c r="B32" s="424"/>
      <c r="C32" s="424"/>
      <c r="D32" s="424"/>
      <c r="E32" s="424"/>
      <c r="F32" s="424"/>
      <c r="G32" s="424"/>
      <c r="H32" s="424"/>
      <c r="I32" s="424"/>
      <c r="J32" s="73"/>
      <c r="K32" s="73"/>
    </row>
    <row r="33" spans="2:11">
      <c r="B33" s="424"/>
      <c r="C33" s="424"/>
      <c r="D33" s="424"/>
      <c r="E33" s="424"/>
      <c r="F33" s="424"/>
      <c r="G33" s="424"/>
      <c r="H33" s="424"/>
      <c r="I33" s="424"/>
      <c r="J33" s="73"/>
      <c r="K33" s="73"/>
    </row>
    <row r="34" spans="2:11">
      <c r="B34" s="424"/>
      <c r="C34" s="424"/>
      <c r="D34" s="424"/>
      <c r="E34" s="424"/>
      <c r="F34" s="424"/>
      <c r="G34" s="424"/>
      <c r="H34" s="424"/>
      <c r="I34" s="424"/>
      <c r="J34" s="73"/>
      <c r="K34" s="73"/>
    </row>
    <row r="35" spans="2:11">
      <c r="B35" s="73"/>
      <c r="C35" s="73"/>
      <c r="D35" s="73"/>
      <c r="E35" s="73"/>
      <c r="F35" s="73"/>
      <c r="G35" s="73"/>
      <c r="H35" s="73"/>
      <c r="I35" s="73"/>
      <c r="J35" s="73"/>
      <c r="K35" s="73"/>
    </row>
    <row r="36" spans="2:11">
      <c r="B36" s="73"/>
      <c r="C36" s="73"/>
      <c r="D36" s="73"/>
      <c r="E36" s="73"/>
      <c r="F36" s="73"/>
      <c r="G36" s="73"/>
      <c r="H36" s="73"/>
      <c r="I36" s="73"/>
      <c r="J36" s="73"/>
      <c r="K36" s="73"/>
    </row>
    <row r="37" spans="2:11">
      <c r="B37" s="284" t="s">
        <v>264</v>
      </c>
      <c r="C37" s="73"/>
      <c r="D37" s="73"/>
      <c r="E37" s="73"/>
      <c r="F37" s="73"/>
      <c r="G37" s="73"/>
      <c r="H37" s="73"/>
      <c r="I37" s="73"/>
    </row>
    <row r="38" spans="2:11">
      <c r="B38" s="424" t="s">
        <v>265</v>
      </c>
      <c r="C38" s="424"/>
      <c r="D38" s="424"/>
      <c r="E38" s="424"/>
      <c r="F38" s="424"/>
      <c r="G38" s="424"/>
      <c r="H38" s="424"/>
      <c r="I38" s="424"/>
    </row>
    <row r="39" spans="2:11">
      <c r="B39" s="424"/>
      <c r="C39" s="424"/>
      <c r="D39" s="424"/>
      <c r="E39" s="424"/>
      <c r="F39" s="424"/>
      <c r="G39" s="424"/>
      <c r="H39" s="424"/>
      <c r="I39" s="424"/>
    </row>
    <row r="40" spans="2:11">
      <c r="B40" s="424"/>
      <c r="C40" s="424"/>
      <c r="D40" s="424"/>
      <c r="E40" s="424"/>
      <c r="F40" s="424"/>
      <c r="G40" s="424"/>
      <c r="H40" s="424"/>
      <c r="I40" s="424"/>
    </row>
    <row r="41" spans="2:11">
      <c r="B41" s="424"/>
      <c r="C41" s="424"/>
      <c r="D41" s="424"/>
      <c r="E41" s="424"/>
      <c r="F41" s="424"/>
      <c r="G41" s="424"/>
      <c r="H41" s="424"/>
      <c r="I41" s="424"/>
    </row>
    <row r="42" spans="2:11">
      <c r="B42" s="424"/>
      <c r="C42" s="424"/>
      <c r="D42" s="424"/>
      <c r="E42" s="424"/>
      <c r="F42" s="424"/>
      <c r="G42" s="424"/>
      <c r="H42" s="424"/>
      <c r="I42" s="424"/>
    </row>
    <row r="43" spans="2:11">
      <c r="B43" s="424"/>
      <c r="C43" s="424"/>
      <c r="D43" s="424"/>
      <c r="E43" s="424"/>
      <c r="F43" s="424"/>
      <c r="G43" s="424"/>
      <c r="H43" s="424"/>
      <c r="I43" s="424"/>
    </row>
    <row r="44" spans="2:11">
      <c r="B44" s="424"/>
      <c r="C44" s="424"/>
      <c r="D44" s="424"/>
      <c r="E44" s="424"/>
      <c r="F44" s="424"/>
      <c r="G44" s="424"/>
      <c r="H44" s="424"/>
      <c r="I44" s="424"/>
    </row>
    <row r="45" spans="2:11">
      <c r="B45" s="424"/>
      <c r="C45" s="424"/>
      <c r="D45" s="424"/>
      <c r="E45" s="424"/>
      <c r="F45" s="424"/>
      <c r="G45" s="424"/>
      <c r="H45" s="424"/>
      <c r="I45" s="424"/>
    </row>
  </sheetData>
  <mergeCells count="4">
    <mergeCell ref="B38:I45"/>
    <mergeCell ref="B2:K2"/>
    <mergeCell ref="B15:K26"/>
    <mergeCell ref="B30:I34"/>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31DD60B8-6711-4C3A-AF2D-340E08DB94AF}">
          <x14:colorSeries rgb="FF376092"/>
          <x14:colorNegative rgb="FFD00000"/>
          <x14:colorAxis rgb="FF000000"/>
          <x14:colorMarkers rgb="FFD00000"/>
          <x14:colorFirst rgb="FFD00000"/>
          <x14:colorLast rgb="FFD00000"/>
          <x14:colorHigh rgb="FFD00000"/>
          <x14:colorLow rgb="FFD00000"/>
          <x14:sparklines>
            <x14:sparkline>
              <xm:f>'Ratio Analysis-Solvency'!D6:H6</xm:f>
              <xm:sqref>I6</xm:sqref>
            </x14:sparkline>
            <x14:sparkline>
              <xm:f>'Ratio Analysis-Solvency'!D7:H7</xm:f>
              <xm:sqref>I7</xm:sqref>
            </x14:sparkline>
            <x14:sparkline>
              <xm:f>'Ratio Analysis-Solvency'!D8:H8</xm:f>
              <xm:sqref>I8</xm:sqref>
            </x14:sparkline>
            <x14:sparkline>
              <xm:f>'Ratio Analysis-Solvency'!D9:H9</xm:f>
              <xm:sqref>I9</xm:sqref>
            </x14:sparkline>
            <x14:sparkline>
              <xm:f>'Ratio Analysis-Solvency'!D10:H10</xm:f>
              <xm:sqref>I10</xm:sqref>
            </x14:sparkline>
            <x14:sparkline>
              <xm:f>'Ratio Analysis-Solvency'!D11:H11</xm:f>
              <xm:sqref>I11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DAD6C-459F-488A-9A80-028AEBFE379D}">
  <sheetPr codeName="Sheet7"/>
  <dimension ref="B2:K67"/>
  <sheetViews>
    <sheetView showGridLines="0" workbookViewId="0">
      <selection activeCell="B6" sqref="B6"/>
    </sheetView>
  </sheetViews>
  <sheetFormatPr defaultRowHeight="14.4"/>
  <cols>
    <col min="1" max="1" width="1.88671875" style="16" customWidth="1"/>
    <col min="2" max="2" width="48.6640625" style="16" bestFit="1" customWidth="1"/>
    <col min="3" max="3" width="16.6640625" style="16" customWidth="1"/>
    <col min="4" max="4" width="15.21875" style="16" customWidth="1"/>
    <col min="5" max="8" width="12.77734375" style="16" customWidth="1"/>
    <col min="9" max="9" width="16.6640625" style="16" customWidth="1"/>
    <col min="10" max="16384" width="8.88671875" style="16"/>
  </cols>
  <sheetData>
    <row r="2" spans="2:11" ht="25.2" customHeight="1">
      <c r="B2" s="412" t="str">
        <f>"Ratio Analysis-Investment/Market"&amp;" - "&amp;BS!$B$2</f>
        <v>Ratio Analysis-Investment/Market - Ismail Industries Limited</v>
      </c>
      <c r="C2" s="412"/>
      <c r="D2" s="412"/>
      <c r="E2" s="412"/>
      <c r="F2" s="412"/>
      <c r="G2" s="412"/>
      <c r="H2" s="412"/>
      <c r="I2" s="412"/>
      <c r="J2" s="412"/>
      <c r="K2" s="412"/>
    </row>
    <row r="3" spans="2:11">
      <c r="B3" s="60" t="s">
        <v>23</v>
      </c>
      <c r="C3" s="61">
        <v>2024</v>
      </c>
      <c r="D3" s="62">
        <f>C3-1</f>
        <v>2023</v>
      </c>
      <c r="E3" s="62">
        <f t="shared" ref="E3:H3" si="0">D3-1</f>
        <v>2022</v>
      </c>
      <c r="F3" s="62">
        <f t="shared" si="0"/>
        <v>2021</v>
      </c>
      <c r="G3" s="62">
        <f t="shared" si="0"/>
        <v>2020</v>
      </c>
      <c r="H3" s="62">
        <f t="shared" si="0"/>
        <v>2019</v>
      </c>
      <c r="I3" s="62" t="s">
        <v>24</v>
      </c>
      <c r="J3" s="62" t="s">
        <v>25</v>
      </c>
      <c r="K3" s="62" t="s">
        <v>26</v>
      </c>
    </row>
    <row r="5" spans="2:11">
      <c r="B5" s="71" t="s">
        <v>266</v>
      </c>
      <c r="C5" s="63"/>
    </row>
    <row r="6" spans="2:11">
      <c r="B6" s="72" t="s">
        <v>51</v>
      </c>
      <c r="C6" s="289">
        <f>IFERROR(Pnl!C21,0)</f>
        <v>92.410077981293284</v>
      </c>
      <c r="D6" s="289">
        <f>IFERROR(Pnl!D21,0)</f>
        <v>96.172080870516325</v>
      </c>
      <c r="E6" s="289">
        <f>IFERROR(Pnl!E21,0)</f>
        <v>38.44392161543314</v>
      </c>
      <c r="F6" s="289">
        <f>IFERROR(Pnl!F21,0)</f>
        <v>26.774381097139198</v>
      </c>
      <c r="G6" s="289">
        <f>IFERROR(Pnl!G21,0)</f>
        <v>14.485864987445241</v>
      </c>
      <c r="H6" s="289">
        <f>IFERROR(Pnl!H21,0)</f>
        <v>15.149308507595441</v>
      </c>
      <c r="J6" s="289">
        <f>IFERROR(AVERAGE(C6:H6),0)</f>
        <v>47.23927250990377</v>
      </c>
      <c r="K6" s="289">
        <f>IFERROR(MEDIAN(C6:H6),0)</f>
        <v>32.609151356286169</v>
      </c>
    </row>
    <row r="7" spans="2:11">
      <c r="B7" s="72" t="s">
        <v>52</v>
      </c>
      <c r="C7" s="289">
        <f>IFERROR((Pnl!C42/Pnl!C21),0)</f>
        <v>13.348652300128016</v>
      </c>
      <c r="D7" s="289">
        <f>IFERROR((Pnl!D42/Pnl!D21),0)</f>
        <v>5.0177764235934559</v>
      </c>
      <c r="E7" s="289">
        <f>IFERROR((Pnl!E42/Pnl!E21),0)</f>
        <v>12.253692656861704</v>
      </c>
      <c r="F7" s="289">
        <f>IFERROR((Pnl!F42/Pnl!F21),0)</f>
        <v>14.366718640644894</v>
      </c>
      <c r="G7" s="289">
        <f>IFERROR((Pnl!G42/Pnl!G21),0)</f>
        <v>24.338208336579164</v>
      </c>
      <c r="H7" s="289">
        <f>IFERROR((Pnl!H42/Pnl!H21),0)</f>
        <v>19.810145119794296</v>
      </c>
      <c r="J7" s="289">
        <f>IFERROR(AVERAGE(C7:G7),0)</f>
        <v>13.865009671561449</v>
      </c>
      <c r="K7" s="289">
        <f>IFERROR(MEDIAN(C7:G7),0)</f>
        <v>13.348652300128016</v>
      </c>
    </row>
    <row r="8" spans="2:11">
      <c r="B8" s="72" t="s">
        <v>267</v>
      </c>
      <c r="C8" s="290">
        <f>IFERROR((Pnl!C37/Pnl!C42),0)</f>
        <v>8.1066839609257833E-3</v>
      </c>
      <c r="D8" s="290">
        <f>IFERROR((Pnl!D37/Pnl!D42),0)</f>
        <v>2.4866858694075473E-2</v>
      </c>
      <c r="E8" s="290">
        <f>IFERROR((Pnl!E37/Pnl!E42),0)</f>
        <v>8.4911267725227141E-3</v>
      </c>
      <c r="F8" s="290">
        <f>IFERROR((Pnl!F37/Pnl!F42),0)</f>
        <v>3.8995476524723127E-2</v>
      </c>
      <c r="G8" s="290">
        <f>IFERROR((Pnl!G37/Pnl!G42),0)</f>
        <v>8.5091899251191292E-3</v>
      </c>
      <c r="H8" s="290">
        <f>IFERROR((Pnl!H37/Pnl!H42),0)</f>
        <v>1.1662390456832494E-2</v>
      </c>
      <c r="J8" s="289">
        <f t="shared" ref="J8:J10" si="1">IFERROR(AVERAGE(C8:H8),0)</f>
        <v>1.677195438903312E-2</v>
      </c>
      <c r="K8" s="289">
        <f t="shared" ref="K8:K10" si="2">IFERROR(MEDIAN(C8:H8),0)</f>
        <v>1.0085790190975812E-2</v>
      </c>
    </row>
    <row r="9" spans="2:11">
      <c r="B9" s="72" t="s">
        <v>53</v>
      </c>
      <c r="C9" s="290">
        <f>IFERROR(Pnl!C38,0)</f>
        <v>0.10821330550142286</v>
      </c>
      <c r="D9" s="290">
        <f>IFERROR(Pnl!D38,0)</f>
        <v>0.12477633728396184</v>
      </c>
      <c r="E9" s="290">
        <f>IFERROR(Pnl!E38,0)</f>
        <v>0.1040476577809434</v>
      </c>
      <c r="F9" s="290">
        <f>IFERROR(Pnl!F38,0)</f>
        <v>0.56023703948857018</v>
      </c>
      <c r="G9" s="290">
        <f>IFERROR(Pnl!G38,0)</f>
        <v>0.2070984371730698</v>
      </c>
      <c r="H9" s="290">
        <f>IFERROR(Pnl!H38,0)</f>
        <v>0.23103364739355578</v>
      </c>
      <c r="J9" s="289">
        <f>IFERROR(AVERAGE(C9:H9),0)</f>
        <v>0.22256773743692063</v>
      </c>
      <c r="K9" s="289">
        <f>IFERROR(MEDIAN(C9:H9),0)</f>
        <v>0.16593738722851581</v>
      </c>
    </row>
    <row r="10" spans="2:11">
      <c r="B10" s="72" t="s">
        <v>54</v>
      </c>
      <c r="C10" s="289">
        <f>IFERROR((Pnl!C21/Pnl!C37),0)</f>
        <v>9.2410077981293277</v>
      </c>
      <c r="D10" s="289">
        <f>IFERROR((Pnl!D21/Pnl!D37),0)</f>
        <v>8.0143400725430265</v>
      </c>
      <c r="E10" s="289">
        <f>IFERROR((Pnl!E21/Pnl!E37),0)</f>
        <v>9.6109804038582851</v>
      </c>
      <c r="F10" s="289">
        <f>IFERROR((Pnl!F21/Pnl!F37),0)</f>
        <v>1.7849587398092799</v>
      </c>
      <c r="G10" s="289">
        <f>IFERROR((Pnl!G21/Pnl!G37),0)</f>
        <v>4.8286216624817468</v>
      </c>
      <c r="H10" s="289">
        <f>IFERROR((Pnl!H21/Pnl!H37),0)</f>
        <v>4.3283738593129835</v>
      </c>
      <c r="J10" s="289">
        <f t="shared" si="1"/>
        <v>6.3013804226891077</v>
      </c>
      <c r="K10" s="289">
        <f t="shared" si="2"/>
        <v>6.4214808675123862</v>
      </c>
    </row>
    <row r="11" spans="2:11" ht="16.2" customHeight="1">
      <c r="B11" s="18" t="s">
        <v>55</v>
      </c>
      <c r="C11" s="292">
        <f>IFERROR(Pnl!C22,0)</f>
        <v>-3.9117411780744425E-2</v>
      </c>
      <c r="D11" s="292">
        <f>IFERROR(Pnl!D22,0)</f>
        <v>1.5016199396241738</v>
      </c>
      <c r="E11" s="292">
        <f>IFERROR(Pnl!E22,0)</f>
        <v>0.43584725547739422</v>
      </c>
      <c r="F11" s="292">
        <f>IFERROR(Pnl!F22,0)</f>
        <v>0.84831082716457007</v>
      </c>
      <c r="G11" s="292">
        <f>IFERROR(Pnl!G22,0)</f>
        <v>-4.3793650371405882E-2</v>
      </c>
      <c r="H11" s="292">
        <f>IFERROR(Pnl!H22,0)</f>
        <v>0</v>
      </c>
      <c r="J11" s="289">
        <f>IFERROR(AVERAGE(C11:G11),0)</f>
        <v>0.54057339202279753</v>
      </c>
      <c r="K11" s="289">
        <f>IFERROR(MEDIAN(C11:G11),0)</f>
        <v>0.43584725547739422</v>
      </c>
    </row>
    <row r="12" spans="2:11">
      <c r="B12" s="18" t="s">
        <v>268</v>
      </c>
      <c r="C12" s="293">
        <f>IFERROR((Pnl!C42/Pnl!C46),0)</f>
        <v>3.3811800896992943</v>
      </c>
      <c r="D12" s="293">
        <f>IFERROR((Pnl!D42/Pnl!D46),0)</f>
        <v>1.8075384482143642</v>
      </c>
      <c r="E12" s="293">
        <f>IFERROR((Pnl!E42/Pnl!E46),0)</f>
        <v>2.484933901629951</v>
      </c>
      <c r="F12" s="293">
        <f>IFERROR((Pnl!F42/Pnl!F46),0)</f>
        <v>2.2638985317706304</v>
      </c>
      <c r="G12" s="293">
        <f>IFERROR((Pnl!G42/Pnl!G46),0)</f>
        <v>2.2911970646231206</v>
      </c>
      <c r="H12" s="293">
        <f>IFERROR((Pnl!H42/Pnl!H46),0)</f>
        <v>2.5966643652383605</v>
      </c>
      <c r="J12" s="289">
        <f>IFERROR(AVERAGE(C12:G12),0)</f>
        <v>2.445749607187472</v>
      </c>
      <c r="K12" s="289">
        <f>IFERROR(MEDIAN(C12:G12),0)</f>
        <v>2.2911970646231206</v>
      </c>
    </row>
    <row r="13" spans="2:11">
      <c r="B13" s="73"/>
      <c r="C13" s="73"/>
      <c r="D13" s="73"/>
      <c r="E13" s="73"/>
      <c r="F13" s="73"/>
      <c r="G13" s="73"/>
    </row>
    <row r="14" spans="2:11" ht="15" thickBot="1">
      <c r="B14" s="284" t="s">
        <v>250</v>
      </c>
      <c r="C14" s="73"/>
      <c r="D14" s="73"/>
      <c r="E14" s="73"/>
      <c r="F14" s="73"/>
      <c r="G14" s="73"/>
    </row>
    <row r="15" spans="2:11" ht="56.4" customHeight="1">
      <c r="B15" s="417" t="s">
        <v>281</v>
      </c>
      <c r="C15" s="418"/>
      <c r="D15" s="418"/>
      <c r="E15" s="418"/>
      <c r="F15" s="418"/>
      <c r="G15" s="418"/>
      <c r="H15" s="418"/>
      <c r="I15" s="418"/>
      <c r="J15" s="418"/>
      <c r="K15" s="419"/>
    </row>
    <row r="16" spans="2:11">
      <c r="B16" s="423"/>
      <c r="C16" s="424"/>
      <c r="D16" s="424"/>
      <c r="E16" s="424"/>
      <c r="F16" s="424"/>
      <c r="G16" s="424"/>
      <c r="H16" s="424"/>
      <c r="I16" s="424"/>
      <c r="J16" s="424"/>
      <c r="K16" s="425"/>
    </row>
    <row r="17" spans="2:11">
      <c r="B17" s="423"/>
      <c r="C17" s="424"/>
      <c r="D17" s="424"/>
      <c r="E17" s="424"/>
      <c r="F17" s="424"/>
      <c r="G17" s="424"/>
      <c r="H17" s="424"/>
      <c r="I17" s="424"/>
      <c r="J17" s="424"/>
      <c r="K17" s="425"/>
    </row>
    <row r="18" spans="2:11">
      <c r="B18" s="423"/>
      <c r="C18" s="424"/>
      <c r="D18" s="424"/>
      <c r="E18" s="424"/>
      <c r="F18" s="424"/>
      <c r="G18" s="424"/>
      <c r="H18" s="424"/>
      <c r="I18" s="424"/>
      <c r="J18" s="424"/>
      <c r="K18" s="425"/>
    </row>
    <row r="19" spans="2:11">
      <c r="B19" s="423"/>
      <c r="C19" s="424"/>
      <c r="D19" s="424"/>
      <c r="E19" s="424"/>
      <c r="F19" s="424"/>
      <c r="G19" s="424"/>
      <c r="H19" s="424"/>
      <c r="I19" s="424"/>
      <c r="J19" s="424"/>
      <c r="K19" s="425"/>
    </row>
    <row r="20" spans="2:11">
      <c r="B20" s="423"/>
      <c r="C20" s="424"/>
      <c r="D20" s="424"/>
      <c r="E20" s="424"/>
      <c r="F20" s="424"/>
      <c r="G20" s="424"/>
      <c r="H20" s="424"/>
      <c r="I20" s="424"/>
      <c r="J20" s="424"/>
      <c r="K20" s="425"/>
    </row>
    <row r="21" spans="2:11">
      <c r="B21" s="423"/>
      <c r="C21" s="424"/>
      <c r="D21" s="424"/>
      <c r="E21" s="424"/>
      <c r="F21" s="424"/>
      <c r="G21" s="424"/>
      <c r="H21" s="424"/>
      <c r="I21" s="424"/>
      <c r="J21" s="424"/>
      <c r="K21" s="425"/>
    </row>
    <row r="22" spans="2:11">
      <c r="B22" s="423"/>
      <c r="C22" s="424"/>
      <c r="D22" s="424"/>
      <c r="E22" s="424"/>
      <c r="F22" s="424"/>
      <c r="G22" s="424"/>
      <c r="H22" s="424"/>
      <c r="I22" s="424"/>
      <c r="J22" s="424"/>
      <c r="K22" s="425"/>
    </row>
    <row r="23" spans="2:11">
      <c r="B23" s="423"/>
      <c r="C23" s="424"/>
      <c r="D23" s="424"/>
      <c r="E23" s="424"/>
      <c r="F23" s="424"/>
      <c r="G23" s="424"/>
      <c r="H23" s="424"/>
      <c r="I23" s="424"/>
      <c r="J23" s="424"/>
      <c r="K23" s="425"/>
    </row>
    <row r="24" spans="2:11">
      <c r="B24" s="423"/>
      <c r="C24" s="424"/>
      <c r="D24" s="424"/>
      <c r="E24" s="424"/>
      <c r="F24" s="424"/>
      <c r="G24" s="424"/>
      <c r="H24" s="424"/>
      <c r="I24" s="424"/>
      <c r="J24" s="424"/>
      <c r="K24" s="425"/>
    </row>
    <row r="25" spans="2:11">
      <c r="B25" s="423"/>
      <c r="C25" s="424"/>
      <c r="D25" s="424"/>
      <c r="E25" s="424"/>
      <c r="F25" s="424"/>
      <c r="G25" s="424"/>
      <c r="H25" s="424"/>
      <c r="I25" s="424"/>
      <c r="J25" s="424"/>
      <c r="K25" s="425"/>
    </row>
    <row r="26" spans="2:11">
      <c r="B26" s="423"/>
      <c r="C26" s="424"/>
      <c r="D26" s="424"/>
      <c r="E26" s="424"/>
      <c r="F26" s="424"/>
      <c r="G26" s="424"/>
      <c r="H26" s="424"/>
      <c r="I26" s="424"/>
      <c r="J26" s="424"/>
      <c r="K26" s="425"/>
    </row>
    <row r="27" spans="2:11">
      <c r="B27" s="423"/>
      <c r="C27" s="424"/>
      <c r="D27" s="424"/>
      <c r="E27" s="424"/>
      <c r="F27" s="424"/>
      <c r="G27" s="424"/>
      <c r="H27" s="424"/>
      <c r="I27" s="424"/>
      <c r="J27" s="424"/>
      <c r="K27" s="425"/>
    </row>
    <row r="28" spans="2:11">
      <c r="B28" s="423"/>
      <c r="C28" s="424"/>
      <c r="D28" s="424"/>
      <c r="E28" s="424"/>
      <c r="F28" s="424"/>
      <c r="G28" s="424"/>
      <c r="H28" s="424"/>
      <c r="I28" s="424"/>
      <c r="J28" s="424"/>
      <c r="K28" s="425"/>
    </row>
    <row r="29" spans="2:11">
      <c r="B29" s="423"/>
      <c r="C29" s="424"/>
      <c r="D29" s="424"/>
      <c r="E29" s="424"/>
      <c r="F29" s="424"/>
      <c r="G29" s="424"/>
      <c r="H29" s="424"/>
      <c r="I29" s="424"/>
      <c r="J29" s="424"/>
      <c r="K29" s="425"/>
    </row>
    <row r="30" spans="2:11">
      <c r="B30" s="423"/>
      <c r="C30" s="424"/>
      <c r="D30" s="424"/>
      <c r="E30" s="424"/>
      <c r="F30" s="424"/>
      <c r="G30" s="424"/>
      <c r="H30" s="424"/>
      <c r="I30" s="424"/>
      <c r="J30" s="424"/>
      <c r="K30" s="425"/>
    </row>
    <row r="31" spans="2:11">
      <c r="B31" s="423"/>
      <c r="C31" s="424"/>
      <c r="D31" s="424"/>
      <c r="E31" s="424"/>
      <c r="F31" s="424"/>
      <c r="G31" s="424"/>
      <c r="H31" s="424"/>
      <c r="I31" s="424"/>
      <c r="J31" s="424"/>
      <c r="K31" s="425"/>
    </row>
    <row r="32" spans="2:11">
      <c r="B32" s="423"/>
      <c r="C32" s="424"/>
      <c r="D32" s="424"/>
      <c r="E32" s="424"/>
      <c r="F32" s="424"/>
      <c r="G32" s="424"/>
      <c r="H32" s="424"/>
      <c r="I32" s="424"/>
      <c r="J32" s="424"/>
      <c r="K32" s="425"/>
    </row>
    <row r="33" spans="2:11">
      <c r="B33" s="423"/>
      <c r="C33" s="424"/>
      <c r="D33" s="424"/>
      <c r="E33" s="424"/>
      <c r="F33" s="424"/>
      <c r="G33" s="424"/>
      <c r="H33" s="424"/>
      <c r="I33" s="424"/>
      <c r="J33" s="424"/>
      <c r="K33" s="425"/>
    </row>
    <row r="34" spans="2:11">
      <c r="B34" s="423"/>
      <c r="C34" s="424"/>
      <c r="D34" s="424"/>
      <c r="E34" s="424"/>
      <c r="F34" s="424"/>
      <c r="G34" s="424"/>
      <c r="H34" s="424"/>
      <c r="I34" s="424"/>
      <c r="J34" s="424"/>
      <c r="K34" s="425"/>
    </row>
    <row r="35" spans="2:11">
      <c r="B35" s="423"/>
      <c r="C35" s="424"/>
      <c r="D35" s="424"/>
      <c r="E35" s="424"/>
      <c r="F35" s="424"/>
      <c r="G35" s="424"/>
      <c r="H35" s="424"/>
      <c r="I35" s="424"/>
      <c r="J35" s="424"/>
      <c r="K35" s="425"/>
    </row>
    <row r="36" spans="2:11" ht="15" thickBot="1">
      <c r="B36" s="420"/>
      <c r="C36" s="421"/>
      <c r="D36" s="421"/>
      <c r="E36" s="421"/>
      <c r="F36" s="421"/>
      <c r="G36" s="421"/>
      <c r="H36" s="421"/>
      <c r="I36" s="421"/>
      <c r="J36" s="421"/>
      <c r="K36" s="422"/>
    </row>
    <row r="39" spans="2:11" ht="15" thickBot="1">
      <c r="B39" s="284" t="s">
        <v>269</v>
      </c>
    </row>
    <row r="40" spans="2:11">
      <c r="B40" s="417" t="s">
        <v>270</v>
      </c>
      <c r="C40" s="418"/>
      <c r="D40" s="418"/>
      <c r="E40" s="418"/>
      <c r="F40" s="418"/>
      <c r="G40" s="418"/>
      <c r="H40" s="418"/>
      <c r="I40" s="418"/>
      <c r="J40" s="418"/>
      <c r="K40" s="419"/>
    </row>
    <row r="41" spans="2:11">
      <c r="B41" s="423"/>
      <c r="C41" s="424"/>
      <c r="D41" s="424"/>
      <c r="E41" s="424"/>
      <c r="F41" s="424"/>
      <c r="G41" s="424"/>
      <c r="H41" s="424"/>
      <c r="I41" s="424"/>
      <c r="J41" s="424"/>
      <c r="K41" s="425"/>
    </row>
    <row r="42" spans="2:11">
      <c r="B42" s="423"/>
      <c r="C42" s="424"/>
      <c r="D42" s="424"/>
      <c r="E42" s="424"/>
      <c r="F42" s="424"/>
      <c r="G42" s="424"/>
      <c r="H42" s="424"/>
      <c r="I42" s="424"/>
      <c r="J42" s="424"/>
      <c r="K42" s="425"/>
    </row>
    <row r="43" spans="2:11">
      <c r="B43" s="423"/>
      <c r="C43" s="424"/>
      <c r="D43" s="424"/>
      <c r="E43" s="424"/>
      <c r="F43" s="424"/>
      <c r="G43" s="424"/>
      <c r="H43" s="424"/>
      <c r="I43" s="424"/>
      <c r="J43" s="424"/>
      <c r="K43" s="425"/>
    </row>
    <row r="44" spans="2:11">
      <c r="B44" s="423"/>
      <c r="C44" s="424"/>
      <c r="D44" s="424"/>
      <c r="E44" s="424"/>
      <c r="F44" s="424"/>
      <c r="G44" s="424"/>
      <c r="H44" s="424"/>
      <c r="I44" s="424"/>
      <c r="J44" s="424"/>
      <c r="K44" s="425"/>
    </row>
    <row r="45" spans="2:11">
      <c r="B45" s="423"/>
      <c r="C45" s="424"/>
      <c r="D45" s="424"/>
      <c r="E45" s="424"/>
      <c r="F45" s="424"/>
      <c r="G45" s="424"/>
      <c r="H45" s="424"/>
      <c r="I45" s="424"/>
      <c r="J45" s="424"/>
      <c r="K45" s="425"/>
    </row>
    <row r="46" spans="2:11">
      <c r="B46" s="423"/>
      <c r="C46" s="424"/>
      <c r="D46" s="424"/>
      <c r="E46" s="424"/>
      <c r="F46" s="424"/>
      <c r="G46" s="424"/>
      <c r="H46" s="424"/>
      <c r="I46" s="424"/>
      <c r="J46" s="424"/>
      <c r="K46" s="425"/>
    </row>
    <row r="47" spans="2:11">
      <c r="B47" s="423"/>
      <c r="C47" s="424"/>
      <c r="D47" s="424"/>
      <c r="E47" s="424"/>
      <c r="F47" s="424"/>
      <c r="G47" s="424"/>
      <c r="H47" s="424"/>
      <c r="I47" s="424"/>
      <c r="J47" s="424"/>
      <c r="K47" s="425"/>
    </row>
    <row r="48" spans="2:11">
      <c r="B48" s="423"/>
      <c r="C48" s="424"/>
      <c r="D48" s="424"/>
      <c r="E48" s="424"/>
      <c r="F48" s="424"/>
      <c r="G48" s="424"/>
      <c r="H48" s="424"/>
      <c r="I48" s="424"/>
      <c r="J48" s="424"/>
      <c r="K48" s="425"/>
    </row>
    <row r="49" spans="2:11">
      <c r="B49" s="423"/>
      <c r="C49" s="424"/>
      <c r="D49" s="424"/>
      <c r="E49" s="424"/>
      <c r="F49" s="424"/>
      <c r="G49" s="424"/>
      <c r="H49" s="424"/>
      <c r="I49" s="424"/>
      <c r="J49" s="424"/>
      <c r="K49" s="425"/>
    </row>
    <row r="50" spans="2:11">
      <c r="B50" s="423"/>
      <c r="C50" s="424"/>
      <c r="D50" s="424"/>
      <c r="E50" s="424"/>
      <c r="F50" s="424"/>
      <c r="G50" s="424"/>
      <c r="H50" s="424"/>
      <c r="I50" s="424"/>
      <c r="J50" s="424"/>
      <c r="K50" s="425"/>
    </row>
    <row r="51" spans="2:11" ht="15" thickBot="1">
      <c r="B51" s="420"/>
      <c r="C51" s="421"/>
      <c r="D51" s="421"/>
      <c r="E51" s="421"/>
      <c r="F51" s="421"/>
      <c r="G51" s="421"/>
      <c r="H51" s="421"/>
      <c r="I51" s="421"/>
      <c r="J51" s="421"/>
      <c r="K51" s="422"/>
    </row>
    <row r="52" spans="2:11">
      <c r="B52" s="73"/>
      <c r="C52" s="73"/>
      <c r="D52" s="73"/>
      <c r="E52" s="73"/>
      <c r="F52" s="73"/>
      <c r="G52" s="73"/>
      <c r="H52" s="73"/>
      <c r="I52" s="73"/>
      <c r="J52" s="73"/>
      <c r="K52" s="73"/>
    </row>
    <row r="53" spans="2:11">
      <c r="B53" s="73"/>
      <c r="C53" s="73"/>
      <c r="D53" s="73"/>
      <c r="E53" s="73"/>
      <c r="F53" s="73"/>
      <c r="G53" s="73"/>
      <c r="H53" s="73"/>
      <c r="I53" s="73"/>
      <c r="J53" s="73"/>
      <c r="K53" s="73"/>
    </row>
    <row r="54" spans="2:11">
      <c r="B54" s="73"/>
      <c r="C54" s="73"/>
      <c r="D54" s="73"/>
      <c r="E54" s="73"/>
      <c r="F54" s="73"/>
      <c r="G54" s="73"/>
      <c r="H54" s="73"/>
      <c r="I54" s="73"/>
      <c r="J54" s="73"/>
      <c r="K54" s="73"/>
    </row>
    <row r="55" spans="2:11">
      <c r="B55" s="73"/>
      <c r="C55" s="73"/>
      <c r="D55" s="73"/>
      <c r="E55" s="73"/>
      <c r="F55" s="73"/>
      <c r="G55" s="73"/>
      <c r="H55" s="73"/>
      <c r="I55" s="73"/>
      <c r="J55" s="73"/>
      <c r="K55" s="73"/>
    </row>
    <row r="56" spans="2:11">
      <c r="B56" s="73"/>
      <c r="C56" s="73"/>
      <c r="D56" s="73"/>
      <c r="E56" s="73"/>
      <c r="F56" s="73"/>
      <c r="G56" s="73"/>
      <c r="H56" s="73"/>
      <c r="I56" s="73"/>
      <c r="J56" s="73"/>
      <c r="K56" s="73"/>
    </row>
    <row r="57" spans="2:11">
      <c r="B57" s="73"/>
      <c r="C57" s="73"/>
      <c r="D57" s="73"/>
      <c r="E57" s="73"/>
      <c r="F57" s="73"/>
      <c r="G57" s="73"/>
      <c r="H57" s="73"/>
      <c r="I57" s="73"/>
      <c r="J57" s="73"/>
      <c r="K57" s="73"/>
    </row>
    <row r="58" spans="2:11">
      <c r="B58" s="73"/>
      <c r="C58" s="73"/>
      <c r="D58" s="73"/>
      <c r="E58" s="73"/>
      <c r="F58" s="73"/>
      <c r="G58" s="73"/>
      <c r="H58" s="73"/>
      <c r="I58" s="73"/>
      <c r="J58" s="73"/>
      <c r="K58" s="73"/>
    </row>
    <row r="59" spans="2:11">
      <c r="B59" s="73"/>
      <c r="C59" s="73"/>
      <c r="D59" s="73"/>
      <c r="E59" s="73"/>
      <c r="F59" s="73"/>
      <c r="G59" s="73"/>
      <c r="H59" s="73"/>
      <c r="I59" s="73"/>
      <c r="J59" s="73"/>
      <c r="K59" s="73"/>
    </row>
    <row r="60" spans="2:11">
      <c r="B60" s="73"/>
      <c r="C60" s="73"/>
      <c r="D60" s="73"/>
      <c r="E60" s="73"/>
      <c r="F60" s="73"/>
      <c r="G60" s="73"/>
      <c r="H60" s="73"/>
      <c r="I60" s="73"/>
      <c r="J60" s="73"/>
      <c r="K60" s="73"/>
    </row>
    <row r="61" spans="2:11">
      <c r="B61" s="73"/>
      <c r="C61" s="73"/>
      <c r="D61" s="73"/>
      <c r="E61" s="73"/>
      <c r="F61" s="73"/>
      <c r="G61" s="73"/>
      <c r="H61" s="73"/>
      <c r="I61" s="73"/>
      <c r="J61" s="73"/>
      <c r="K61" s="73"/>
    </row>
    <row r="62" spans="2:11">
      <c r="B62" s="73"/>
      <c r="C62" s="73"/>
      <c r="D62" s="73"/>
      <c r="E62" s="73"/>
      <c r="F62" s="73"/>
      <c r="G62" s="73"/>
      <c r="H62" s="73"/>
      <c r="I62" s="73"/>
      <c r="J62" s="73"/>
      <c r="K62" s="73"/>
    </row>
    <row r="63" spans="2:11">
      <c r="B63" s="73"/>
      <c r="C63" s="73"/>
      <c r="D63" s="73"/>
      <c r="E63" s="73"/>
      <c r="F63" s="73"/>
      <c r="G63" s="73"/>
      <c r="H63" s="73"/>
      <c r="I63" s="73"/>
      <c r="J63" s="73"/>
      <c r="K63" s="73"/>
    </row>
    <row r="64" spans="2:11">
      <c r="B64" s="73"/>
      <c r="C64" s="73"/>
      <c r="D64" s="73"/>
      <c r="E64" s="73"/>
      <c r="F64" s="73"/>
      <c r="G64" s="73"/>
      <c r="H64" s="73"/>
      <c r="I64" s="73"/>
      <c r="J64" s="73"/>
      <c r="K64" s="73"/>
    </row>
    <row r="65" spans="2:11">
      <c r="B65" s="73"/>
      <c r="C65" s="73"/>
      <c r="D65" s="73"/>
      <c r="E65" s="73"/>
      <c r="F65" s="73"/>
      <c r="G65" s="73"/>
      <c r="H65" s="73"/>
      <c r="I65" s="73"/>
      <c r="J65" s="73"/>
      <c r="K65" s="73"/>
    </row>
    <row r="66" spans="2:11">
      <c r="B66" s="73"/>
      <c r="C66" s="73"/>
      <c r="D66" s="73"/>
      <c r="E66" s="73"/>
      <c r="F66" s="73"/>
      <c r="G66" s="73"/>
      <c r="H66" s="73"/>
      <c r="I66" s="73"/>
      <c r="J66" s="73"/>
      <c r="K66" s="73"/>
    </row>
    <row r="67" spans="2:11">
      <c r="B67" s="73"/>
      <c r="C67" s="73"/>
      <c r="D67" s="73"/>
      <c r="E67" s="73"/>
      <c r="F67" s="73"/>
      <c r="G67" s="73"/>
      <c r="H67" s="73"/>
      <c r="I67" s="73"/>
      <c r="J67" s="73"/>
      <c r="K67" s="73"/>
    </row>
  </sheetData>
  <mergeCells count="3">
    <mergeCell ref="B40:K51"/>
    <mergeCell ref="B2:K2"/>
    <mergeCell ref="B15:K36"/>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ECBA7728-969E-4E26-A167-44D8E72CCFBC}">
          <x14:colorSeries rgb="FF376092"/>
          <x14:colorNegative rgb="FFD00000"/>
          <x14:colorAxis rgb="FF000000"/>
          <x14:colorMarkers rgb="FFD00000"/>
          <x14:colorFirst rgb="FFD00000"/>
          <x14:colorLast rgb="FFD00000"/>
          <x14:colorHigh rgb="FFD00000"/>
          <x14:colorLow rgb="FFD00000"/>
          <x14:sparklines>
            <x14:sparkline>
              <xm:f>'Ratio Analysis-Investment'!D6:H6</xm:f>
              <xm:sqref>I6</xm:sqref>
            </x14:sparkline>
            <x14:sparkline>
              <xm:f>'Ratio Analysis-Investment'!D7:H7</xm:f>
              <xm:sqref>I7</xm:sqref>
            </x14:sparkline>
            <x14:sparkline>
              <xm:f>'Ratio Analysis-Investment'!D8:H8</xm:f>
              <xm:sqref>I8</xm:sqref>
            </x14:sparkline>
            <x14:sparkline>
              <xm:f>'Ratio Analysis-Investment'!D9:H9</xm:f>
              <xm:sqref>I9</xm:sqref>
            </x14:sparkline>
            <x14:sparkline>
              <xm:f>'Ratio Analysis-Investment'!D10:H10</xm:f>
              <xm:sqref>I10</xm:sqref>
            </x14:sparkline>
            <x14:sparkline>
              <xm:f>'Ratio Analysis-Investment'!D11:H11</xm:f>
              <xm:sqref>I11</xm:sqref>
            </x14:sparkline>
            <x14:sparkline>
              <xm:f>'Ratio Analysis-Investment'!D12:H12</xm:f>
              <xm:sqref>I12</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20696-71ED-4ECA-AABF-3F9765F5F4F2}">
  <sheetPr codeName="Sheet8"/>
  <dimension ref="B2:K88"/>
  <sheetViews>
    <sheetView showGridLines="0" workbookViewId="0">
      <selection activeCell="C6" sqref="C6"/>
    </sheetView>
  </sheetViews>
  <sheetFormatPr defaultRowHeight="14.4"/>
  <cols>
    <col min="1" max="1" width="1.88671875" style="16" customWidth="1"/>
    <col min="2" max="2" width="48.6640625" style="16" bestFit="1" customWidth="1"/>
    <col min="3" max="3" width="16.6640625" style="16" customWidth="1"/>
    <col min="4" max="4" width="15.21875" style="16" customWidth="1"/>
    <col min="5" max="8" width="12.77734375" style="16" customWidth="1"/>
    <col min="9" max="9" width="16.6640625" style="16" customWidth="1"/>
    <col min="10" max="16384" width="8.88671875" style="16"/>
  </cols>
  <sheetData>
    <row r="2" spans="2:11" ht="25.2" customHeight="1">
      <c r="B2" s="412" t="str">
        <f>"Ratio Analysis-Activity/Operating Performance"&amp;" - "&amp;BS!$B$2</f>
        <v>Ratio Analysis-Activity/Operating Performance - Ismail Industries Limited</v>
      </c>
      <c r="C2" s="412"/>
      <c r="D2" s="412"/>
      <c r="E2" s="412"/>
      <c r="F2" s="412"/>
      <c r="G2" s="412"/>
      <c r="H2" s="412"/>
      <c r="I2" s="412"/>
      <c r="J2" s="412"/>
      <c r="K2" s="412"/>
    </row>
    <row r="3" spans="2:11">
      <c r="B3" s="60" t="s">
        <v>23</v>
      </c>
      <c r="C3" s="61">
        <v>2024</v>
      </c>
      <c r="D3" s="62">
        <f>C3-1</f>
        <v>2023</v>
      </c>
      <c r="E3" s="62">
        <f t="shared" ref="E3:H3" si="0">D3-1</f>
        <v>2022</v>
      </c>
      <c r="F3" s="62">
        <f t="shared" si="0"/>
        <v>2021</v>
      </c>
      <c r="G3" s="62">
        <f t="shared" si="0"/>
        <v>2020</v>
      </c>
      <c r="H3" s="62">
        <f t="shared" si="0"/>
        <v>2019</v>
      </c>
      <c r="I3" s="62" t="s">
        <v>24</v>
      </c>
      <c r="J3" s="62" t="s">
        <v>25</v>
      </c>
      <c r="K3" s="62" t="s">
        <v>26</v>
      </c>
    </row>
    <row r="5" spans="2:11">
      <c r="B5" s="71" t="s">
        <v>43</v>
      </c>
      <c r="C5" s="63"/>
    </row>
    <row r="6" spans="2:11">
      <c r="B6" s="72" t="s">
        <v>44</v>
      </c>
      <c r="C6" s="335">
        <f>(BS!C32/Pnl!C10)*365</f>
        <v>61.340879944190149</v>
      </c>
      <c r="D6" s="289">
        <f>(BS!D32/Pnl!D10)*365</f>
        <v>62.727764593583458</v>
      </c>
      <c r="E6" s="289">
        <f>(BS!E32/Pnl!E10)*365</f>
        <v>63.927128904986489</v>
      </c>
      <c r="F6" s="289">
        <f>(BS!F32/Pnl!F10)*365</f>
        <v>83.766143581818142</v>
      </c>
      <c r="G6" s="289">
        <f>(BS!G32/Pnl!G10)*365</f>
        <v>78.7299329018051</v>
      </c>
      <c r="H6" s="289">
        <f>(BS!H32/Pnl!H10)*365</f>
        <v>39.300460888860059</v>
      </c>
      <c r="J6" s="289">
        <f>IFERROR(AVERAGE(C6:H6),0)</f>
        <v>64.965385135873902</v>
      </c>
      <c r="K6" s="289">
        <f>IFERROR(MEDIAN(C6:H6),0)</f>
        <v>63.327446749284974</v>
      </c>
    </row>
    <row r="7" spans="2:11">
      <c r="B7" s="72" t="s">
        <v>45</v>
      </c>
      <c r="C7" s="289">
        <f>Pnl!C10/BS!C32</f>
        <v>5.9503548095835663</v>
      </c>
      <c r="D7" s="289">
        <f>Pnl!D10/BS!D32</f>
        <v>5.8187949525199008</v>
      </c>
      <c r="E7" s="289">
        <f>Pnl!E10/BS!E32</f>
        <v>5.7096260422158434</v>
      </c>
      <c r="F7" s="289">
        <f>Pnl!F10/BS!F32</f>
        <v>4.3573690323165968</v>
      </c>
      <c r="G7" s="289">
        <f>Pnl!G10/BS!G32</f>
        <v>4.6361020077997726</v>
      </c>
      <c r="H7" s="289">
        <f>Pnl!H10/BS!H32</f>
        <v>9.2874228888104806</v>
      </c>
      <c r="J7" s="289">
        <f>IFERROR(AVERAGE(C7:G7),0)</f>
        <v>5.2944493688871361</v>
      </c>
      <c r="K7" s="289">
        <f>IFERROR(MEDIAN(C7:H7),0)</f>
        <v>5.7642104973678716</v>
      </c>
    </row>
    <row r="8" spans="2:11">
      <c r="B8" s="72" t="s">
        <v>46</v>
      </c>
      <c r="C8" s="334">
        <f>(BS!C34/Pnl!C9)*365</f>
        <v>39.621103350707799</v>
      </c>
      <c r="D8" s="291">
        <f>(BS!D34/Pnl!D9)*365</f>
        <v>33.358181692338704</v>
      </c>
      <c r="E8" s="291">
        <f>(BS!E34/Pnl!E9)*365</f>
        <v>30.025781727127633</v>
      </c>
      <c r="F8" s="291">
        <f>(BS!F34/Pnl!F9)*365</f>
        <v>32.728968946942942</v>
      </c>
      <c r="G8" s="291">
        <f>(BS!G34/Pnl!G9)*365</f>
        <v>33.465477356468831</v>
      </c>
      <c r="H8" s="291">
        <f>(BS!H34/Pnl!H9)*365</f>
        <v>26.15524556704106</v>
      </c>
      <c r="J8" s="289">
        <f t="shared" ref="J8:J11" si="1">IFERROR(AVERAGE(C8:H8),0)</f>
        <v>32.559126440104492</v>
      </c>
      <c r="K8" s="289">
        <f t="shared" ref="K8:K11" si="2">IFERROR(MEDIAN(C8:H8),0)</f>
        <v>33.043575319640823</v>
      </c>
    </row>
    <row r="9" spans="2:11">
      <c r="B9" s="72" t="s">
        <v>47</v>
      </c>
      <c r="C9" s="334">
        <f>(BS!C36/Pnl!C10)*365</f>
        <v>40.728100529387063</v>
      </c>
      <c r="D9" s="291">
        <f>(BS!D36/Pnl!D10)*365</f>
        <v>30.671111994376055</v>
      </c>
      <c r="E9" s="291">
        <f>(BS!E36/Pnl!E10)*365</f>
        <v>30.01176122364269</v>
      </c>
      <c r="F9" s="291">
        <f>(BS!F36/Pnl!F10)*365</f>
        <v>45.028482257659071</v>
      </c>
      <c r="G9" s="291">
        <f>(BS!G36/Pnl!G10)*365</f>
        <v>47.619060037586777</v>
      </c>
      <c r="H9" s="291">
        <f>(BS!H36/Pnl!H10)*365</f>
        <v>26.723793095212333</v>
      </c>
      <c r="J9" s="289">
        <f>IFERROR(AVERAGE(C9:H9),0)</f>
        <v>36.797051522977334</v>
      </c>
      <c r="K9" s="289">
        <f>IFERROR(MEDIAN(C9:H9),0)</f>
        <v>35.699606261881556</v>
      </c>
    </row>
    <row r="10" spans="2:11">
      <c r="B10" s="72" t="s">
        <v>50</v>
      </c>
      <c r="C10" s="293">
        <f>C6+C8-C9</f>
        <v>60.233882765510884</v>
      </c>
      <c r="D10" s="293">
        <f t="shared" ref="D10:H10" si="3">D6+D8-D9</f>
        <v>65.4148342915461</v>
      </c>
      <c r="E10" s="293">
        <f t="shared" si="3"/>
        <v>63.941149408471432</v>
      </c>
      <c r="F10" s="293">
        <f t="shared" si="3"/>
        <v>71.466630271102019</v>
      </c>
      <c r="G10" s="293">
        <f t="shared" si="3"/>
        <v>64.576350220687161</v>
      </c>
      <c r="H10" s="293">
        <f t="shared" si="3"/>
        <v>38.731913360688793</v>
      </c>
      <c r="J10" s="289">
        <f>IFERROR(AVERAGE(C10:H10),0)</f>
        <v>60.727460053001067</v>
      </c>
      <c r="K10" s="289">
        <f>IFERROR(MEDIAN(C10:H10),0)</f>
        <v>64.258749814579289</v>
      </c>
    </row>
    <row r="11" spans="2:11">
      <c r="B11" s="72" t="s">
        <v>48</v>
      </c>
      <c r="C11" s="289">
        <f>Pnl!C9/BS!C38</f>
        <v>1.3281151824095125</v>
      </c>
      <c r="D11" s="289">
        <f>Pnl!D9/BS!D38</f>
        <v>1.4293582179576283</v>
      </c>
      <c r="E11" s="289">
        <f>Pnl!E9/BS!E38</f>
        <v>1.1969741888972496</v>
      </c>
      <c r="F11" s="289">
        <f>Pnl!F9/BS!F38</f>
        <v>0.95054141309942541</v>
      </c>
      <c r="G11" s="289">
        <f>Pnl!G9/BS!G38</f>
        <v>1.0304644240915379</v>
      </c>
      <c r="H11" s="289">
        <f>Pnl!H9/BS!H38</f>
        <v>2.2318895908182577</v>
      </c>
      <c r="J11" s="289">
        <f t="shared" si="1"/>
        <v>1.3612238362122684</v>
      </c>
      <c r="K11" s="289">
        <f t="shared" si="2"/>
        <v>1.2625446856533811</v>
      </c>
    </row>
    <row r="12" spans="2:11" ht="16.2" customHeight="1">
      <c r="B12" s="72" t="s">
        <v>49</v>
      </c>
      <c r="C12" s="295">
        <f>Pnl!C9/BS!C40</f>
        <v>2.7276285385929282</v>
      </c>
      <c r="D12" s="295">
        <f>Pnl!D9/BS!D40</f>
        <v>2.5430577832875358</v>
      </c>
      <c r="E12" s="295">
        <f>Pnl!E9/BS!E40</f>
        <v>1.8885836867804096</v>
      </c>
      <c r="F12" s="295">
        <f>Pnl!F9/BS!F40</f>
        <v>1.4584519707934005</v>
      </c>
      <c r="G12" s="295">
        <f>Pnl!G9/BS!G40</f>
        <v>1.6187092411151893</v>
      </c>
      <c r="H12" s="295">
        <f>Pnl!H9/BS!H40</f>
        <v>3.737880595168257</v>
      </c>
      <c r="J12" s="289">
        <f t="shared" ref="J12" si="4">IFERROR(AVERAGE(C12:H12),0)</f>
        <v>2.3290519692896199</v>
      </c>
      <c r="K12" s="289">
        <f t="shared" ref="K12" si="5">IFERROR(MEDIAN(C12:H12),0)</f>
        <v>2.2158207350339727</v>
      </c>
    </row>
    <row r="13" spans="2:11">
      <c r="B13" s="73"/>
      <c r="C13" s="73"/>
      <c r="D13" s="73"/>
      <c r="E13" s="73"/>
      <c r="F13" s="73"/>
      <c r="G13" s="73"/>
    </row>
    <row r="14" spans="2:11">
      <c r="B14" s="284" t="s">
        <v>250</v>
      </c>
      <c r="C14" s="73"/>
      <c r="D14" s="73"/>
      <c r="E14" s="73"/>
      <c r="F14" s="73"/>
      <c r="G14" s="73"/>
    </row>
    <row r="15" spans="2:11" ht="56.4" customHeight="1">
      <c r="B15" s="426" t="s">
        <v>277</v>
      </c>
      <c r="C15" s="426"/>
      <c r="D15" s="426"/>
      <c r="E15" s="426"/>
      <c r="F15" s="426"/>
      <c r="G15" s="426"/>
      <c r="H15" s="426"/>
      <c r="I15" s="426"/>
      <c r="J15" s="426"/>
      <c r="K15" s="426"/>
    </row>
    <row r="16" spans="2:11">
      <c r="B16" s="426"/>
      <c r="C16" s="426"/>
      <c r="D16" s="426"/>
      <c r="E16" s="426"/>
      <c r="F16" s="426"/>
      <c r="G16" s="426"/>
      <c r="H16" s="426"/>
      <c r="I16" s="426"/>
      <c r="J16" s="426"/>
      <c r="K16" s="426"/>
    </row>
    <row r="17" spans="2:11">
      <c r="B17" s="426"/>
      <c r="C17" s="426"/>
      <c r="D17" s="426"/>
      <c r="E17" s="426"/>
      <c r="F17" s="426"/>
      <c r="G17" s="426"/>
      <c r="H17" s="426"/>
      <c r="I17" s="426"/>
      <c r="J17" s="426"/>
      <c r="K17" s="426"/>
    </row>
    <row r="18" spans="2:11">
      <c r="B18" s="426"/>
      <c r="C18" s="426"/>
      <c r="D18" s="426"/>
      <c r="E18" s="426"/>
      <c r="F18" s="426"/>
      <c r="G18" s="426"/>
      <c r="H18" s="426"/>
      <c r="I18" s="426"/>
      <c r="J18" s="426"/>
      <c r="K18" s="426"/>
    </row>
    <row r="19" spans="2:11">
      <c r="B19" s="426"/>
      <c r="C19" s="426"/>
      <c r="D19" s="426"/>
      <c r="E19" s="426"/>
      <c r="F19" s="426"/>
      <c r="G19" s="426"/>
      <c r="H19" s="426"/>
      <c r="I19" s="426"/>
      <c r="J19" s="426"/>
      <c r="K19" s="426"/>
    </row>
    <row r="20" spans="2:11">
      <c r="B20" s="426"/>
      <c r="C20" s="426"/>
      <c r="D20" s="426"/>
      <c r="E20" s="426"/>
      <c r="F20" s="426"/>
      <c r="G20" s="426"/>
      <c r="H20" s="426"/>
      <c r="I20" s="426"/>
      <c r="J20" s="426"/>
      <c r="K20" s="426"/>
    </row>
    <row r="21" spans="2:11">
      <c r="B21" s="426"/>
      <c r="C21" s="426"/>
      <c r="D21" s="426"/>
      <c r="E21" s="426"/>
      <c r="F21" s="426"/>
      <c r="G21" s="426"/>
      <c r="H21" s="426"/>
      <c r="I21" s="426"/>
      <c r="J21" s="426"/>
      <c r="K21" s="426"/>
    </row>
    <row r="22" spans="2:11">
      <c r="B22" s="426"/>
      <c r="C22" s="426"/>
      <c r="D22" s="426"/>
      <c r="E22" s="426"/>
      <c r="F22" s="426"/>
      <c r="G22" s="426"/>
      <c r="H22" s="426"/>
      <c r="I22" s="426"/>
      <c r="J22" s="426"/>
      <c r="K22" s="426"/>
    </row>
    <row r="23" spans="2:11">
      <c r="B23" s="426"/>
      <c r="C23" s="426"/>
      <c r="D23" s="426"/>
      <c r="E23" s="426"/>
      <c r="F23" s="426"/>
      <c r="G23" s="426"/>
      <c r="H23" s="426"/>
      <c r="I23" s="426"/>
      <c r="J23" s="426"/>
      <c r="K23" s="426"/>
    </row>
    <row r="24" spans="2:11">
      <c r="B24" s="426"/>
      <c r="C24" s="426"/>
      <c r="D24" s="426"/>
      <c r="E24" s="426"/>
      <c r="F24" s="426"/>
      <c r="G24" s="426"/>
      <c r="H24" s="426"/>
      <c r="I24" s="426"/>
      <c r="J24" s="426"/>
      <c r="K24" s="426"/>
    </row>
    <row r="25" spans="2:11">
      <c r="B25" s="426"/>
      <c r="C25" s="426"/>
      <c r="D25" s="426"/>
      <c r="E25" s="426"/>
      <c r="F25" s="426"/>
      <c r="G25" s="426"/>
      <c r="H25" s="426"/>
      <c r="I25" s="426"/>
      <c r="J25" s="426"/>
      <c r="K25" s="426"/>
    </row>
    <row r="26" spans="2:11">
      <c r="B26" s="426"/>
      <c r="C26" s="426"/>
      <c r="D26" s="426"/>
      <c r="E26" s="426"/>
      <c r="F26" s="426"/>
      <c r="G26" s="426"/>
      <c r="H26" s="426"/>
      <c r="I26" s="426"/>
      <c r="J26" s="426"/>
      <c r="K26" s="426"/>
    </row>
    <row r="27" spans="2:11">
      <c r="B27" s="426"/>
      <c r="C27" s="426"/>
      <c r="D27" s="426"/>
      <c r="E27" s="426"/>
      <c r="F27" s="426"/>
      <c r="G27" s="426"/>
      <c r="H27" s="426"/>
      <c r="I27" s="426"/>
      <c r="J27" s="426"/>
      <c r="K27" s="426"/>
    </row>
    <row r="28" spans="2:11">
      <c r="B28" s="426"/>
      <c r="C28" s="426"/>
      <c r="D28" s="426"/>
      <c r="E28" s="426"/>
      <c r="F28" s="426"/>
      <c r="G28" s="426"/>
      <c r="H28" s="426"/>
      <c r="I28" s="426"/>
      <c r="J28" s="426"/>
      <c r="K28" s="426"/>
    </row>
    <row r="29" spans="2:11">
      <c r="B29" s="426"/>
      <c r="C29" s="426"/>
      <c r="D29" s="426"/>
      <c r="E29" s="426"/>
      <c r="F29" s="426"/>
      <c r="G29" s="426"/>
      <c r="H29" s="426"/>
      <c r="I29" s="426"/>
      <c r="J29" s="426"/>
      <c r="K29" s="426"/>
    </row>
    <row r="30" spans="2:11">
      <c r="B30" s="426"/>
      <c r="C30" s="426"/>
      <c r="D30" s="426"/>
      <c r="E30" s="426"/>
      <c r="F30" s="426"/>
      <c r="G30" s="426"/>
      <c r="H30" s="426"/>
      <c r="I30" s="426"/>
      <c r="J30" s="426"/>
      <c r="K30" s="426"/>
    </row>
    <row r="31" spans="2:11">
      <c r="B31" s="426"/>
      <c r="C31" s="426"/>
      <c r="D31" s="426"/>
      <c r="E31" s="426"/>
      <c r="F31" s="426"/>
      <c r="G31" s="426"/>
      <c r="H31" s="426"/>
      <c r="I31" s="426"/>
      <c r="J31" s="426"/>
      <c r="K31" s="426"/>
    </row>
    <row r="32" spans="2:11">
      <c r="B32" s="426"/>
      <c r="C32" s="426"/>
      <c r="D32" s="426"/>
      <c r="E32" s="426"/>
      <c r="F32" s="426"/>
      <c r="G32" s="426"/>
      <c r="H32" s="426"/>
      <c r="I32" s="426"/>
      <c r="J32" s="426"/>
      <c r="K32" s="426"/>
    </row>
    <row r="33" spans="2:11">
      <c r="B33" s="426"/>
      <c r="C33" s="426"/>
      <c r="D33" s="426"/>
      <c r="E33" s="426"/>
      <c r="F33" s="426"/>
      <c r="G33" s="426"/>
      <c r="H33" s="426"/>
      <c r="I33" s="426"/>
      <c r="J33" s="426"/>
      <c r="K33" s="426"/>
    </row>
    <row r="34" spans="2:11">
      <c r="B34" s="426"/>
      <c r="C34" s="426"/>
      <c r="D34" s="426"/>
      <c r="E34" s="426"/>
      <c r="F34" s="426"/>
      <c r="G34" s="426"/>
      <c r="H34" s="426"/>
      <c r="I34" s="426"/>
      <c r="J34" s="426"/>
      <c r="K34" s="426"/>
    </row>
    <row r="35" spans="2:11">
      <c r="B35" s="426"/>
      <c r="C35" s="426"/>
      <c r="D35" s="426"/>
      <c r="E35" s="426"/>
      <c r="F35" s="426"/>
      <c r="G35" s="426"/>
      <c r="H35" s="426"/>
      <c r="I35" s="426"/>
      <c r="J35" s="426"/>
      <c r="K35" s="426"/>
    </row>
    <row r="36" spans="2:11">
      <c r="B36" s="426"/>
      <c r="C36" s="426"/>
      <c r="D36" s="426"/>
      <c r="E36" s="426"/>
      <c r="F36" s="426"/>
      <c r="G36" s="426"/>
      <c r="H36" s="426"/>
      <c r="I36" s="426"/>
      <c r="J36" s="426"/>
      <c r="K36" s="426"/>
    </row>
    <row r="37" spans="2:11">
      <c r="B37" s="296"/>
      <c r="C37" s="296"/>
      <c r="D37" s="296"/>
      <c r="E37" s="296"/>
      <c r="F37" s="296"/>
      <c r="G37" s="296"/>
      <c r="H37" s="296"/>
      <c r="I37" s="296"/>
      <c r="J37" s="296"/>
      <c r="K37" s="296"/>
    </row>
    <row r="38" spans="2:11">
      <c r="B38" s="296"/>
      <c r="C38" s="296"/>
      <c r="D38" s="296"/>
      <c r="E38" s="296"/>
      <c r="F38" s="296"/>
      <c r="G38" s="296"/>
      <c r="H38" s="296"/>
      <c r="I38" s="296"/>
      <c r="J38" s="296"/>
      <c r="K38" s="296"/>
    </row>
    <row r="39" spans="2:11" ht="14.4" customHeight="1">
      <c r="B39" s="426" t="s">
        <v>278</v>
      </c>
      <c r="C39" s="426"/>
      <c r="D39" s="426"/>
      <c r="E39" s="426"/>
      <c r="F39" s="426"/>
      <c r="G39" s="426"/>
      <c r="H39" s="426"/>
      <c r="I39" s="426"/>
      <c r="J39" s="426"/>
      <c r="K39" s="426"/>
    </row>
    <row r="40" spans="2:11">
      <c r="B40" s="426"/>
      <c r="C40" s="426"/>
      <c r="D40" s="426"/>
      <c r="E40" s="426"/>
      <c r="F40" s="426"/>
      <c r="G40" s="426"/>
      <c r="H40" s="426"/>
      <c r="I40" s="426"/>
      <c r="J40" s="426"/>
      <c r="K40" s="426"/>
    </row>
    <row r="41" spans="2:11">
      <c r="B41" s="426"/>
      <c r="C41" s="426"/>
      <c r="D41" s="426"/>
      <c r="E41" s="426"/>
      <c r="F41" s="426"/>
      <c r="G41" s="426"/>
      <c r="H41" s="426"/>
      <c r="I41" s="426"/>
      <c r="J41" s="426"/>
      <c r="K41" s="426"/>
    </row>
    <row r="42" spans="2:11">
      <c r="B42" s="426"/>
      <c r="C42" s="426"/>
      <c r="D42" s="426"/>
      <c r="E42" s="426"/>
      <c r="F42" s="426"/>
      <c r="G42" s="426"/>
      <c r="H42" s="426"/>
      <c r="I42" s="426"/>
      <c r="J42" s="426"/>
      <c r="K42" s="426"/>
    </row>
    <row r="43" spans="2:11">
      <c r="B43" s="426"/>
      <c r="C43" s="426"/>
      <c r="D43" s="426"/>
      <c r="E43" s="426"/>
      <c r="F43" s="426"/>
      <c r="G43" s="426"/>
      <c r="H43" s="426"/>
      <c r="I43" s="426"/>
      <c r="J43" s="426"/>
      <c r="K43" s="426"/>
    </row>
    <row r="44" spans="2:11">
      <c r="B44" s="426"/>
      <c r="C44" s="426"/>
      <c r="D44" s="426"/>
      <c r="E44" s="426"/>
      <c r="F44" s="426"/>
      <c r="G44" s="426"/>
      <c r="H44" s="426"/>
      <c r="I44" s="426"/>
      <c r="J44" s="426"/>
      <c r="K44" s="426"/>
    </row>
    <row r="45" spans="2:11">
      <c r="B45" s="426"/>
      <c r="C45" s="426"/>
      <c r="D45" s="426"/>
      <c r="E45" s="426"/>
      <c r="F45" s="426"/>
      <c r="G45" s="426"/>
      <c r="H45" s="426"/>
      <c r="I45" s="426"/>
      <c r="J45" s="426"/>
      <c r="K45" s="426"/>
    </row>
    <row r="46" spans="2:11">
      <c r="B46" s="426"/>
      <c r="C46" s="426"/>
      <c r="D46" s="426"/>
      <c r="E46" s="426"/>
      <c r="F46" s="426"/>
      <c r="G46" s="426"/>
      <c r="H46" s="426"/>
      <c r="I46" s="426"/>
      <c r="J46" s="426"/>
      <c r="K46" s="426"/>
    </row>
    <row r="47" spans="2:11">
      <c r="B47" s="426"/>
      <c r="C47" s="426"/>
      <c r="D47" s="426"/>
      <c r="E47" s="426"/>
      <c r="F47" s="426"/>
      <c r="G47" s="426"/>
      <c r="H47" s="426"/>
      <c r="I47" s="426"/>
      <c r="J47" s="426"/>
      <c r="K47" s="426"/>
    </row>
    <row r="48" spans="2:11">
      <c r="B48" s="426"/>
      <c r="C48" s="426"/>
      <c r="D48" s="426"/>
      <c r="E48" s="426"/>
      <c r="F48" s="426"/>
      <c r="G48" s="426"/>
      <c r="H48" s="426"/>
      <c r="I48" s="426"/>
      <c r="J48" s="426"/>
      <c r="K48" s="426"/>
    </row>
    <row r="49" spans="2:11">
      <c r="B49" s="426"/>
      <c r="C49" s="426"/>
      <c r="D49" s="426"/>
      <c r="E49" s="426"/>
      <c r="F49" s="426"/>
      <c r="G49" s="426"/>
      <c r="H49" s="426"/>
      <c r="I49" s="426"/>
      <c r="J49" s="426"/>
      <c r="K49" s="426"/>
    </row>
    <row r="50" spans="2:11">
      <c r="B50" s="426"/>
      <c r="C50" s="426"/>
      <c r="D50" s="426"/>
      <c r="E50" s="426"/>
      <c r="F50" s="426"/>
      <c r="G50" s="426"/>
      <c r="H50" s="426"/>
      <c r="I50" s="426"/>
      <c r="J50" s="426"/>
      <c r="K50" s="426"/>
    </row>
    <row r="51" spans="2:11">
      <c r="B51" s="426"/>
      <c r="C51" s="426"/>
      <c r="D51" s="426"/>
      <c r="E51" s="426"/>
      <c r="F51" s="426"/>
      <c r="G51" s="426"/>
      <c r="H51" s="426"/>
      <c r="I51" s="426"/>
      <c r="J51" s="426"/>
      <c r="K51" s="426"/>
    </row>
    <row r="52" spans="2:11">
      <c r="B52" s="426"/>
      <c r="C52" s="426"/>
      <c r="D52" s="426"/>
      <c r="E52" s="426"/>
      <c r="F52" s="426"/>
      <c r="G52" s="426"/>
      <c r="H52" s="426"/>
      <c r="I52" s="426"/>
      <c r="J52" s="426"/>
      <c r="K52" s="426"/>
    </row>
    <row r="53" spans="2:11">
      <c r="B53" s="426"/>
      <c r="C53" s="426"/>
      <c r="D53" s="426"/>
      <c r="E53" s="426"/>
      <c r="F53" s="426"/>
      <c r="G53" s="426"/>
      <c r="H53" s="426"/>
      <c r="I53" s="426"/>
      <c r="J53" s="426"/>
      <c r="K53" s="426"/>
    </row>
    <row r="54" spans="2:11">
      <c r="B54" s="426"/>
      <c r="C54" s="426"/>
      <c r="D54" s="426"/>
      <c r="E54" s="426"/>
      <c r="F54" s="426"/>
      <c r="G54" s="426"/>
      <c r="H54" s="426"/>
      <c r="I54" s="426"/>
      <c r="J54" s="426"/>
      <c r="K54" s="426"/>
    </row>
    <row r="55" spans="2:11">
      <c r="B55" s="426"/>
      <c r="C55" s="426"/>
      <c r="D55" s="426"/>
      <c r="E55" s="426"/>
      <c r="F55" s="426"/>
      <c r="G55" s="426"/>
      <c r="H55" s="426"/>
      <c r="I55" s="426"/>
      <c r="J55" s="426"/>
      <c r="K55" s="426"/>
    </row>
    <row r="56" spans="2:11">
      <c r="B56" s="296"/>
      <c r="C56" s="296"/>
      <c r="D56" s="296"/>
      <c r="E56" s="296"/>
      <c r="F56" s="296"/>
      <c r="G56" s="296"/>
      <c r="H56" s="296"/>
      <c r="I56" s="296"/>
      <c r="J56" s="296"/>
      <c r="K56" s="296"/>
    </row>
    <row r="57" spans="2:11">
      <c r="B57" s="296"/>
      <c r="C57" s="296"/>
      <c r="D57" s="296"/>
      <c r="E57" s="296"/>
      <c r="F57" s="296"/>
      <c r="G57" s="296"/>
      <c r="H57" s="296"/>
      <c r="I57" s="296"/>
      <c r="J57" s="296"/>
      <c r="K57" s="296"/>
    </row>
    <row r="60" spans="2:11" ht="15" thickBot="1">
      <c r="B60" s="284" t="s">
        <v>269</v>
      </c>
    </row>
    <row r="61" spans="2:11">
      <c r="B61" s="417" t="s">
        <v>279</v>
      </c>
      <c r="C61" s="418"/>
      <c r="D61" s="418"/>
      <c r="E61" s="418"/>
      <c r="F61" s="418"/>
      <c r="G61" s="418"/>
      <c r="H61" s="418"/>
      <c r="I61" s="418"/>
      <c r="J61" s="418"/>
      <c r="K61" s="419"/>
    </row>
    <row r="62" spans="2:11">
      <c r="B62" s="423"/>
      <c r="C62" s="424"/>
      <c r="D62" s="424"/>
      <c r="E62" s="424"/>
      <c r="F62" s="424"/>
      <c r="G62" s="424"/>
      <c r="H62" s="424"/>
      <c r="I62" s="424"/>
      <c r="J62" s="424"/>
      <c r="K62" s="425"/>
    </row>
    <row r="63" spans="2:11">
      <c r="B63" s="423"/>
      <c r="C63" s="424"/>
      <c r="D63" s="424"/>
      <c r="E63" s="424"/>
      <c r="F63" s="424"/>
      <c r="G63" s="424"/>
      <c r="H63" s="424"/>
      <c r="I63" s="424"/>
      <c r="J63" s="424"/>
      <c r="K63" s="425"/>
    </row>
    <row r="64" spans="2:11">
      <c r="B64" s="423"/>
      <c r="C64" s="424"/>
      <c r="D64" s="424"/>
      <c r="E64" s="424"/>
      <c r="F64" s="424"/>
      <c r="G64" s="424"/>
      <c r="H64" s="424"/>
      <c r="I64" s="424"/>
      <c r="J64" s="424"/>
      <c r="K64" s="425"/>
    </row>
    <row r="65" spans="2:11">
      <c r="B65" s="423"/>
      <c r="C65" s="424"/>
      <c r="D65" s="424"/>
      <c r="E65" s="424"/>
      <c r="F65" s="424"/>
      <c r="G65" s="424"/>
      <c r="H65" s="424"/>
      <c r="I65" s="424"/>
      <c r="J65" s="424"/>
      <c r="K65" s="425"/>
    </row>
    <row r="66" spans="2:11">
      <c r="B66" s="423"/>
      <c r="C66" s="424"/>
      <c r="D66" s="424"/>
      <c r="E66" s="424"/>
      <c r="F66" s="424"/>
      <c r="G66" s="424"/>
      <c r="H66" s="424"/>
      <c r="I66" s="424"/>
      <c r="J66" s="424"/>
      <c r="K66" s="425"/>
    </row>
    <row r="67" spans="2:11">
      <c r="B67" s="423"/>
      <c r="C67" s="424"/>
      <c r="D67" s="424"/>
      <c r="E67" s="424"/>
      <c r="F67" s="424"/>
      <c r="G67" s="424"/>
      <c r="H67" s="424"/>
      <c r="I67" s="424"/>
      <c r="J67" s="424"/>
      <c r="K67" s="425"/>
    </row>
    <row r="68" spans="2:11">
      <c r="B68" s="423"/>
      <c r="C68" s="424"/>
      <c r="D68" s="424"/>
      <c r="E68" s="424"/>
      <c r="F68" s="424"/>
      <c r="G68" s="424"/>
      <c r="H68" s="424"/>
      <c r="I68" s="424"/>
      <c r="J68" s="424"/>
      <c r="K68" s="425"/>
    </row>
    <row r="69" spans="2:11">
      <c r="B69" s="423"/>
      <c r="C69" s="424"/>
      <c r="D69" s="424"/>
      <c r="E69" s="424"/>
      <c r="F69" s="424"/>
      <c r="G69" s="424"/>
      <c r="H69" s="424"/>
      <c r="I69" s="424"/>
      <c r="J69" s="424"/>
      <c r="K69" s="425"/>
    </row>
    <row r="70" spans="2:11">
      <c r="B70" s="423"/>
      <c r="C70" s="424"/>
      <c r="D70" s="424"/>
      <c r="E70" s="424"/>
      <c r="F70" s="424"/>
      <c r="G70" s="424"/>
      <c r="H70" s="424"/>
      <c r="I70" s="424"/>
      <c r="J70" s="424"/>
      <c r="K70" s="425"/>
    </row>
    <row r="71" spans="2:11">
      <c r="B71" s="423"/>
      <c r="C71" s="424"/>
      <c r="D71" s="424"/>
      <c r="E71" s="424"/>
      <c r="F71" s="424"/>
      <c r="G71" s="424"/>
      <c r="H71" s="424"/>
      <c r="I71" s="424"/>
      <c r="J71" s="424"/>
      <c r="K71" s="425"/>
    </row>
    <row r="72" spans="2:11">
      <c r="B72" s="423"/>
      <c r="C72" s="424"/>
      <c r="D72" s="424"/>
      <c r="E72" s="424"/>
      <c r="F72" s="424"/>
      <c r="G72" s="424"/>
      <c r="H72" s="424"/>
      <c r="I72" s="424"/>
      <c r="J72" s="424"/>
      <c r="K72" s="425"/>
    </row>
    <row r="73" spans="2:11">
      <c r="B73" s="423"/>
      <c r="C73" s="424"/>
      <c r="D73" s="424"/>
      <c r="E73" s="424"/>
      <c r="F73" s="424"/>
      <c r="G73" s="424"/>
      <c r="H73" s="424"/>
      <c r="I73" s="424"/>
      <c r="J73" s="424"/>
      <c r="K73" s="425"/>
    </row>
    <row r="74" spans="2:11" ht="15" thickBot="1">
      <c r="B74" s="420"/>
      <c r="C74" s="421"/>
      <c r="D74" s="421"/>
      <c r="E74" s="421"/>
      <c r="F74" s="421"/>
      <c r="G74" s="421"/>
      <c r="H74" s="421"/>
      <c r="I74" s="421"/>
      <c r="J74" s="421"/>
      <c r="K74" s="422"/>
    </row>
    <row r="75" spans="2:11">
      <c r="B75" s="73"/>
      <c r="C75" s="73"/>
      <c r="D75" s="73"/>
      <c r="E75" s="73"/>
      <c r="F75" s="73"/>
      <c r="G75" s="73"/>
      <c r="H75" s="73"/>
      <c r="I75" s="73"/>
      <c r="J75" s="73"/>
      <c r="K75" s="73"/>
    </row>
    <row r="76" spans="2:11">
      <c r="B76" s="73"/>
      <c r="C76" s="73"/>
      <c r="D76" s="73"/>
      <c r="E76" s="73"/>
      <c r="F76" s="73"/>
      <c r="G76" s="73"/>
      <c r="H76" s="73"/>
      <c r="I76" s="73"/>
      <c r="J76" s="73"/>
      <c r="K76" s="73"/>
    </row>
    <row r="77" spans="2:11">
      <c r="B77" s="73"/>
      <c r="C77" s="73"/>
      <c r="D77" s="73"/>
      <c r="E77" s="73"/>
      <c r="F77" s="73"/>
      <c r="G77" s="73"/>
      <c r="H77" s="73"/>
      <c r="I77" s="73"/>
      <c r="J77" s="73"/>
      <c r="K77" s="73"/>
    </row>
    <row r="78" spans="2:11">
      <c r="B78" s="73"/>
      <c r="C78" s="73"/>
      <c r="D78" s="73"/>
      <c r="E78" s="73"/>
      <c r="F78" s="73"/>
      <c r="G78" s="73"/>
      <c r="H78" s="73"/>
      <c r="I78" s="73"/>
      <c r="J78" s="73"/>
      <c r="K78" s="73"/>
    </row>
    <row r="79" spans="2:11">
      <c r="B79" s="73"/>
      <c r="C79" s="73"/>
      <c r="D79" s="73"/>
      <c r="E79" s="73"/>
      <c r="F79" s="73"/>
      <c r="G79" s="73"/>
      <c r="H79" s="73"/>
      <c r="I79" s="73"/>
      <c r="J79" s="73"/>
      <c r="K79" s="73"/>
    </row>
    <row r="80" spans="2:11">
      <c r="B80" s="73"/>
      <c r="C80" s="73"/>
      <c r="D80" s="73"/>
      <c r="E80" s="73"/>
      <c r="F80" s="73"/>
      <c r="G80" s="73"/>
      <c r="H80" s="73"/>
      <c r="I80" s="73"/>
      <c r="J80" s="73"/>
      <c r="K80" s="73"/>
    </row>
    <row r="81" spans="2:11">
      <c r="B81" s="73"/>
      <c r="C81" s="73"/>
      <c r="D81" s="73"/>
      <c r="E81" s="73"/>
      <c r="F81" s="73"/>
      <c r="G81" s="73"/>
      <c r="H81" s="73"/>
      <c r="I81" s="73"/>
      <c r="J81" s="73"/>
      <c r="K81" s="73"/>
    </row>
    <row r="82" spans="2:11">
      <c r="B82" s="73"/>
      <c r="C82" s="73"/>
      <c r="D82" s="73"/>
      <c r="E82" s="73"/>
      <c r="F82" s="73"/>
      <c r="G82" s="73"/>
      <c r="H82" s="73"/>
      <c r="I82" s="73"/>
      <c r="J82" s="73"/>
      <c r="K82" s="73"/>
    </row>
    <row r="83" spans="2:11">
      <c r="B83" s="73"/>
      <c r="C83" s="73"/>
      <c r="D83" s="73"/>
      <c r="E83" s="73"/>
      <c r="F83" s="73"/>
      <c r="G83" s="73"/>
      <c r="H83" s="73"/>
      <c r="I83" s="73"/>
      <c r="J83" s="73"/>
      <c r="K83" s="73"/>
    </row>
    <row r="84" spans="2:11">
      <c r="B84" s="73"/>
      <c r="C84" s="73"/>
      <c r="D84" s="73"/>
      <c r="E84" s="73"/>
      <c r="F84" s="73"/>
      <c r="G84" s="73"/>
      <c r="H84" s="73"/>
      <c r="I84" s="73"/>
      <c r="J84" s="73"/>
      <c r="K84" s="73"/>
    </row>
    <row r="85" spans="2:11">
      <c r="B85" s="73"/>
      <c r="C85" s="73"/>
      <c r="D85" s="73"/>
      <c r="E85" s="73"/>
      <c r="F85" s="73"/>
      <c r="G85" s="73"/>
      <c r="H85" s="73"/>
      <c r="I85" s="73"/>
      <c r="J85" s="73"/>
      <c r="K85" s="73"/>
    </row>
    <row r="86" spans="2:11">
      <c r="B86" s="73"/>
      <c r="C86" s="73"/>
      <c r="D86" s="73"/>
      <c r="E86" s="73"/>
      <c r="F86" s="73"/>
      <c r="G86" s="73"/>
      <c r="H86" s="73"/>
      <c r="I86" s="73"/>
      <c r="J86" s="73"/>
      <c r="K86" s="73"/>
    </row>
    <row r="87" spans="2:11">
      <c r="B87" s="73"/>
      <c r="C87" s="73"/>
      <c r="D87" s="73"/>
      <c r="E87" s="73"/>
      <c r="F87" s="73"/>
      <c r="G87" s="73"/>
      <c r="H87" s="73"/>
      <c r="I87" s="73"/>
      <c r="J87" s="73"/>
      <c r="K87" s="73"/>
    </row>
    <row r="88" spans="2:11">
      <c r="B88" s="73"/>
      <c r="C88" s="73"/>
      <c r="D88" s="73"/>
      <c r="E88" s="73"/>
      <c r="F88" s="73"/>
      <c r="G88" s="73"/>
      <c r="H88" s="73"/>
      <c r="I88" s="73"/>
      <c r="J88" s="73"/>
      <c r="K88" s="73"/>
    </row>
  </sheetData>
  <mergeCells count="4">
    <mergeCell ref="B39:K55"/>
    <mergeCell ref="B61:K74"/>
    <mergeCell ref="B2:K2"/>
    <mergeCell ref="B15:K36"/>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12D319C8-79AD-4762-A407-EA26D443F679}">
          <x14:colorSeries rgb="FF376092"/>
          <x14:colorNegative rgb="FFD00000"/>
          <x14:colorAxis rgb="FF000000"/>
          <x14:colorMarkers rgb="FFD00000"/>
          <x14:colorFirst rgb="FFD00000"/>
          <x14:colorLast rgb="FFD00000"/>
          <x14:colorHigh rgb="FFD00000"/>
          <x14:colorLow rgb="FFD00000"/>
          <x14:sparklines>
            <x14:sparkline>
              <xm:f>'Ratio Analysis-Activity'!D6:H6</xm:f>
              <xm:sqref>I6</xm:sqref>
            </x14:sparkline>
            <x14:sparkline>
              <xm:f>'Ratio Analysis-Activity'!D7:H7</xm:f>
              <xm:sqref>I7</xm:sqref>
            </x14:sparkline>
            <x14:sparkline>
              <xm:f>'Ratio Analysis-Activity'!D8:H8</xm:f>
              <xm:sqref>I8</xm:sqref>
            </x14:sparkline>
            <x14:sparkline>
              <xm:f>'Ratio Analysis-Activity'!D9:H9</xm:f>
              <xm:sqref>I9</xm:sqref>
            </x14:sparkline>
            <x14:sparkline>
              <xm:f>'Ratio Analysis-Activity'!D10:H10</xm:f>
              <xm:sqref>I10</xm:sqref>
            </x14:sparkline>
            <x14:sparkline>
              <xm:f>'Ratio Analysis-Activity'!D11:H11</xm:f>
              <xm:sqref>I11</xm:sqref>
            </x14:sparkline>
            <x14:sparkline>
              <xm:f>'Ratio Analysis-Activity'!D12:H12</xm:f>
              <xm:sqref>I12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2889-051C-45B6-97F1-D96598A53709}">
  <sheetPr codeName="Sheet9"/>
  <dimension ref="A2:J27"/>
  <sheetViews>
    <sheetView showGridLines="0" workbookViewId="0">
      <selection activeCell="B2" sqref="B2:H2"/>
    </sheetView>
  </sheetViews>
  <sheetFormatPr defaultRowHeight="14.4"/>
  <cols>
    <col min="1" max="1" width="1.88671875" style="76" customWidth="1"/>
    <col min="2" max="2" width="57.6640625" style="76" customWidth="1"/>
    <col min="3" max="3" width="16.109375" style="76" bestFit="1" customWidth="1"/>
    <col min="4" max="16384" width="8.88671875" style="76"/>
  </cols>
  <sheetData>
    <row r="2" spans="1:10">
      <c r="A2" s="74" t="s">
        <v>56</v>
      </c>
      <c r="B2" s="427" t="str">
        <f>"Common Size Statement (Profit and Loss) "&amp;" - "&amp;BS!$B$2</f>
        <v>Common Size Statement (Profit and Loss)  - Ismail Industries Limited</v>
      </c>
      <c r="C2" s="427"/>
      <c r="D2" s="427"/>
      <c r="E2" s="427"/>
      <c r="F2" s="427"/>
      <c r="G2" s="427"/>
      <c r="H2" s="427"/>
      <c r="I2" s="75"/>
      <c r="J2" s="75"/>
    </row>
    <row r="4" spans="1:10">
      <c r="B4" s="77" t="s">
        <v>57</v>
      </c>
      <c r="C4" s="78">
        <v>2024</v>
      </c>
      <c r="D4" s="78">
        <f>C4-1</f>
        <v>2023</v>
      </c>
      <c r="E4" s="78">
        <f t="shared" ref="E4:H4" si="0">D4-1</f>
        <v>2022</v>
      </c>
      <c r="F4" s="78">
        <f t="shared" si="0"/>
        <v>2021</v>
      </c>
      <c r="G4" s="78">
        <f t="shared" si="0"/>
        <v>2020</v>
      </c>
      <c r="H4" s="78">
        <f t="shared" si="0"/>
        <v>2019</v>
      </c>
    </row>
    <row r="6" spans="1:10">
      <c r="B6" s="79" t="s">
        <v>58</v>
      </c>
      <c r="C6" s="80">
        <f>Pnl!C$9/Pnl!C$9</f>
        <v>1</v>
      </c>
      <c r="D6" s="80">
        <f>Pnl!D$9/Pnl!D$9</f>
        <v>1</v>
      </c>
      <c r="E6" s="80">
        <f>Pnl!E$9/Pnl!E$9</f>
        <v>1</v>
      </c>
      <c r="F6" s="80">
        <f>Pnl!F$9/Pnl!F$9</f>
        <v>1</v>
      </c>
      <c r="G6" s="80">
        <f>Pnl!G$9/Pnl!G$9</f>
        <v>1</v>
      </c>
      <c r="H6" s="80">
        <f>Pnl!H$9/Pnl!H$9</f>
        <v>1</v>
      </c>
    </row>
    <row r="7" spans="1:10">
      <c r="B7" s="76" t="s">
        <v>3</v>
      </c>
      <c r="C7" s="80">
        <f>Pnl!C$10/Pnl!C$9</f>
        <v>0.77938868087716306</v>
      </c>
      <c r="D7" s="80">
        <f>Pnl!D$10/Pnl!D$9</f>
        <v>0.79267829737444784</v>
      </c>
      <c r="E7" s="80">
        <f>Pnl!E$10/Pnl!E$9</f>
        <v>0.82183546031511467</v>
      </c>
      <c r="F7" s="80">
        <f>Pnl!F$10/Pnl!F$9</f>
        <v>0.80717738079155654</v>
      </c>
      <c r="G7" s="80">
        <f>Pnl!G$10/Pnl!G$9</f>
        <v>0.79295660554057101</v>
      </c>
      <c r="H7" s="80">
        <f>Pnl!H$10/Pnl!H$9</f>
        <v>0.78883913151531837</v>
      </c>
    </row>
    <row r="8" spans="1:10">
      <c r="B8" s="76" t="s">
        <v>4</v>
      </c>
      <c r="C8" s="80">
        <f>Pnl!C$11/Pnl!C$9</f>
        <v>0.22061131912283691</v>
      </c>
      <c r="D8" s="80">
        <f>Pnl!D$11/Pnl!D$9</f>
        <v>0.20732170262555211</v>
      </c>
      <c r="E8" s="80">
        <f>Pnl!E$11/Pnl!E$9</f>
        <v>0.17816453968488527</v>
      </c>
      <c r="F8" s="80">
        <f>Pnl!F$11/Pnl!F$9</f>
        <v>0.19282261920844349</v>
      </c>
      <c r="G8" s="80">
        <f>Pnl!G$11/Pnl!G$9</f>
        <v>0.20704339445942901</v>
      </c>
      <c r="H8" s="80">
        <f>Pnl!H$11/Pnl!H$9</f>
        <v>0.21116086848468169</v>
      </c>
    </row>
    <row r="9" spans="1:10">
      <c r="C9" s="81"/>
      <c r="D9" s="81"/>
      <c r="E9" s="81"/>
      <c r="F9" s="81"/>
      <c r="G9" s="81"/>
      <c r="H9" s="81"/>
    </row>
    <row r="10" spans="1:10">
      <c r="B10" s="76" t="s">
        <v>5</v>
      </c>
      <c r="C10" s="80">
        <f>Pnl!C$12/Pnl!C$9</f>
        <v>0.12839106522003943</v>
      </c>
      <c r="D10" s="80">
        <f>Pnl!D$12/Pnl!D$9</f>
        <v>0.11619353815807465</v>
      </c>
      <c r="E10" s="80">
        <f>Pnl!E$12/Pnl!E$9</f>
        <v>7.6805054528897659E-2</v>
      </c>
      <c r="F10" s="80">
        <f>Pnl!F$12/Pnl!F$9</f>
        <v>6.182070432531999E-2</v>
      </c>
      <c r="G10" s="80">
        <f>Pnl!G$12/Pnl!G$9</f>
        <v>5.4628788197387625E-2</v>
      </c>
      <c r="H10" s="80">
        <f>Pnl!H$12/Pnl!H$9</f>
        <v>7.3891008155068896E-2</v>
      </c>
    </row>
    <row r="11" spans="1:10">
      <c r="B11" s="76" t="s">
        <v>6</v>
      </c>
      <c r="C11" s="80">
        <f>Pnl!C$15/Pnl!C$9</f>
        <v>7.0499318633228517E-2</v>
      </c>
      <c r="D11" s="80">
        <f>Pnl!D$15/Pnl!D$9</f>
        <v>8.4713059652488792E-2</v>
      </c>
      <c r="E11" s="80">
        <f>Pnl!E$15/Pnl!E$9</f>
        <v>6.1290556603346619E-2</v>
      </c>
      <c r="F11" s="80">
        <f>Pnl!F$15/Pnl!F$9</f>
        <v>5.9324011948184506E-2</v>
      </c>
      <c r="G11" s="80">
        <f>Pnl!G$15/Pnl!G$9</f>
        <v>3.9818536020822033E-2</v>
      </c>
      <c r="H11" s="80">
        <f>Pnl!H$15/Pnl!H$9</f>
        <v>4.6643363729152815E-2</v>
      </c>
    </row>
    <row r="12" spans="1:10">
      <c r="B12" s="76" t="s">
        <v>7</v>
      </c>
      <c r="C12" s="80">
        <f>Pnl!C$16/Pnl!C$9</f>
        <v>1.4183609242548497E-2</v>
      </c>
      <c r="D12" s="80">
        <f>Pnl!D$16/Pnl!D$9</f>
        <v>1.2932756375073679E-2</v>
      </c>
      <c r="E12" s="80">
        <f>Pnl!E$16/Pnl!E$9</f>
        <v>1.5127170215490759E-2</v>
      </c>
      <c r="F12" s="80">
        <f>Pnl!F$16/Pnl!F$9</f>
        <v>1.170212309717871E-2</v>
      </c>
      <c r="G12" s="80">
        <f>Pnl!G$16/Pnl!G$9</f>
        <v>1.1762742753062449E-2</v>
      </c>
      <c r="H12" s="80">
        <f>Pnl!H$16/Pnl!H$9</f>
        <v>1.4520754802471062E-2</v>
      </c>
    </row>
    <row r="13" spans="1:10">
      <c r="B13" s="76" t="s">
        <v>8</v>
      </c>
      <c r="C13" s="80">
        <f>Pnl!C$17/Pnl!C$9</f>
        <v>5.6315709390680015E-2</v>
      </c>
      <c r="D13" s="80">
        <f>Pnl!D$17/Pnl!D$9</f>
        <v>7.1780303277415122E-2</v>
      </c>
      <c r="E13" s="80">
        <f>Pnl!E$17/Pnl!E$9</f>
        <v>4.6163386387855859E-2</v>
      </c>
      <c r="F13" s="80">
        <f>Pnl!F$17/Pnl!F$9</f>
        <v>4.7621888851005795E-2</v>
      </c>
      <c r="G13" s="80">
        <f>Pnl!G$17/Pnl!G$9</f>
        <v>2.8055793267759584E-2</v>
      </c>
      <c r="H13" s="80">
        <f>Pnl!H$17/Pnl!H$9</f>
        <v>3.2122608926681756E-2</v>
      </c>
    </row>
    <row r="16" spans="1:10">
      <c r="A16" s="74" t="s">
        <v>56</v>
      </c>
      <c r="B16" s="427" t="str">
        <f>"Common Size Statement (Balance Sheet) "&amp;" - "&amp;BS!$B$2</f>
        <v>Common Size Statement (Balance Sheet)  - Ismail Industries Limited</v>
      </c>
      <c r="C16" s="427"/>
      <c r="D16" s="427"/>
      <c r="E16" s="427"/>
      <c r="F16" s="427"/>
      <c r="G16" s="427"/>
      <c r="H16" s="427"/>
    </row>
    <row r="18" spans="2:8">
      <c r="B18" s="77" t="s">
        <v>57</v>
      </c>
      <c r="C18" s="78">
        <f>C4</f>
        <v>2024</v>
      </c>
      <c r="D18" s="78">
        <f>C18-1</f>
        <v>2023</v>
      </c>
      <c r="E18" s="78">
        <f t="shared" ref="E18:H18" si="1">D18-1</f>
        <v>2022</v>
      </c>
      <c r="F18" s="78">
        <f t="shared" si="1"/>
        <v>2021</v>
      </c>
      <c r="G18" s="78">
        <f t="shared" si="1"/>
        <v>2020</v>
      </c>
      <c r="H18" s="78">
        <f t="shared" si="1"/>
        <v>2019</v>
      </c>
    </row>
    <row r="19" spans="2:8">
      <c r="C19" s="83"/>
      <c r="D19" s="83"/>
      <c r="E19" s="83"/>
      <c r="F19" s="83"/>
      <c r="G19" s="83"/>
      <c r="H19" s="83"/>
    </row>
    <row r="20" spans="2:8">
      <c r="B20" s="79" t="s">
        <v>205</v>
      </c>
      <c r="C20" s="84">
        <f>BS!C14/BS!C$14</f>
        <v>1</v>
      </c>
      <c r="D20" s="84">
        <f>BS!D14/BS!D$14</f>
        <v>1</v>
      </c>
      <c r="E20" s="84">
        <f>BS!E14/BS!E$14</f>
        <v>1</v>
      </c>
      <c r="F20" s="84">
        <f>BS!F14/BS!F$14</f>
        <v>1</v>
      </c>
      <c r="G20" s="84">
        <f>BS!G14/BS!G$14</f>
        <v>1</v>
      </c>
      <c r="H20" s="84">
        <f>BS!H14/BS!H$14</f>
        <v>1</v>
      </c>
    </row>
    <row r="21" spans="2:8">
      <c r="B21" s="79"/>
      <c r="C21" s="84"/>
      <c r="D21" s="84"/>
      <c r="E21" s="84"/>
      <c r="F21" s="84"/>
      <c r="G21" s="84"/>
      <c r="H21" s="84"/>
    </row>
    <row r="22" spans="2:8">
      <c r="B22" s="47" t="s">
        <v>231</v>
      </c>
      <c r="C22" s="84">
        <f>BS!C9/BS!C$14</f>
        <v>8.9242605733971941E-3</v>
      </c>
      <c r="D22" s="84">
        <f>BS!D9/BS!D$14</f>
        <v>2.0945938213959681E-2</v>
      </c>
      <c r="E22" s="84">
        <f>BS!E9/BS!E$14</f>
        <v>4.7197915316500921E-3</v>
      </c>
      <c r="F22" s="84">
        <f>BS!F9/BS!F$14</f>
        <v>3.5024656391033702E-3</v>
      </c>
      <c r="G22" s="84">
        <f>BS!G9/BS!G$14</f>
        <v>1.3649111847932978E-3</v>
      </c>
      <c r="H22" s="84">
        <f>BS!H9/BS!H$14</f>
        <v>1.2013673298339109E-3</v>
      </c>
    </row>
    <row r="23" spans="2:8">
      <c r="B23" s="47" t="s">
        <v>223</v>
      </c>
      <c r="C23" s="84">
        <f>BS!C10/BS!C$14</f>
        <v>0.13902328180453255</v>
      </c>
      <c r="D23" s="84">
        <f>BS!D10/BS!D$14</f>
        <v>0.21743607430154974</v>
      </c>
      <c r="E23" s="84">
        <f>BS!E10/BS!E$14</f>
        <v>0.1623920455757201</v>
      </c>
      <c r="F23" s="84">
        <f>BS!F10/BS!F$14</f>
        <v>0.18468988799970412</v>
      </c>
      <c r="G23" s="84">
        <f>BS!G10/BS!G$14</f>
        <v>0.16667561144061915</v>
      </c>
      <c r="H23" s="84">
        <f>BS!H10/BS!H$14</f>
        <v>0.18956839454143223</v>
      </c>
    </row>
    <row r="24" spans="2:8">
      <c r="B24" s="47" t="s">
        <v>224</v>
      </c>
      <c r="C24" s="84">
        <f>BS!C11/BS!C$14</f>
        <v>0.53559555374799062</v>
      </c>
      <c r="D24" s="84">
        <f>BS!D11/BS!D$14</f>
        <v>0.48507757023842502</v>
      </c>
      <c r="E24" s="84">
        <f>BS!E11/BS!E$14</f>
        <v>0.37086275213630099</v>
      </c>
      <c r="F24" s="84">
        <f>BS!F11/BS!F$14</f>
        <v>0.36037152591019744</v>
      </c>
      <c r="G24" s="84">
        <f>BS!G11/BS!G$14</f>
        <v>0.33500985858059101</v>
      </c>
      <c r="H24" s="84">
        <f>BS!H11/BS!H$14</f>
        <v>0.40289970907489847</v>
      </c>
    </row>
    <row r="25" spans="2:8">
      <c r="B25" s="47" t="s">
        <v>225</v>
      </c>
      <c r="C25" s="84">
        <f>BS!C12/BS!C$14</f>
        <v>0.10510989492531314</v>
      </c>
      <c r="D25" s="84">
        <f>BS!D12/BS!D$14</f>
        <v>0.11978741505305084</v>
      </c>
      <c r="E25" s="84">
        <f>BS!E12/BS!E$14</f>
        <v>0.13917046401035524</v>
      </c>
      <c r="F25" s="84">
        <f>BS!F12/BS!F$14</f>
        <v>0.12875646368316199</v>
      </c>
      <c r="G25" s="84">
        <f>BS!G12/BS!G$14</f>
        <v>0.1406716738738083</v>
      </c>
      <c r="H25" s="84">
        <f>BS!H12/BS!H$14</f>
        <v>0.11912143425601533</v>
      </c>
    </row>
    <row r="26" spans="2:8">
      <c r="B26" s="47" t="s">
        <v>226</v>
      </c>
      <c r="C26" s="84">
        <f>BS!C13/BS!C$14</f>
        <v>0.46440444625200944</v>
      </c>
      <c r="D26" s="84">
        <f>BS!D13/BS!D$14</f>
        <v>0.51492242976157498</v>
      </c>
      <c r="E26" s="84">
        <f>BS!E13/BS!E$14</f>
        <v>0.62913722838722841</v>
      </c>
      <c r="F26" s="84">
        <f>BS!F13/BS!F$14</f>
        <v>0.63962847408980261</v>
      </c>
      <c r="G26" s="84">
        <f>BS!G13/BS!G$14</f>
        <v>0.66499014141940893</v>
      </c>
      <c r="H26" s="84">
        <f>BS!H13/BS!H$14</f>
        <v>0.59710029092510142</v>
      </c>
    </row>
    <row r="27" spans="2:8">
      <c r="C27" s="85"/>
      <c r="D27" s="85"/>
      <c r="E27" s="85"/>
      <c r="F27" s="85"/>
      <c r="G27" s="85"/>
      <c r="H27" s="85"/>
    </row>
  </sheetData>
  <mergeCells count="2">
    <mergeCell ref="B2:H2"/>
    <mergeCell ref="B16:H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CA730-09F4-4D8E-9F66-5C2CA8C8285D}">
  <sheetPr codeName="Sheet10"/>
  <dimension ref="A2:V22"/>
  <sheetViews>
    <sheetView showGridLines="0" topLeftCell="E1" workbookViewId="0">
      <selection activeCell="R11" sqref="R11"/>
    </sheetView>
  </sheetViews>
  <sheetFormatPr defaultRowHeight="14.4"/>
  <cols>
    <col min="1" max="1" width="1.88671875" style="76" customWidth="1"/>
    <col min="2" max="2" width="15.21875" style="76" customWidth="1"/>
    <col min="3" max="3" width="16.5546875" style="76" bestFit="1" customWidth="1"/>
    <col min="4" max="4" width="14.6640625" style="76" bestFit="1" customWidth="1"/>
    <col min="5" max="5" width="30" style="76" customWidth="1"/>
    <col min="6" max="16" width="8.88671875" style="76"/>
    <col min="17" max="17" width="19.33203125" style="76" customWidth="1"/>
    <col min="18" max="18" width="25.33203125" style="76" customWidth="1"/>
    <col min="19" max="21" width="8.88671875" style="76"/>
    <col min="22" max="22" width="16.5546875" style="76" customWidth="1"/>
    <col min="23" max="16384" width="8.88671875" style="76"/>
  </cols>
  <sheetData>
    <row r="2" spans="1:21">
      <c r="B2" s="82" t="s">
        <v>282</v>
      </c>
    </row>
    <row r="3" spans="1:21">
      <c r="B3" s="428" t="str">
        <f>"Sales Forecasting using Linear Regression"&amp;" - "&amp;BS!$B$2</f>
        <v>Sales Forecasting using Linear Regression - Ismail Industries Limited</v>
      </c>
      <c r="C3" s="428"/>
      <c r="D3" s="428"/>
      <c r="E3" s="428"/>
      <c r="Q3" s="429" t="s">
        <v>59</v>
      </c>
      <c r="R3" s="429"/>
      <c r="S3" s="86"/>
      <c r="T3" s="86"/>
      <c r="U3" s="86"/>
    </row>
    <row r="4" spans="1:21">
      <c r="B4" s="82" t="s">
        <v>60</v>
      </c>
      <c r="C4" s="82" t="s">
        <v>61</v>
      </c>
      <c r="D4" s="82" t="s">
        <v>58</v>
      </c>
      <c r="E4" s="82" t="s">
        <v>62</v>
      </c>
      <c r="Q4" s="82" t="s">
        <v>23</v>
      </c>
      <c r="R4" s="82" t="s">
        <v>58</v>
      </c>
      <c r="S4" s="87"/>
    </row>
    <row r="5" spans="1:21">
      <c r="B5" s="83">
        <v>1</v>
      </c>
      <c r="C5" s="83">
        <v>2019</v>
      </c>
      <c r="D5" s="88">
        <f>Pnl!H$9</f>
        <v>30090888.452</v>
      </c>
      <c r="E5" s="83" t="s">
        <v>22</v>
      </c>
      <c r="Q5" s="83">
        <f>C5</f>
        <v>2019</v>
      </c>
      <c r="R5" s="89">
        <f>D5</f>
        <v>30090888.452</v>
      </c>
    </row>
    <row r="6" spans="1:21">
      <c r="B6" s="83">
        <v>2</v>
      </c>
      <c r="C6" s="83">
        <f>C5+1</f>
        <v>2020</v>
      </c>
      <c r="D6" s="88">
        <f>Pnl!G$9</f>
        <v>33218273</v>
      </c>
      <c r="E6" s="80">
        <f>(D6-D5)/D5</f>
        <v>0.10393127982873293</v>
      </c>
      <c r="Q6" s="83">
        <f>Q5+1</f>
        <v>2020</v>
      </c>
      <c r="R6" s="89">
        <f t="shared" ref="R6:R10" si="0">D6</f>
        <v>33218273</v>
      </c>
    </row>
    <row r="7" spans="1:21">
      <c r="B7" s="83">
        <v>3</v>
      </c>
      <c r="C7" s="83">
        <f t="shared" ref="C7:C10" si="1">C6+1</f>
        <v>2021</v>
      </c>
      <c r="D7" s="88">
        <f>Pnl!F$9</f>
        <v>37307760</v>
      </c>
      <c r="E7" s="80">
        <f t="shared" ref="E7:E16" si="2">(D7-D6)/D6</f>
        <v>0.12310956081311031</v>
      </c>
      <c r="Q7" s="83">
        <f t="shared" ref="Q7:Q16" si="3">Q6+1</f>
        <v>2021</v>
      </c>
      <c r="R7" s="89">
        <f t="shared" si="0"/>
        <v>37307760</v>
      </c>
    </row>
    <row r="8" spans="1:21">
      <c r="B8" s="83">
        <v>4</v>
      </c>
      <c r="C8" s="83">
        <f t="shared" si="1"/>
        <v>2022</v>
      </c>
      <c r="D8" s="88">
        <f>Pnl!E$9</f>
        <v>55260699</v>
      </c>
      <c r="E8" s="80">
        <f t="shared" si="2"/>
        <v>0.48121192481135294</v>
      </c>
      <c r="Q8" s="83">
        <f t="shared" si="3"/>
        <v>2022</v>
      </c>
      <c r="R8" s="89">
        <f t="shared" si="0"/>
        <v>55260699</v>
      </c>
    </row>
    <row r="9" spans="1:21">
      <c r="B9" s="83">
        <v>5</v>
      </c>
      <c r="C9" s="83">
        <f t="shared" si="1"/>
        <v>2023</v>
      </c>
      <c r="D9" s="88">
        <f>Pnl!D$9</f>
        <v>88905796</v>
      </c>
      <c r="E9" s="80">
        <f t="shared" si="2"/>
        <v>0.60884313099260656</v>
      </c>
      <c r="Q9" s="83">
        <f t="shared" si="3"/>
        <v>2023</v>
      </c>
      <c r="R9" s="89">
        <f t="shared" si="0"/>
        <v>88905796</v>
      </c>
    </row>
    <row r="10" spans="1:21">
      <c r="B10" s="83">
        <v>6</v>
      </c>
      <c r="C10" s="83">
        <f t="shared" si="1"/>
        <v>2024</v>
      </c>
      <c r="D10" s="88">
        <f>Pnl!C$9</f>
        <v>108887024</v>
      </c>
      <c r="E10" s="80">
        <f t="shared" si="2"/>
        <v>0.2247460671742931</v>
      </c>
      <c r="Q10" s="83">
        <f t="shared" si="3"/>
        <v>2024</v>
      </c>
      <c r="R10" s="89">
        <f t="shared" si="0"/>
        <v>108887024</v>
      </c>
    </row>
    <row r="11" spans="1:21" ht="15" customHeight="1">
      <c r="A11" s="90"/>
      <c r="B11" s="91">
        <v>8</v>
      </c>
      <c r="C11" s="91" t="s">
        <v>63</v>
      </c>
      <c r="D11" s="92">
        <f>FORECAST(B11,$D$5:$D$10,$B$5:$B$10)</f>
        <v>133387440.14666668</v>
      </c>
      <c r="E11" s="324">
        <f t="shared" si="2"/>
        <v>0.2250076753559421</v>
      </c>
      <c r="Q11" s="94">
        <v>2025</v>
      </c>
      <c r="R11" s="92">
        <f>_xlfn.FORECAST.ETS(Q11,R5:R10,Q5:Q10,0,0,1)</f>
        <v>126389257.81548192</v>
      </c>
    </row>
    <row r="12" spans="1:21">
      <c r="A12" s="90"/>
      <c r="B12" s="91">
        <v>9</v>
      </c>
      <c r="C12" s="91" t="s">
        <v>64</v>
      </c>
      <c r="D12" s="92">
        <f>FORECAST(B12,$D$5:$D$10,$B$5:$B$10)</f>
        <v>149930188.31066668</v>
      </c>
      <c r="E12" s="93">
        <f t="shared" si="2"/>
        <v>0.12402028366246748</v>
      </c>
      <c r="Q12" s="94">
        <f t="shared" si="3"/>
        <v>2026</v>
      </c>
      <c r="R12" s="92">
        <f t="shared" ref="R12:R16" si="4">_xlfn.FORECAST.ETS(Q12,R6:R11,Q6:Q11,0,0,1)</f>
        <v>148665311.88283736</v>
      </c>
    </row>
    <row r="13" spans="1:21">
      <c r="A13" s="90"/>
      <c r="B13" s="91">
        <v>10</v>
      </c>
      <c r="C13" s="91" t="s">
        <v>65</v>
      </c>
      <c r="D13" s="92">
        <f>FORECAST(B13,$D$5:$D$10,$B$5:$B$10)</f>
        <v>166472936.47466668</v>
      </c>
      <c r="E13" s="93">
        <f t="shared" si="2"/>
        <v>0.11033633953505201</v>
      </c>
      <c r="Q13" s="94">
        <f t="shared" si="3"/>
        <v>2027</v>
      </c>
      <c r="R13" s="92">
        <f t="shared" si="4"/>
        <v>172468232.69209984</v>
      </c>
    </row>
    <row r="14" spans="1:21">
      <c r="A14" s="90"/>
      <c r="B14" s="91">
        <v>11</v>
      </c>
      <c r="C14" s="91" t="s">
        <v>66</v>
      </c>
      <c r="D14" s="92">
        <f t="shared" ref="D14:D16" si="5">FORECAST(B14,$D$5:$D$10,$B$5:$B$10)</f>
        <v>183015684.63866669</v>
      </c>
      <c r="E14" s="93">
        <f t="shared" si="2"/>
        <v>9.9371997120489469E-2</v>
      </c>
      <c r="Q14" s="94">
        <f t="shared" si="3"/>
        <v>2028</v>
      </c>
      <c r="R14" s="92">
        <f t="shared" si="4"/>
        <v>193770804.16362223</v>
      </c>
    </row>
    <row r="15" spans="1:21">
      <c r="A15" s="90"/>
      <c r="B15" s="91">
        <v>12</v>
      </c>
      <c r="C15" s="91" t="s">
        <v>67</v>
      </c>
      <c r="D15" s="92">
        <f t="shared" si="5"/>
        <v>199558432.80266666</v>
      </c>
      <c r="E15" s="93">
        <f t="shared" si="2"/>
        <v>9.0389783786350417E-2</v>
      </c>
      <c r="Q15" s="94">
        <f t="shared" si="3"/>
        <v>2029</v>
      </c>
      <c r="R15" s="92">
        <f t="shared" si="4"/>
        <v>214989649.48313701</v>
      </c>
    </row>
    <row r="16" spans="1:21">
      <c r="A16" s="90"/>
      <c r="B16" s="91">
        <v>13</v>
      </c>
      <c r="C16" s="91" t="s">
        <v>283</v>
      </c>
      <c r="D16" s="92">
        <f t="shared" si="5"/>
        <v>216101180.96666667</v>
      </c>
      <c r="E16" s="93">
        <f t="shared" si="2"/>
        <v>8.2896763277141489E-2</v>
      </c>
      <c r="Q16" s="94">
        <f t="shared" si="3"/>
        <v>2030</v>
      </c>
      <c r="R16" s="92">
        <f t="shared" si="4"/>
        <v>236977017.58937654</v>
      </c>
    </row>
    <row r="17" spans="2:22">
      <c r="R17" s="85"/>
    </row>
    <row r="18" spans="2:22">
      <c r="B18" s="95" t="s">
        <v>68</v>
      </c>
      <c r="Q18" s="95" t="s">
        <v>68</v>
      </c>
    </row>
    <row r="19" spans="2:22" ht="14.4" customHeight="1">
      <c r="B19" s="430" t="s">
        <v>69</v>
      </c>
      <c r="C19" s="430"/>
      <c r="D19" s="430"/>
      <c r="E19" s="430"/>
      <c r="F19" s="430"/>
      <c r="G19" s="430"/>
      <c r="Q19" s="97" t="s">
        <v>70</v>
      </c>
      <c r="R19" s="98"/>
    </row>
    <row r="20" spans="2:22">
      <c r="B20" s="96"/>
      <c r="C20" s="96"/>
      <c r="D20" s="96"/>
      <c r="E20" s="96"/>
      <c r="F20" s="96"/>
      <c r="R20" s="85"/>
    </row>
    <row r="21" spans="2:22">
      <c r="C21" s="99"/>
      <c r="D21" s="67"/>
      <c r="Q21" s="83"/>
      <c r="R21" s="89"/>
      <c r="V21" s="100"/>
    </row>
    <row r="22" spans="2:22">
      <c r="Q22" s="83"/>
      <c r="R22" s="89"/>
      <c r="V22" s="100"/>
    </row>
  </sheetData>
  <mergeCells count="3">
    <mergeCell ref="B3:E3"/>
    <mergeCell ref="Q3:R3"/>
    <mergeCell ref="B19:G1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6DBD1-7900-44C2-8A7C-B0AA5F6A7FC4}">
  <sheetPr codeName="Sheet11"/>
  <dimension ref="B2:J30"/>
  <sheetViews>
    <sheetView showGridLines="0" workbookViewId="0">
      <selection activeCell="B21" sqref="B21:I30"/>
    </sheetView>
  </sheetViews>
  <sheetFormatPr defaultRowHeight="14.4"/>
  <cols>
    <col min="1" max="1" width="5.21875" style="2" customWidth="1"/>
    <col min="2" max="2" width="12.109375" style="2" customWidth="1"/>
    <col min="3" max="3" width="16.5546875" style="2" customWidth="1"/>
    <col min="4" max="4" width="14.88671875" style="2" customWidth="1"/>
    <col min="5" max="5" width="15" style="2" customWidth="1"/>
    <col min="6" max="16384" width="8.88671875" style="2"/>
  </cols>
  <sheetData>
    <row r="2" spans="2:10">
      <c r="B2" s="428" t="str">
        <f>"Sales Forecasting Part II"&amp;" - "&amp;BS!$B$2</f>
        <v>Sales Forecasting Part II - Ismail Industries Limited</v>
      </c>
      <c r="C2" s="428"/>
      <c r="D2" s="428"/>
      <c r="E2" s="428"/>
      <c r="F2" s="428"/>
      <c r="G2" s="428"/>
      <c r="H2" s="428"/>
    </row>
    <row r="3" spans="2:10">
      <c r="I3" s="102" t="s">
        <v>71</v>
      </c>
      <c r="J3" s="2">
        <v>0.8</v>
      </c>
    </row>
    <row r="4" spans="2:10">
      <c r="B4" s="428" t="s">
        <v>72</v>
      </c>
      <c r="C4" s="428"/>
      <c r="D4" s="428"/>
      <c r="E4" s="428"/>
      <c r="F4" s="87"/>
      <c r="G4" s="87"/>
      <c r="H4" s="87"/>
      <c r="I4" s="102"/>
    </row>
    <row r="5" spans="2:10">
      <c r="B5" s="82" t="s">
        <v>23</v>
      </c>
      <c r="C5" s="82" t="s">
        <v>58</v>
      </c>
      <c r="D5" s="82" t="s">
        <v>73</v>
      </c>
      <c r="E5" s="82" t="s">
        <v>24</v>
      </c>
      <c r="I5" s="102" t="s">
        <v>74</v>
      </c>
      <c r="J5" s="2">
        <v>0.2</v>
      </c>
    </row>
    <row r="6" spans="2:10">
      <c r="B6" s="2">
        <f>'Forecasting-Sales'!C5</f>
        <v>2019</v>
      </c>
      <c r="C6" s="31">
        <f>'Forecasting-Sales'!D5</f>
        <v>30090888.452</v>
      </c>
      <c r="D6" s="31">
        <f>C6</f>
        <v>30090888.452</v>
      </c>
      <c r="E6" s="103">
        <f>0</f>
        <v>0</v>
      </c>
    </row>
    <row r="7" spans="2:10">
      <c r="B7" s="2">
        <f>'Forecasting-Sales'!C6</f>
        <v>2020</v>
      </c>
      <c r="C7" s="31">
        <f>'Forecasting-Sales'!D6</f>
        <v>33218273</v>
      </c>
      <c r="D7" s="31">
        <f>($J$3*C7)+((1-$J$3)*(D6+E6))</f>
        <v>32592796.090400003</v>
      </c>
      <c r="E7" s="31">
        <f>($J$5*(D7-D6))+((1-$J$5)*E6)</f>
        <v>500381.5276800007</v>
      </c>
    </row>
    <row r="8" spans="2:10">
      <c r="B8" s="2">
        <f>'Forecasting-Sales'!C7</f>
        <v>2021</v>
      </c>
      <c r="C8" s="31">
        <f>'Forecasting-Sales'!D7</f>
        <v>37307760</v>
      </c>
      <c r="D8" s="31">
        <f>($J$3*C8)+((1-$J$3)*(D7+E7))</f>
        <v>36464843.523616001</v>
      </c>
      <c r="E8" s="31">
        <f t="shared" ref="E8:E11" si="0">($J$5*(D8-D7))+((1-$J$5)*E7)</f>
        <v>1174714.7087872003</v>
      </c>
    </row>
    <row r="9" spans="2:10">
      <c r="B9" s="2">
        <f>'Forecasting-Sales'!C8</f>
        <v>2022</v>
      </c>
      <c r="C9" s="31">
        <f>'Forecasting-Sales'!D8</f>
        <v>55260699</v>
      </c>
      <c r="D9" s="31">
        <f t="shared" ref="D9:D11" si="1">($J$3*C9)+((1-$J$3)*(D8+E8))</f>
        <v>51736470.846480645</v>
      </c>
      <c r="E9" s="31">
        <f t="shared" si="0"/>
        <v>3994097.2316026893</v>
      </c>
    </row>
    <row r="10" spans="2:10">
      <c r="B10" s="2">
        <f>'Forecasting-Sales'!C9</f>
        <v>2023</v>
      </c>
      <c r="C10" s="31">
        <f>'Forecasting-Sales'!D9</f>
        <v>88905796</v>
      </c>
      <c r="D10" s="31">
        <f t="shared" si="1"/>
        <v>82270750.415616661</v>
      </c>
      <c r="E10" s="31">
        <f t="shared" si="0"/>
        <v>9302133.699109355</v>
      </c>
    </row>
    <row r="11" spans="2:10">
      <c r="B11" s="2">
        <f>'Forecasting-Sales'!C10</f>
        <v>2024</v>
      </c>
      <c r="C11" s="31">
        <f>'Forecasting-Sales'!D10</f>
        <v>108887024</v>
      </c>
      <c r="D11" s="31">
        <f t="shared" si="1"/>
        <v>105424196.0229452</v>
      </c>
      <c r="E11" s="31">
        <f t="shared" si="0"/>
        <v>12072396.080753192</v>
      </c>
    </row>
    <row r="12" spans="2:10">
      <c r="B12" s="104" t="s">
        <v>75</v>
      </c>
      <c r="C12" s="105">
        <f>$D$11+(1*$E$11)</f>
        <v>117496592.10369839</v>
      </c>
    </row>
    <row r="13" spans="2:10">
      <c r="B13" s="104" t="s">
        <v>76</v>
      </c>
      <c r="C13" s="105">
        <f>$D$11+(2*$E$11)</f>
        <v>129568988.18445158</v>
      </c>
    </row>
    <row r="14" spans="2:10">
      <c r="B14" s="104" t="s">
        <v>77</v>
      </c>
      <c r="C14" s="105">
        <f>$D$11+(3*$E$11)</f>
        <v>141641384.26520479</v>
      </c>
    </row>
    <row r="15" spans="2:10">
      <c r="B15" s="104" t="s">
        <v>78</v>
      </c>
      <c r="C15" s="105">
        <f>$D$11+(4*$E$11)</f>
        <v>153713780.34595796</v>
      </c>
    </row>
    <row r="16" spans="2:10">
      <c r="B16" s="104" t="s">
        <v>79</v>
      </c>
      <c r="C16" s="105">
        <f>$D$11+(5*$E$11)</f>
        <v>165786176.42671114</v>
      </c>
    </row>
    <row r="17" spans="2:9">
      <c r="B17" s="104" t="s">
        <v>80</v>
      </c>
      <c r="C17" s="105">
        <f>$D$11+(6*$E$11)</f>
        <v>177858572.50746435</v>
      </c>
    </row>
    <row r="18" spans="2:9">
      <c r="B18" s="104" t="s">
        <v>398</v>
      </c>
      <c r="C18" s="105">
        <f>$D$11+(7*$E$11)</f>
        <v>189930968.58821756</v>
      </c>
    </row>
    <row r="20" spans="2:9">
      <c r="B20" s="82" t="s">
        <v>81</v>
      </c>
    </row>
    <row r="21" spans="2:9" ht="30" customHeight="1">
      <c r="B21" s="431" t="s">
        <v>82</v>
      </c>
      <c r="C21" s="431"/>
      <c r="D21" s="431"/>
      <c r="E21" s="431"/>
      <c r="F21" s="431"/>
      <c r="G21" s="431"/>
      <c r="H21" s="431"/>
      <c r="I21" s="431"/>
    </row>
    <row r="22" spans="2:9">
      <c r="B22" s="431"/>
      <c r="C22" s="431"/>
      <c r="D22" s="431"/>
      <c r="E22" s="431"/>
      <c r="F22" s="431"/>
      <c r="G22" s="431"/>
      <c r="H22" s="431"/>
      <c r="I22" s="431"/>
    </row>
    <row r="23" spans="2:9">
      <c r="B23" s="431"/>
      <c r="C23" s="431"/>
      <c r="D23" s="431"/>
      <c r="E23" s="431"/>
      <c r="F23" s="431"/>
      <c r="G23" s="431"/>
      <c r="H23" s="431"/>
      <c r="I23" s="431"/>
    </row>
    <row r="24" spans="2:9">
      <c r="B24" s="431"/>
      <c r="C24" s="431"/>
      <c r="D24" s="431"/>
      <c r="E24" s="431"/>
      <c r="F24" s="431"/>
      <c r="G24" s="431"/>
      <c r="H24" s="431"/>
      <c r="I24" s="431"/>
    </row>
    <row r="25" spans="2:9">
      <c r="B25" s="431"/>
      <c r="C25" s="431"/>
      <c r="D25" s="431"/>
      <c r="E25" s="431"/>
      <c r="F25" s="431"/>
      <c r="G25" s="431"/>
      <c r="H25" s="431"/>
      <c r="I25" s="431"/>
    </row>
    <row r="26" spans="2:9">
      <c r="B26" s="431"/>
      <c r="C26" s="431"/>
      <c r="D26" s="431"/>
      <c r="E26" s="431"/>
      <c r="F26" s="431"/>
      <c r="G26" s="431"/>
      <c r="H26" s="431"/>
      <c r="I26" s="431"/>
    </row>
    <row r="27" spans="2:9">
      <c r="B27" s="431"/>
      <c r="C27" s="431"/>
      <c r="D27" s="431"/>
      <c r="E27" s="431"/>
      <c r="F27" s="431"/>
      <c r="G27" s="431"/>
      <c r="H27" s="431"/>
      <c r="I27" s="431"/>
    </row>
    <row r="28" spans="2:9">
      <c r="B28" s="431"/>
      <c r="C28" s="431"/>
      <c r="D28" s="431"/>
      <c r="E28" s="431"/>
      <c r="F28" s="431"/>
      <c r="G28" s="431"/>
      <c r="H28" s="431"/>
      <c r="I28" s="431"/>
    </row>
    <row r="29" spans="2:9">
      <c r="B29" s="431"/>
      <c r="C29" s="431"/>
      <c r="D29" s="431"/>
      <c r="E29" s="431"/>
      <c r="F29" s="431"/>
      <c r="G29" s="431"/>
      <c r="H29" s="431"/>
      <c r="I29" s="431"/>
    </row>
    <row r="30" spans="2:9">
      <c r="B30" s="431"/>
      <c r="C30" s="431"/>
      <c r="D30" s="431"/>
      <c r="E30" s="431"/>
      <c r="F30" s="431"/>
      <c r="G30" s="431"/>
      <c r="H30" s="431"/>
      <c r="I30" s="431"/>
    </row>
  </sheetData>
  <mergeCells count="3">
    <mergeCell ref="B2:H2"/>
    <mergeCell ref="B4:E4"/>
    <mergeCell ref="B21:I3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7E236-A9CD-4F37-A750-7B8A69C332C2}">
  <sheetPr codeName="Sheet12"/>
  <dimension ref="B2:K39"/>
  <sheetViews>
    <sheetView showGridLines="0" topLeftCell="A25" workbookViewId="0">
      <selection activeCell="B42" sqref="B42"/>
    </sheetView>
  </sheetViews>
  <sheetFormatPr defaultRowHeight="14.4"/>
  <cols>
    <col min="1" max="1" width="1.88671875" style="76" customWidth="1"/>
    <col min="2" max="2" width="19.77734375" style="76" customWidth="1"/>
    <col min="3" max="3" width="17.21875" style="76" customWidth="1"/>
    <col min="4" max="4" width="14.109375" style="76" customWidth="1"/>
    <col min="5" max="5" width="27.109375" style="76" customWidth="1"/>
    <col min="6" max="16384" width="8.88671875" style="76"/>
  </cols>
  <sheetData>
    <row r="2" spans="2:5">
      <c r="B2" s="428" t="str">
        <f>"Net Profit (PAT) Forecasting using Linear Regerssion"&amp;" - "&amp;BS!B2</f>
        <v>Net Profit (PAT) Forecasting using Linear Regerssion - Ismail Industries Limited</v>
      </c>
      <c r="C2" s="428"/>
      <c r="D2" s="428"/>
      <c r="E2" s="428"/>
    </row>
    <row r="3" spans="2:5">
      <c r="B3" s="82" t="s">
        <v>60</v>
      </c>
      <c r="C3" s="82" t="s">
        <v>61</v>
      </c>
      <c r="D3" s="82" t="s">
        <v>83</v>
      </c>
      <c r="E3" s="82" t="s">
        <v>84</v>
      </c>
    </row>
    <row r="4" spans="2:5">
      <c r="B4" s="83">
        <v>1</v>
      </c>
      <c r="C4" s="83">
        <f>'Forecasting-Sales'!C5</f>
        <v>2019</v>
      </c>
      <c r="D4" s="88">
        <f>Pnl!H$17</f>
        <v>966597.84200000018</v>
      </c>
      <c r="E4" s="83" t="s">
        <v>22</v>
      </c>
    </row>
    <row r="5" spans="2:5">
      <c r="B5" s="83">
        <v>2</v>
      </c>
      <c r="C5" s="83">
        <f>'Forecasting-Sales'!C6</f>
        <v>2020</v>
      </c>
      <c r="D5" s="88">
        <f>Pnl!G$17</f>
        <v>931965</v>
      </c>
      <c r="E5" s="106">
        <f>(D5-D4)/D4</f>
        <v>-3.5829628926483961E-2</v>
      </c>
    </row>
    <row r="6" spans="2:5">
      <c r="B6" s="83">
        <v>3</v>
      </c>
      <c r="C6" s="83">
        <f>'Forecasting-Sales'!C7</f>
        <v>2021</v>
      </c>
      <c r="D6" s="88">
        <f>Pnl!F$17</f>
        <v>1776666</v>
      </c>
      <c r="E6" s="106">
        <f t="shared" ref="E6:E15" si="0">(D6-D5)/D5</f>
        <v>0.90636558239848064</v>
      </c>
    </row>
    <row r="7" spans="2:5">
      <c r="B7" s="83">
        <v>4</v>
      </c>
      <c r="C7" s="83">
        <f>'Forecasting-Sales'!C8</f>
        <v>2022</v>
      </c>
      <c r="D7" s="88">
        <f>Pnl!E$17</f>
        <v>2551021</v>
      </c>
      <c r="E7" s="106">
        <f t="shared" si="0"/>
        <v>0.43584725547739417</v>
      </c>
    </row>
    <row r="8" spans="2:5">
      <c r="B8" s="83">
        <v>5</v>
      </c>
      <c r="C8" s="83">
        <f>'Forecasting-Sales'!C9</f>
        <v>2023</v>
      </c>
      <c r="D8" s="88">
        <f>Pnl!D$17</f>
        <v>6381685</v>
      </c>
      <c r="E8" s="106">
        <f t="shared" si="0"/>
        <v>1.5016199396241741</v>
      </c>
    </row>
    <row r="9" spans="2:5">
      <c r="B9" s="83">
        <v>6</v>
      </c>
      <c r="C9" s="83">
        <f>'Forecasting-Sales'!C10</f>
        <v>2024</v>
      </c>
      <c r="D9" s="88">
        <f>Pnl!C$17</f>
        <v>6132050</v>
      </c>
      <c r="E9" s="106">
        <f t="shared" si="0"/>
        <v>-3.9117411780744425E-2</v>
      </c>
    </row>
    <row r="10" spans="2:5">
      <c r="B10" s="91">
        <v>8</v>
      </c>
      <c r="C10" s="91" t="s">
        <v>63</v>
      </c>
      <c r="D10" s="92">
        <f t="shared" ref="D10:D15" si="1">FORECAST(B10,$D$4:$D$9,$B$4:$B$9)</f>
        <v>8645573.4085714277</v>
      </c>
      <c r="E10" s="107">
        <f t="shared" si="0"/>
        <v>0.40989936621055401</v>
      </c>
    </row>
    <row r="11" spans="2:5">
      <c r="B11" s="91">
        <v>9</v>
      </c>
      <c r="C11" s="91" t="s">
        <v>64</v>
      </c>
      <c r="D11" s="92">
        <f t="shared" si="1"/>
        <v>9872738.4311428554</v>
      </c>
      <c r="E11" s="107">
        <f t="shared" si="0"/>
        <v>0.14194142650559038</v>
      </c>
    </row>
    <row r="12" spans="2:5">
      <c r="B12" s="91">
        <v>10</v>
      </c>
      <c r="C12" s="91" t="s">
        <v>65</v>
      </c>
      <c r="D12" s="92">
        <f t="shared" si="1"/>
        <v>11099903.453714285</v>
      </c>
      <c r="E12" s="107">
        <f t="shared" si="0"/>
        <v>0.12429834246397375</v>
      </c>
    </row>
    <row r="13" spans="2:5">
      <c r="B13" s="91">
        <v>11</v>
      </c>
      <c r="C13" s="91" t="s">
        <v>66</v>
      </c>
      <c r="D13" s="92">
        <f t="shared" si="1"/>
        <v>12327068.476285713</v>
      </c>
      <c r="E13" s="107">
        <f t="shared" si="0"/>
        <v>0.11055636904308297</v>
      </c>
    </row>
    <row r="14" spans="2:5">
      <c r="B14" s="91">
        <v>12</v>
      </c>
      <c r="C14" s="91" t="s">
        <v>67</v>
      </c>
      <c r="D14" s="92">
        <f t="shared" si="1"/>
        <v>13554233.498857141</v>
      </c>
      <c r="E14" s="107">
        <f t="shared" si="0"/>
        <v>9.9550434471277205E-2</v>
      </c>
    </row>
    <row r="15" spans="2:5">
      <c r="B15" s="91">
        <v>13</v>
      </c>
      <c r="C15" s="91" t="s">
        <v>283</v>
      </c>
      <c r="D15" s="92">
        <f t="shared" si="1"/>
        <v>14781398.52142857</v>
      </c>
      <c r="E15" s="107">
        <f t="shared" si="0"/>
        <v>9.0537397240124357E-2</v>
      </c>
    </row>
    <row r="17" spans="2:6">
      <c r="B17" s="95" t="s">
        <v>68</v>
      </c>
      <c r="C17" s="108"/>
      <c r="D17" s="108"/>
      <c r="E17" s="108"/>
      <c r="F17" s="108"/>
    </row>
    <row r="18" spans="2:6" ht="15" customHeight="1">
      <c r="B18" s="430" t="s">
        <v>85</v>
      </c>
      <c r="C18" s="430"/>
      <c r="D18" s="430"/>
      <c r="E18" s="430"/>
      <c r="F18" s="430"/>
    </row>
    <row r="19" spans="2:6">
      <c r="B19" s="430"/>
      <c r="C19" s="430"/>
      <c r="D19" s="430"/>
      <c r="E19" s="430"/>
      <c r="F19" s="430"/>
    </row>
    <row r="23" spans="2:6">
      <c r="B23" s="428" t="str">
        <f>"EBITDA Margin Forecasting"&amp;" - "&amp;BS!$B$2</f>
        <v>EBITDA Margin Forecasting - Ismail Industries Limited</v>
      </c>
      <c r="C23" s="428"/>
      <c r="D23" s="428"/>
      <c r="E23" s="428"/>
    </row>
    <row r="24" spans="2:6">
      <c r="B24" s="82" t="s">
        <v>60</v>
      </c>
      <c r="C24" s="82" t="s">
        <v>61</v>
      </c>
      <c r="D24" s="82" t="s">
        <v>284</v>
      </c>
      <c r="E24" s="82" t="s">
        <v>285</v>
      </c>
    </row>
    <row r="25" spans="2:6">
      <c r="B25" s="83">
        <v>1</v>
      </c>
      <c r="C25" s="83">
        <f>C4</f>
        <v>2019</v>
      </c>
      <c r="D25" s="300">
        <f>'Ratio Analysis-Profitability'!H$12</f>
        <v>0.1132</v>
      </c>
      <c r="E25" s="83" t="s">
        <v>22</v>
      </c>
    </row>
    <row r="26" spans="2:6">
      <c r="B26" s="83">
        <v>2</v>
      </c>
      <c r="C26" s="83">
        <f t="shared" ref="C26:C36" si="2">C5</f>
        <v>2020</v>
      </c>
      <c r="D26" s="300">
        <f>'Ratio Analysis-Profitability'!G$12</f>
        <v>0.1139</v>
      </c>
      <c r="E26" s="106">
        <f>(D26-D25)/D25</f>
        <v>6.1837455830389245E-3</v>
      </c>
    </row>
    <row r="27" spans="2:6">
      <c r="B27" s="83">
        <v>3</v>
      </c>
      <c r="C27" s="83">
        <f t="shared" si="2"/>
        <v>2021</v>
      </c>
      <c r="D27" s="300">
        <f>'Ratio Analysis-Profitability'!F$12</f>
        <v>0.1241</v>
      </c>
      <c r="E27" s="106">
        <f t="shared" ref="E27:E36" si="3">(D27-D26)/D26</f>
        <v>8.9552238805970158E-2</v>
      </c>
    </row>
    <row r="28" spans="2:6">
      <c r="B28" s="83">
        <v>4</v>
      </c>
      <c r="C28" s="83">
        <f t="shared" si="2"/>
        <v>2022</v>
      </c>
      <c r="D28" s="300">
        <f>'Ratio Analysis-Profitability'!E$12</f>
        <v>0.12659999999999999</v>
      </c>
      <c r="E28" s="106">
        <f t="shared" si="3"/>
        <v>2.0145044319097409E-2</v>
      </c>
    </row>
    <row r="29" spans="2:6">
      <c r="B29" s="83">
        <v>5</v>
      </c>
      <c r="C29" s="83">
        <f t="shared" si="2"/>
        <v>2023</v>
      </c>
      <c r="D29" s="300">
        <f>'Ratio Analysis-Profitability'!D$12</f>
        <v>0.16120000000000001</v>
      </c>
      <c r="E29" s="106">
        <f t="shared" si="3"/>
        <v>0.27330173775671424</v>
      </c>
    </row>
    <row r="30" spans="2:6">
      <c r="B30" s="83">
        <v>6</v>
      </c>
      <c r="C30" s="83">
        <f t="shared" si="2"/>
        <v>2024</v>
      </c>
      <c r="D30" s="300">
        <f>'Ratio Analysis-Profitability'!C$12</f>
        <v>0.16589999999999999</v>
      </c>
      <c r="E30" s="106">
        <f t="shared" si="3"/>
        <v>2.9156327543424204E-2</v>
      </c>
    </row>
    <row r="31" spans="2:6">
      <c r="B31" s="91">
        <v>8</v>
      </c>
      <c r="C31" s="91" t="str">
        <f t="shared" si="2"/>
        <v>2025-E</v>
      </c>
      <c r="D31" s="301">
        <f>FORECAST(B31,$D$25:$D$30,$B$25:$B$30)</f>
        <v>0.18659428571428571</v>
      </c>
      <c r="E31" s="109">
        <f t="shared" si="3"/>
        <v>0.12473951605958844</v>
      </c>
    </row>
    <row r="32" spans="2:6">
      <c r="B32" s="91">
        <v>9</v>
      </c>
      <c r="C32" s="91" t="str">
        <f t="shared" si="2"/>
        <v>2026-E</v>
      </c>
      <c r="D32" s="301">
        <f t="shared" ref="D32:D36" si="4">FORECAST(B32,$D$25:$D$30,$B$25:$B$30)</f>
        <v>0.19824857142857144</v>
      </c>
      <c r="E32" s="109">
        <f t="shared" si="3"/>
        <v>6.2457891835609798E-2</v>
      </c>
    </row>
    <row r="33" spans="2:11">
      <c r="B33" s="91">
        <v>10</v>
      </c>
      <c r="C33" s="91" t="str">
        <f t="shared" si="2"/>
        <v>2027-E</v>
      </c>
      <c r="D33" s="301">
        <f t="shared" si="4"/>
        <v>0.20990285714285714</v>
      </c>
      <c r="E33" s="109">
        <f t="shared" si="3"/>
        <v>5.8786227967774871E-2</v>
      </c>
    </row>
    <row r="34" spans="2:11">
      <c r="B34" s="91">
        <v>11</v>
      </c>
      <c r="C34" s="91" t="str">
        <f t="shared" si="2"/>
        <v>2028-E</v>
      </c>
      <c r="D34" s="301">
        <f t="shared" si="4"/>
        <v>0.22155714285714284</v>
      </c>
      <c r="E34" s="109">
        <f t="shared" si="3"/>
        <v>5.5522282416355796E-2</v>
      </c>
      <c r="K34" s="98"/>
    </row>
    <row r="35" spans="2:11">
      <c r="B35" s="91">
        <v>12</v>
      </c>
      <c r="C35" s="91" t="str">
        <f t="shared" si="2"/>
        <v>2029-E</v>
      </c>
      <c r="D35" s="301">
        <f t="shared" si="4"/>
        <v>0.23321142857142857</v>
      </c>
      <c r="E35" s="109">
        <f t="shared" si="3"/>
        <v>5.2601715133148562E-2</v>
      </c>
      <c r="K35" s="85"/>
    </row>
    <row r="36" spans="2:11">
      <c r="B36" s="91">
        <v>13</v>
      </c>
      <c r="C36" s="91" t="str">
        <f t="shared" si="2"/>
        <v>2030-E</v>
      </c>
      <c r="D36" s="301">
        <f t="shared" si="4"/>
        <v>0.2448657142857143</v>
      </c>
      <c r="E36" s="109">
        <f t="shared" si="3"/>
        <v>4.9973047142997218E-2</v>
      </c>
      <c r="K36" s="85"/>
    </row>
    <row r="37" spans="2:11">
      <c r="K37" s="85"/>
    </row>
    <row r="38" spans="2:11">
      <c r="B38" s="79" t="s">
        <v>68</v>
      </c>
    </row>
    <row r="39" spans="2:11">
      <c r="B39" s="430" t="s">
        <v>88</v>
      </c>
      <c r="C39" s="430"/>
      <c r="D39" s="430"/>
      <c r="E39" s="430"/>
      <c r="F39" s="430"/>
      <c r="G39" s="430"/>
    </row>
  </sheetData>
  <mergeCells count="4">
    <mergeCell ref="B2:E2"/>
    <mergeCell ref="B18:F19"/>
    <mergeCell ref="B23:E23"/>
    <mergeCell ref="B39:G3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4AC-0A80-4611-A8FE-D547270567B1}">
  <sheetPr codeName="Sheet13"/>
  <dimension ref="B2:N19"/>
  <sheetViews>
    <sheetView showGridLines="0" workbookViewId="0">
      <selection activeCell="C11" sqref="C11"/>
    </sheetView>
  </sheetViews>
  <sheetFormatPr defaultRowHeight="14.4"/>
  <cols>
    <col min="1" max="1" width="1.88671875" style="76" customWidth="1"/>
    <col min="2" max="2" width="17.44140625" style="76" customWidth="1"/>
    <col min="3" max="3" width="16.5546875" style="76" bestFit="1" customWidth="1"/>
    <col min="4" max="4" width="13.6640625" style="76" bestFit="1" customWidth="1"/>
    <col min="5" max="5" width="23" style="76" customWidth="1"/>
    <col min="6" max="16384" width="8.88671875" style="76"/>
  </cols>
  <sheetData>
    <row r="2" spans="2:14">
      <c r="B2" s="428" t="str">
        <f>"EPS Forecasting using Linear Regression"&amp;" - "&amp;BS!B2</f>
        <v>EPS Forecasting using Linear Regression - Ismail Industries Limited</v>
      </c>
      <c r="C2" s="428"/>
      <c r="D2" s="428"/>
      <c r="E2" s="428"/>
    </row>
    <row r="3" spans="2:14">
      <c r="B3" s="82" t="s">
        <v>60</v>
      </c>
      <c r="C3" s="82" t="s">
        <v>61</v>
      </c>
      <c r="D3" s="82" t="s">
        <v>86</v>
      </c>
      <c r="E3" s="82" t="s">
        <v>87</v>
      </c>
    </row>
    <row r="4" spans="2:14">
      <c r="B4" s="83">
        <v>1</v>
      </c>
      <c r="C4" s="83">
        <f>'Forecasting-Profitability'!C4</f>
        <v>2019</v>
      </c>
      <c r="D4" s="88">
        <f>Pnl!H$21</f>
        <v>15.149308507595441</v>
      </c>
      <c r="E4" s="83" t="s">
        <v>22</v>
      </c>
    </row>
    <row r="5" spans="2:14">
      <c r="B5" s="83">
        <v>2</v>
      </c>
      <c r="C5" s="83">
        <f>'Forecasting-Profitability'!C5</f>
        <v>2020</v>
      </c>
      <c r="D5" s="88">
        <f>Pnl!G$21</f>
        <v>14.485864987445241</v>
      </c>
      <c r="E5" s="106">
        <f>(D5-D4)/D4</f>
        <v>-4.3793650371405882E-2</v>
      </c>
    </row>
    <row r="6" spans="2:14">
      <c r="B6" s="83">
        <v>3</v>
      </c>
      <c r="C6" s="83">
        <f>'Forecasting-Profitability'!C6</f>
        <v>2021</v>
      </c>
      <c r="D6" s="88">
        <f>Pnl!F$21</f>
        <v>26.774381097139198</v>
      </c>
      <c r="E6" s="106">
        <f t="shared" ref="E6:E15" si="0">(D6-D5)/D5</f>
        <v>0.84831082716457007</v>
      </c>
      <c r="L6" s="299"/>
      <c r="M6" s="299"/>
    </row>
    <row r="7" spans="2:14">
      <c r="B7" s="83">
        <v>4</v>
      </c>
      <c r="C7" s="83">
        <f>'Forecasting-Profitability'!C7</f>
        <v>2022</v>
      </c>
      <c r="D7" s="88">
        <f>Pnl!E$21</f>
        <v>38.44392161543314</v>
      </c>
      <c r="E7" s="106">
        <f t="shared" si="0"/>
        <v>0.43584725547739422</v>
      </c>
      <c r="L7" s="85"/>
      <c r="M7" s="85"/>
    </row>
    <row r="8" spans="2:14">
      <c r="B8" s="83">
        <v>5</v>
      </c>
      <c r="C8" s="83">
        <f>'Forecasting-Profitability'!C8</f>
        <v>2023</v>
      </c>
      <c r="D8" s="88">
        <f>Pnl!D$21</f>
        <v>96.172080870516325</v>
      </c>
      <c r="E8" s="106">
        <f t="shared" si="0"/>
        <v>1.5016199396241738</v>
      </c>
      <c r="L8" s="85"/>
      <c r="M8" s="85"/>
    </row>
    <row r="9" spans="2:14">
      <c r="B9" s="83">
        <v>6</v>
      </c>
      <c r="C9" s="83">
        <f>'Forecasting-Profitability'!C9</f>
        <v>2024</v>
      </c>
      <c r="D9" s="88">
        <f>Pnl!C$21</f>
        <v>92.410077981293284</v>
      </c>
      <c r="E9" s="106">
        <f t="shared" si="0"/>
        <v>-3.9117411780744425E-2</v>
      </c>
      <c r="L9" s="85"/>
      <c r="M9" s="85"/>
    </row>
    <row r="10" spans="2:14">
      <c r="B10" s="91">
        <v>8</v>
      </c>
      <c r="C10" s="91" t="str">
        <f>'Forecasting-Profitability'!C10</f>
        <v>2025-E</v>
      </c>
      <c r="D10" s="92">
        <f>FORECAST(B10,$D$4:$D$9,$B$4:$B$9)</f>
        <v>129.91481993596045</v>
      </c>
      <c r="E10" s="109">
        <f t="shared" si="0"/>
        <v>0.40585120988924295</v>
      </c>
      <c r="L10" s="85"/>
      <c r="M10" s="85"/>
    </row>
    <row r="11" spans="2:14">
      <c r="B11" s="91">
        <v>9</v>
      </c>
      <c r="C11" s="91" t="str">
        <f>'Forecasting-Profitability'!C11</f>
        <v>2026-E</v>
      </c>
      <c r="D11" s="92">
        <f t="shared" ref="D11:D15" si="1">FORECAST(B11,$D$4:$D$9,$B$4:$B$9)</f>
        <v>148.28716380841749</v>
      </c>
      <c r="E11" s="109">
        <f t="shared" si="0"/>
        <v>0.14141838384191585</v>
      </c>
    </row>
    <row r="12" spans="2:14">
      <c r="B12" s="91">
        <v>10</v>
      </c>
      <c r="C12" s="91" t="str">
        <f>'Forecasting-Profitability'!C12</f>
        <v>2027-E</v>
      </c>
      <c r="D12" s="92">
        <f t="shared" si="1"/>
        <v>166.65950768087453</v>
      </c>
      <c r="E12" s="109">
        <f t="shared" si="0"/>
        <v>0.1238970616242519</v>
      </c>
    </row>
    <row r="13" spans="2:14">
      <c r="B13" s="91">
        <v>11</v>
      </c>
      <c r="C13" s="91" t="str">
        <f>'Forecasting-Profitability'!C13</f>
        <v>2028-E</v>
      </c>
      <c r="D13" s="92">
        <f t="shared" si="1"/>
        <v>185.03185155333156</v>
      </c>
      <c r="E13" s="109">
        <f t="shared" si="0"/>
        <v>0.11023879842269213</v>
      </c>
      <c r="L13" s="98"/>
      <c r="M13" s="98"/>
      <c r="N13" s="98"/>
    </row>
    <row r="14" spans="2:14">
      <c r="B14" s="91">
        <v>12</v>
      </c>
      <c r="C14" s="91" t="str">
        <f>'Forecasting-Profitability'!C14</f>
        <v>2029-E</v>
      </c>
      <c r="D14" s="92">
        <f t="shared" si="1"/>
        <v>203.40419542578863</v>
      </c>
      <c r="E14" s="109">
        <f t="shared" si="0"/>
        <v>9.9292871568988333E-2</v>
      </c>
      <c r="L14" s="85"/>
      <c r="M14" s="85"/>
      <c r="N14" s="85"/>
    </row>
    <row r="15" spans="2:14">
      <c r="B15" s="91">
        <v>13</v>
      </c>
      <c r="C15" s="91" t="str">
        <f>'Forecasting-Profitability'!C15</f>
        <v>2030-E</v>
      </c>
      <c r="D15" s="92">
        <f t="shared" si="1"/>
        <v>221.77653929824567</v>
      </c>
      <c r="E15" s="109">
        <f t="shared" si="0"/>
        <v>9.032431132503424E-2</v>
      </c>
      <c r="L15" s="85"/>
      <c r="M15" s="85"/>
      <c r="N15" s="85"/>
    </row>
    <row r="16" spans="2:14">
      <c r="L16" s="85"/>
      <c r="M16" s="85"/>
      <c r="N16" s="85"/>
    </row>
    <row r="17" spans="2:8">
      <c r="B17" s="79" t="s">
        <v>68</v>
      </c>
    </row>
    <row r="18" spans="2:8" ht="14.4" customHeight="1">
      <c r="B18" s="430" t="s">
        <v>88</v>
      </c>
      <c r="C18" s="430"/>
      <c r="D18" s="430"/>
      <c r="E18" s="430"/>
      <c r="F18" s="430"/>
      <c r="G18" s="430"/>
      <c r="H18" s="430"/>
    </row>
    <row r="19" spans="2:8">
      <c r="B19" s="101"/>
      <c r="C19" s="101"/>
      <c r="D19" s="101"/>
      <c r="E19" s="101"/>
      <c r="F19" s="101"/>
    </row>
  </sheetData>
  <mergeCells count="2">
    <mergeCell ref="B2:E2"/>
    <mergeCell ref="B18:H1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01B9-76E0-4EAE-AADC-37C8AC57D9D5}">
  <sheetPr codeName="Sheet15"/>
  <dimension ref="B2:L60"/>
  <sheetViews>
    <sheetView showGridLines="0" workbookViewId="0">
      <selection activeCell="D10" sqref="D10"/>
    </sheetView>
  </sheetViews>
  <sheetFormatPr defaultRowHeight="14.4"/>
  <cols>
    <col min="1" max="1" width="1.88671875" style="110" customWidth="1"/>
    <col min="2" max="2" width="16.88671875" style="110" customWidth="1"/>
    <col min="3" max="3" width="16.5546875" style="110" bestFit="1" customWidth="1"/>
    <col min="4" max="4" width="13.6640625" style="110" bestFit="1" customWidth="1"/>
    <col min="5" max="5" width="20" style="110" customWidth="1"/>
    <col min="6" max="16384" width="8.88671875" style="110"/>
  </cols>
  <sheetData>
    <row r="2" spans="2:12">
      <c r="B2" s="428" t="str">
        <f>"PE Ratio Share Forecasting"&amp;" - "&amp;BS!$B$2</f>
        <v>PE Ratio Share Forecasting - Ismail Industries Limited</v>
      </c>
      <c r="C2" s="428"/>
      <c r="D2" s="428"/>
      <c r="E2" s="428"/>
    </row>
    <row r="3" spans="2:12">
      <c r="B3" s="82" t="s">
        <v>60</v>
      </c>
      <c r="C3" s="82" t="s">
        <v>61</v>
      </c>
      <c r="D3" s="82" t="s">
        <v>89</v>
      </c>
      <c r="E3" s="82" t="s">
        <v>90</v>
      </c>
    </row>
    <row r="4" spans="2:12">
      <c r="B4" s="83">
        <v>1</v>
      </c>
      <c r="C4" s="83">
        <f>'Forecasting-Profitability'!C4</f>
        <v>2019</v>
      </c>
      <c r="D4" s="88">
        <f>'Ratio Analysis-Investment'!H$7</f>
        <v>19.810145119794296</v>
      </c>
      <c r="E4" s="83" t="s">
        <v>22</v>
      </c>
    </row>
    <row r="5" spans="2:12">
      <c r="B5" s="83">
        <v>2</v>
      </c>
      <c r="C5" s="83">
        <f>'Forecasting-Profitability'!C5</f>
        <v>2020</v>
      </c>
      <c r="D5" s="88">
        <f>'Ratio Analysis-Investment'!G$7</f>
        <v>24.338208336579164</v>
      </c>
      <c r="E5" s="106">
        <f>IFERROR((D5-D4)/D4,0)</f>
        <v>0.22857294529662117</v>
      </c>
    </row>
    <row r="6" spans="2:12">
      <c r="B6" s="83">
        <v>3</v>
      </c>
      <c r="C6" s="83">
        <f>'Forecasting-Profitability'!C6</f>
        <v>2021</v>
      </c>
      <c r="D6" s="88">
        <f>'Ratio Analysis-Investment'!F$7</f>
        <v>14.366718640644894</v>
      </c>
      <c r="E6" s="106">
        <f t="shared" ref="E6:E15" si="0">(D6-D5)/D5</f>
        <v>-0.40970516638020549</v>
      </c>
    </row>
    <row r="7" spans="2:12">
      <c r="B7" s="83">
        <v>4</v>
      </c>
      <c r="C7" s="83">
        <f>'Forecasting-Profitability'!C7</f>
        <v>2022</v>
      </c>
      <c r="D7" s="88">
        <f>'Ratio Analysis-Investment'!E$7</f>
        <v>12.253692656861704</v>
      </c>
      <c r="E7" s="106">
        <f t="shared" si="0"/>
        <v>-0.14707784266096971</v>
      </c>
    </row>
    <row r="8" spans="2:12">
      <c r="B8" s="83">
        <v>5</v>
      </c>
      <c r="C8" s="83">
        <f>'Forecasting-Profitability'!C8</f>
        <v>2023</v>
      </c>
      <c r="D8" s="88">
        <f>'Ratio Analysis-Investment'!D$7</f>
        <v>5.0177764235934559</v>
      </c>
      <c r="E8" s="106">
        <f t="shared" si="0"/>
        <v>-0.59050903559396439</v>
      </c>
    </row>
    <row r="9" spans="2:12">
      <c r="B9" s="83">
        <v>6</v>
      </c>
      <c r="C9" s="83">
        <f>'Forecasting-Profitability'!C9</f>
        <v>2024</v>
      </c>
      <c r="D9" s="88">
        <f>'Ratio Analysis-Investment'!C$7</f>
        <v>13.348652300128016</v>
      </c>
      <c r="E9" s="106">
        <f t="shared" si="0"/>
        <v>1.6602724340931163</v>
      </c>
    </row>
    <row r="10" spans="2:12">
      <c r="B10" s="91">
        <v>8</v>
      </c>
      <c r="C10" s="91" t="str">
        <f>'Forecasting-Profitability'!C10</f>
        <v>2025-E</v>
      </c>
      <c r="D10" s="92">
        <f>FORECAST(B10,$D$4:$D$9,$B$4:$B$9)</f>
        <v>2.9782074026053174</v>
      </c>
      <c r="E10" s="109">
        <f t="shared" si="0"/>
        <v>-0.77689078000954781</v>
      </c>
    </row>
    <row r="11" spans="2:12">
      <c r="B11" s="91">
        <v>9</v>
      </c>
      <c r="C11" s="91" t="str">
        <f>'Forecasting-Profitability'!C11</f>
        <v>2026-E</v>
      </c>
      <c r="D11" s="92">
        <f t="shared" ref="D11:D15" si="1">FORECAST(B11,$D$4:$D$9,$B$4:$B$9)</f>
        <v>0.33872780771755373</v>
      </c>
      <c r="E11" s="109">
        <f t="shared" si="0"/>
        <v>-0.88626453368518365</v>
      </c>
    </row>
    <row r="12" spans="2:12">
      <c r="B12" s="91">
        <v>10</v>
      </c>
      <c r="C12" s="91" t="str">
        <f>'Forecasting-Profitability'!C12</f>
        <v>2027-E</v>
      </c>
      <c r="D12" s="92">
        <f t="shared" si="1"/>
        <v>-2.3007517871702099</v>
      </c>
      <c r="E12" s="109">
        <f t="shared" si="0"/>
        <v>-7.792332175717557</v>
      </c>
    </row>
    <row r="13" spans="2:12">
      <c r="B13" s="91">
        <v>11</v>
      </c>
      <c r="C13" s="91" t="str">
        <f>'Forecasting-Profitability'!C13</f>
        <v>2028-E</v>
      </c>
      <c r="D13" s="92">
        <f t="shared" si="1"/>
        <v>-4.9402313820579735</v>
      </c>
      <c r="E13" s="109">
        <f t="shared" si="0"/>
        <v>1.1472248373798588</v>
      </c>
      <c r="L13" s="112"/>
    </row>
    <row r="14" spans="2:12">
      <c r="B14" s="91">
        <v>12</v>
      </c>
      <c r="C14" s="91" t="str">
        <f>'Forecasting-Profitability'!C14</f>
        <v>2029-E</v>
      </c>
      <c r="D14" s="92">
        <f t="shared" si="1"/>
        <v>-7.5797109769457336</v>
      </c>
      <c r="E14" s="109">
        <f t="shared" si="0"/>
        <v>0.53428258532057271</v>
      </c>
      <c r="L14" s="111"/>
    </row>
    <row r="15" spans="2:12">
      <c r="B15" s="91">
        <v>13</v>
      </c>
      <c r="C15" s="91" t="str">
        <f>'Forecasting-Profitability'!C15</f>
        <v>2030-E</v>
      </c>
      <c r="D15" s="92">
        <f t="shared" si="1"/>
        <v>-10.219190571833501</v>
      </c>
      <c r="E15" s="109">
        <f t="shared" si="0"/>
        <v>0.34822958328041065</v>
      </c>
      <c r="L15" s="111"/>
    </row>
    <row r="16" spans="2:12">
      <c r="L16" s="111"/>
    </row>
    <row r="17" spans="2:7">
      <c r="B17" s="79"/>
      <c r="C17" s="76"/>
      <c r="D17" s="76"/>
      <c r="E17" s="76"/>
      <c r="F17" s="76"/>
      <c r="G17" s="76"/>
    </row>
    <row r="18" spans="2:7">
      <c r="B18" s="430"/>
      <c r="C18" s="430"/>
      <c r="D18" s="430"/>
      <c r="E18" s="430"/>
      <c r="F18" s="430"/>
      <c r="G18" s="430"/>
    </row>
    <row r="19" spans="2:7">
      <c r="B19" s="113"/>
      <c r="C19" s="113"/>
      <c r="D19" s="113"/>
      <c r="E19" s="113"/>
      <c r="F19" s="113"/>
    </row>
    <row r="20" spans="2:7">
      <c r="B20" s="113"/>
      <c r="C20" s="113"/>
      <c r="D20" s="113"/>
      <c r="E20" s="113"/>
      <c r="F20" s="113"/>
    </row>
    <row r="21" spans="2:7">
      <c r="B21" s="113"/>
      <c r="C21" s="113"/>
      <c r="D21" s="113"/>
      <c r="E21" s="113"/>
      <c r="F21" s="113"/>
    </row>
    <row r="24" spans="2:7">
      <c r="B24" s="428" t="str">
        <f>"Dividend Yield Ratio Forecasting"&amp;" - "&amp;BS!$B$2</f>
        <v>Dividend Yield Ratio Forecasting - Ismail Industries Limited</v>
      </c>
      <c r="C24" s="428"/>
      <c r="D24" s="428"/>
      <c r="E24" s="428"/>
    </row>
    <row r="25" spans="2:7">
      <c r="B25" s="82" t="s">
        <v>60</v>
      </c>
      <c r="C25" s="82" t="s">
        <v>61</v>
      </c>
      <c r="D25" s="82" t="s">
        <v>286</v>
      </c>
      <c r="E25" s="82" t="s">
        <v>287</v>
      </c>
    </row>
    <row r="26" spans="2:7">
      <c r="B26" s="83">
        <v>1</v>
      </c>
      <c r="C26" s="83">
        <f>C4</f>
        <v>2019</v>
      </c>
      <c r="D26" s="300">
        <f>'Ratio Analysis-Investment'!H$8</f>
        <v>1.1662390456832494E-2</v>
      </c>
      <c r="E26" s="83" t="s">
        <v>22</v>
      </c>
    </row>
    <row r="27" spans="2:7">
      <c r="B27" s="83">
        <v>2</v>
      </c>
      <c r="C27" s="83">
        <f t="shared" ref="C27:C37" si="2">C5</f>
        <v>2020</v>
      </c>
      <c r="D27" s="300">
        <f>'Ratio Analysis-Investment'!G$8</f>
        <v>8.5091899251191292E-3</v>
      </c>
      <c r="E27" s="106">
        <f>IFERROR((D27-D26)/D26,0)</f>
        <v>-0.27037343187785656</v>
      </c>
    </row>
    <row r="28" spans="2:7">
      <c r="B28" s="83">
        <v>3</v>
      </c>
      <c r="C28" s="83">
        <f t="shared" si="2"/>
        <v>2021</v>
      </c>
      <c r="D28" s="300">
        <f>'Ratio Analysis-Investment'!F$8</f>
        <v>3.8995476524723127E-2</v>
      </c>
      <c r="E28" s="106">
        <f t="shared" ref="E28:E37" si="3">(D28-D27)/D27</f>
        <v>3.5827484011854618</v>
      </c>
    </row>
    <row r="29" spans="2:7">
      <c r="B29" s="83">
        <v>4</v>
      </c>
      <c r="C29" s="83">
        <f t="shared" si="2"/>
        <v>2022</v>
      </c>
      <c r="D29" s="300">
        <f>'Ratio Analysis-Investment'!E$8</f>
        <v>8.4911267725227141E-3</v>
      </c>
      <c r="E29" s="106">
        <f t="shared" si="3"/>
        <v>-0.78225354504542755</v>
      </c>
    </row>
    <row r="30" spans="2:7">
      <c r="B30" s="83">
        <v>5</v>
      </c>
      <c r="C30" s="83">
        <f t="shared" si="2"/>
        <v>2023</v>
      </c>
      <c r="D30" s="300">
        <f>'Ratio Analysis-Investment'!D$8</f>
        <v>2.4866858694075473E-2</v>
      </c>
      <c r="E30" s="106">
        <f t="shared" si="3"/>
        <v>1.9285699484012684</v>
      </c>
    </row>
    <row r="31" spans="2:7">
      <c r="B31" s="83">
        <v>6</v>
      </c>
      <c r="C31" s="83">
        <f t="shared" si="2"/>
        <v>2024</v>
      </c>
      <c r="D31" s="300">
        <f>'Ratio Analysis-Investment'!C$8</f>
        <v>8.1066839609257833E-3</v>
      </c>
      <c r="E31" s="106">
        <f t="shared" si="3"/>
        <v>-0.67399646008133707</v>
      </c>
    </row>
    <row r="32" spans="2:7">
      <c r="B32" s="91">
        <v>8</v>
      </c>
      <c r="C32" s="91" t="str">
        <f t="shared" si="2"/>
        <v>2025-E</v>
      </c>
      <c r="D32" s="399">
        <f>FORECAST(B32,$D$26:$D$31,$B$26:$B$31)</f>
        <v>1.6873541770121916E-2</v>
      </c>
      <c r="E32" s="109">
        <f t="shared" si="3"/>
        <v>1.0814357450533889</v>
      </c>
    </row>
    <row r="33" spans="2:5">
      <c r="B33" s="91">
        <v>9</v>
      </c>
      <c r="C33" s="91" t="str">
        <f t="shared" si="2"/>
        <v>2026-E</v>
      </c>
      <c r="D33" s="399">
        <f>FORECAST(B33,$D$26:$D$31,$B$26:$B$31)</f>
        <v>1.6896116743697204E-2</v>
      </c>
      <c r="E33" s="109">
        <f t="shared" si="3"/>
        <v>1.337891823947768E-3</v>
      </c>
    </row>
    <row r="34" spans="2:5">
      <c r="B34" s="91">
        <v>10</v>
      </c>
      <c r="C34" s="91" t="str">
        <f t="shared" si="2"/>
        <v>2027-E</v>
      </c>
      <c r="D34" s="399">
        <f t="shared" ref="D34:D37" si="4">FORECAST(B34,$D$26:$D$31,$B$26:$B$31)</f>
        <v>1.6918691717272491E-2</v>
      </c>
      <c r="E34" s="109">
        <f t="shared" si="3"/>
        <v>1.3361042609810597E-3</v>
      </c>
    </row>
    <row r="35" spans="2:5">
      <c r="B35" s="91">
        <v>11</v>
      </c>
      <c r="C35" s="91" t="str">
        <f t="shared" si="2"/>
        <v>2028-E</v>
      </c>
      <c r="D35" s="399">
        <f t="shared" si="4"/>
        <v>1.6941266690847778E-2</v>
      </c>
      <c r="E35" s="109">
        <f t="shared" si="3"/>
        <v>1.3343214683816365E-3</v>
      </c>
    </row>
    <row r="36" spans="2:5">
      <c r="B36" s="91">
        <v>12</v>
      </c>
      <c r="C36" s="91" t="str">
        <f t="shared" si="2"/>
        <v>2029-E</v>
      </c>
      <c r="D36" s="399">
        <f t="shared" si="4"/>
        <v>1.6963841664423066E-2</v>
      </c>
      <c r="E36" s="109">
        <f t="shared" si="3"/>
        <v>1.3325434270793338E-3</v>
      </c>
    </row>
    <row r="37" spans="2:5">
      <c r="B37" s="91">
        <v>13</v>
      </c>
      <c r="C37" s="91" t="str">
        <f t="shared" si="2"/>
        <v>2030-E</v>
      </c>
      <c r="D37" s="399">
        <f t="shared" si="4"/>
        <v>1.6986416637998353E-2</v>
      </c>
      <c r="E37" s="109">
        <f t="shared" si="3"/>
        <v>1.3307701181054985E-3</v>
      </c>
    </row>
    <row r="47" spans="2:5">
      <c r="B47" s="428" t="str">
        <f>"Market Price Forecasting"&amp;" - "&amp;BS!$B$2</f>
        <v>Market Price Forecasting - Ismail Industries Limited</v>
      </c>
      <c r="C47" s="428"/>
      <c r="D47" s="428"/>
      <c r="E47" s="428"/>
    </row>
    <row r="48" spans="2:5">
      <c r="B48" s="82" t="s">
        <v>60</v>
      </c>
      <c r="C48" s="82" t="s">
        <v>61</v>
      </c>
      <c r="D48" s="82" t="s">
        <v>295</v>
      </c>
      <c r="E48" s="82" t="s">
        <v>292</v>
      </c>
    </row>
    <row r="49" spans="2:5">
      <c r="B49" s="83">
        <v>1</v>
      </c>
      <c r="C49" s="83">
        <f>C26</f>
        <v>2019</v>
      </c>
      <c r="D49" s="88">
        <f>Pnl!H$42</f>
        <v>300.11</v>
      </c>
      <c r="E49" s="83" t="s">
        <v>22</v>
      </c>
    </row>
    <row r="50" spans="2:5">
      <c r="B50" s="83">
        <v>2</v>
      </c>
      <c r="C50" s="83">
        <f t="shared" ref="C50:C60" si="5">C27</f>
        <v>2020</v>
      </c>
      <c r="D50" s="88">
        <f>Pnl!G$42</f>
        <v>352.56</v>
      </c>
      <c r="E50" s="106">
        <f>IFERROR((D50-D49)/D49,0)</f>
        <v>0.17476925127453263</v>
      </c>
    </row>
    <row r="51" spans="2:5">
      <c r="B51" s="83">
        <v>3</v>
      </c>
      <c r="C51" s="83">
        <f t="shared" si="5"/>
        <v>2021</v>
      </c>
      <c r="D51" s="88">
        <f>Pnl!F$42</f>
        <v>384.66</v>
      </c>
      <c r="E51" s="106">
        <f t="shared" ref="E51:E60" si="6">(D51-D50)/D50</f>
        <v>9.1048332198774742E-2</v>
      </c>
    </row>
    <row r="52" spans="2:5">
      <c r="B52" s="83">
        <v>4</v>
      </c>
      <c r="C52" s="83">
        <f t="shared" si="5"/>
        <v>2022</v>
      </c>
      <c r="D52" s="88">
        <f>Pnl!E$42</f>
        <v>471.08</v>
      </c>
      <c r="E52" s="106">
        <f t="shared" si="6"/>
        <v>0.22466593875110474</v>
      </c>
    </row>
    <row r="53" spans="2:5">
      <c r="B53" s="83">
        <v>5</v>
      </c>
      <c r="C53" s="83">
        <f t="shared" si="5"/>
        <v>2023</v>
      </c>
      <c r="D53" s="88">
        <f>Pnl!D$42</f>
        <v>482.57</v>
      </c>
      <c r="E53" s="106">
        <f t="shared" si="6"/>
        <v>2.4390761654071516E-2</v>
      </c>
    </row>
    <row r="54" spans="2:5">
      <c r="B54" s="83">
        <v>6</v>
      </c>
      <c r="C54" s="83">
        <f t="shared" si="5"/>
        <v>2024</v>
      </c>
      <c r="D54" s="88">
        <f>Pnl!C$42</f>
        <v>1233.55</v>
      </c>
      <c r="E54" s="106">
        <f t="shared" si="6"/>
        <v>1.5562094618397331</v>
      </c>
    </row>
    <row r="55" spans="2:5">
      <c r="B55" s="91">
        <v>8</v>
      </c>
      <c r="C55" s="91" t="str">
        <f t="shared" si="5"/>
        <v>2025-E</v>
      </c>
      <c r="D55" s="303">
        <f>FORECAST(B55,$D$49:$D$54,$B$49:$B$54)</f>
        <v>1198.7480952380952</v>
      </c>
      <c r="E55" s="109">
        <f t="shared" si="6"/>
        <v>-2.8212804314300014E-2</v>
      </c>
    </row>
    <row r="56" spans="2:5">
      <c r="B56" s="91">
        <v>9</v>
      </c>
      <c r="C56" s="91" t="str">
        <f t="shared" si="5"/>
        <v>2026-E</v>
      </c>
      <c r="D56" s="303">
        <f t="shared" ref="D56:D60" si="7">FORECAST(B56,$D$49:$D$54,$B$49:$B$54)</f>
        <v>1345.7095238095237</v>
      </c>
      <c r="E56" s="109">
        <f t="shared" si="6"/>
        <v>0.12259575565143158</v>
      </c>
    </row>
    <row r="57" spans="2:5">
      <c r="B57" s="91">
        <v>10</v>
      </c>
      <c r="C57" s="91" t="str">
        <f t="shared" si="5"/>
        <v>2027-E</v>
      </c>
      <c r="D57" s="303">
        <f t="shared" si="7"/>
        <v>1492.6709523809523</v>
      </c>
      <c r="E57" s="109">
        <f t="shared" si="6"/>
        <v>0.10920739280747631</v>
      </c>
    </row>
    <row r="58" spans="2:5">
      <c r="B58" s="91">
        <v>11</v>
      </c>
      <c r="C58" s="91" t="str">
        <f t="shared" si="5"/>
        <v>2028-E</v>
      </c>
      <c r="D58" s="303">
        <f t="shared" si="7"/>
        <v>1639.6323809523808</v>
      </c>
      <c r="E58" s="109">
        <f t="shared" si="6"/>
        <v>9.8455341639100746E-2</v>
      </c>
    </row>
    <row r="59" spans="2:5">
      <c r="B59" s="91">
        <v>12</v>
      </c>
      <c r="C59" s="91" t="str">
        <f t="shared" si="5"/>
        <v>2029-E</v>
      </c>
      <c r="D59" s="303">
        <f t="shared" si="7"/>
        <v>1786.5938095238096</v>
      </c>
      <c r="E59" s="109">
        <f t="shared" si="6"/>
        <v>8.963071861636826E-2</v>
      </c>
    </row>
    <row r="60" spans="2:5">
      <c r="B60" s="91">
        <v>13</v>
      </c>
      <c r="C60" s="91" t="str">
        <f t="shared" si="5"/>
        <v>2030-E</v>
      </c>
      <c r="D60" s="303">
        <f t="shared" si="7"/>
        <v>1933.5552380952381</v>
      </c>
      <c r="E60" s="109">
        <f t="shared" si="6"/>
        <v>8.225788524958505E-2</v>
      </c>
    </row>
  </sheetData>
  <mergeCells count="4">
    <mergeCell ref="B2:E2"/>
    <mergeCell ref="B18:G18"/>
    <mergeCell ref="B24:E24"/>
    <mergeCell ref="B47:E4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D63A-B071-4727-9326-AF491A17FADC}">
  <sheetPr codeName="Sheet16"/>
  <dimension ref="B2:L21"/>
  <sheetViews>
    <sheetView showGridLines="0" workbookViewId="0">
      <selection activeCell="C10" sqref="C10:C15"/>
    </sheetView>
  </sheetViews>
  <sheetFormatPr defaultRowHeight="14.4"/>
  <cols>
    <col min="1" max="1" width="1.88671875" style="110" customWidth="1"/>
    <col min="2" max="2" width="16.88671875" style="110" customWidth="1"/>
    <col min="3" max="3" width="16.5546875" style="110" bestFit="1" customWidth="1"/>
    <col min="4" max="4" width="18" style="110" bestFit="1" customWidth="1"/>
    <col min="5" max="5" width="24.77734375" style="110" bestFit="1" customWidth="1"/>
    <col min="6" max="16384" width="8.88671875" style="110"/>
  </cols>
  <sheetData>
    <row r="2" spans="2:12">
      <c r="B2" s="428" t="str">
        <f>"Debt to Equity Ratio Forecasting"&amp;" - "&amp;BS!$B$2</f>
        <v>Debt to Equity Ratio Forecasting - Ismail Industries Limited</v>
      </c>
      <c r="C2" s="428"/>
      <c r="D2" s="428"/>
      <c r="E2" s="428"/>
    </row>
    <row r="3" spans="2:12">
      <c r="B3" s="82" t="s">
        <v>60</v>
      </c>
      <c r="C3" s="82" t="s">
        <v>61</v>
      </c>
      <c r="D3" s="82" t="s">
        <v>288</v>
      </c>
      <c r="E3" s="82" t="s">
        <v>289</v>
      </c>
    </row>
    <row r="4" spans="2:12">
      <c r="B4" s="83">
        <v>1</v>
      </c>
      <c r="C4" s="83">
        <f>'Forecasting-Inevstment Ratios'!C4</f>
        <v>2019</v>
      </c>
      <c r="D4" s="300">
        <f>'Ratio Analysis-Solvency'!H$9</f>
        <v>0</v>
      </c>
      <c r="E4" s="83" t="s">
        <v>22</v>
      </c>
    </row>
    <row r="5" spans="2:12">
      <c r="B5" s="83">
        <v>2</v>
      </c>
      <c r="C5" s="83">
        <f>'Forecasting-Inevstment Ratios'!C5</f>
        <v>2020</v>
      </c>
      <c r="D5" s="300">
        <f>'Ratio Analysis-Solvency'!G$9</f>
        <v>2.2097449591076979</v>
      </c>
      <c r="E5" s="106">
        <f>IFERROR((D5-D4)/D4,0)</f>
        <v>0</v>
      </c>
    </row>
    <row r="6" spans="2:12">
      <c r="B6" s="83">
        <v>3</v>
      </c>
      <c r="C6" s="83">
        <f>'Forecasting-Inevstment Ratios'!C6</f>
        <v>2021</v>
      </c>
      <c r="D6" s="300">
        <f>'Ratio Analysis-Solvency'!F$9</f>
        <v>2.0598263178999208</v>
      </c>
      <c r="E6" s="106">
        <f t="shared" ref="E6:E15" si="0">(D6-D5)/D5</f>
        <v>-6.7844318680249288E-2</v>
      </c>
    </row>
    <row r="7" spans="2:12">
      <c r="B7" s="83">
        <v>4</v>
      </c>
      <c r="C7" s="83">
        <f>'Forecasting-Inevstment Ratios'!C7</f>
        <v>2022</v>
      </c>
      <c r="D7" s="300">
        <f>'Ratio Analysis-Solvency'!E$9</f>
        <v>2.6814088640949172</v>
      </c>
      <c r="E7" s="106">
        <f t="shared" si="0"/>
        <v>0.30176454237594452</v>
      </c>
    </row>
    <row r="8" spans="2:12">
      <c r="B8" s="83">
        <v>5</v>
      </c>
      <c r="C8" s="83">
        <f>'Forecasting-Inevstment Ratios'!C8</f>
        <v>2023</v>
      </c>
      <c r="D8" s="300">
        <f>'Ratio Analysis-Solvency'!D$9</f>
        <v>2.6622099125110994</v>
      </c>
      <c r="E8" s="106">
        <f t="shared" si="0"/>
        <v>-7.1600239116454949E-3</v>
      </c>
    </row>
    <row r="9" spans="2:12">
      <c r="B9" s="83">
        <v>6</v>
      </c>
      <c r="C9" s="83">
        <f>'Forecasting-Inevstment Ratios'!C9</f>
        <v>2024</v>
      </c>
      <c r="D9" s="300">
        <f>'Ratio Analysis-Solvency'!C$9</f>
        <v>2.4876815893139401</v>
      </c>
      <c r="E9" s="106">
        <f t="shared" si="0"/>
        <v>-6.5557686633559792E-2</v>
      </c>
    </row>
    <row r="10" spans="2:12">
      <c r="B10" s="91">
        <v>8</v>
      </c>
      <c r="C10" s="91" t="str">
        <f>'Forecasting-Inevstment Ratios'!C10</f>
        <v>2025-E</v>
      </c>
      <c r="D10" s="301">
        <f>FORECAST(B10,$D$4:$D$9,$B$4:$B$9)</f>
        <v>3.8704757715847027</v>
      </c>
      <c r="E10" s="109">
        <f t="shared" si="0"/>
        <v>0.55585658076607525</v>
      </c>
    </row>
    <row r="11" spans="2:12">
      <c r="B11" s="91">
        <v>9</v>
      </c>
      <c r="C11" s="91" t="str">
        <f>'Forecasting-Inevstment Ratios'!C11</f>
        <v>2026-E</v>
      </c>
      <c r="D11" s="301">
        <f>FORECAST(B11,$D$4:$D$9,$B$4:$B$9)</f>
        <v>4.2824010673839856</v>
      </c>
      <c r="E11" s="109">
        <f t="shared" si="0"/>
        <v>0.10642756087596614</v>
      </c>
    </row>
    <row r="12" spans="2:12">
      <c r="B12" s="91">
        <v>10</v>
      </c>
      <c r="C12" s="91" t="str">
        <f>'Forecasting-Inevstment Ratios'!C12</f>
        <v>2027-E</v>
      </c>
      <c r="D12" s="301">
        <f t="shared" ref="D12:D15" si="1">FORECAST(B12,$D$4:$D$9,$B$4:$B$9)</f>
        <v>4.6943263631832686</v>
      </c>
      <c r="E12" s="109">
        <f t="shared" si="0"/>
        <v>9.619026553505837E-2</v>
      </c>
    </row>
    <row r="13" spans="2:12">
      <c r="B13" s="91">
        <v>11</v>
      </c>
      <c r="C13" s="91" t="str">
        <f>'Forecasting-Inevstment Ratios'!C13</f>
        <v>2028-E</v>
      </c>
      <c r="D13" s="389">
        <f t="shared" si="1"/>
        <v>5.1062516589825515</v>
      </c>
      <c r="E13" s="109">
        <f t="shared" si="0"/>
        <v>8.7749607489998285E-2</v>
      </c>
      <c r="L13" s="112"/>
    </row>
    <row r="14" spans="2:12">
      <c r="B14" s="91">
        <v>12</v>
      </c>
      <c r="C14" s="91" t="str">
        <f>'Forecasting-Inevstment Ratios'!C14</f>
        <v>2029-E</v>
      </c>
      <c r="D14" s="389">
        <f t="shared" si="1"/>
        <v>5.5181769547818345</v>
      </c>
      <c r="E14" s="109">
        <f t="shared" si="0"/>
        <v>8.0670778353560679E-2</v>
      </c>
      <c r="L14" s="111"/>
    </row>
    <row r="15" spans="2:12">
      <c r="B15" s="91">
        <v>13</v>
      </c>
      <c r="C15" s="91" t="str">
        <f>'Forecasting-Inevstment Ratios'!C15</f>
        <v>2030-E</v>
      </c>
      <c r="D15" s="389">
        <f t="shared" si="1"/>
        <v>5.9301022505811174</v>
      </c>
      <c r="E15" s="109">
        <f t="shared" si="0"/>
        <v>7.4648801438367204E-2</v>
      </c>
      <c r="L15" s="111"/>
    </row>
    <row r="16" spans="2:12">
      <c r="L16" s="111"/>
    </row>
    <row r="17" spans="2:7">
      <c r="B17" s="79" t="s">
        <v>68</v>
      </c>
      <c r="C17" s="76"/>
      <c r="D17" s="76"/>
      <c r="E17" s="76"/>
      <c r="F17" s="76"/>
      <c r="G17" s="76"/>
    </row>
    <row r="18" spans="2:7" ht="55.2" customHeight="1">
      <c r="B18" s="430" t="s">
        <v>290</v>
      </c>
      <c r="C18" s="430"/>
      <c r="D18" s="430"/>
      <c r="E18" s="430"/>
      <c r="F18" s="96"/>
      <c r="G18" s="96"/>
    </row>
    <row r="19" spans="2:7">
      <c r="B19" s="430"/>
      <c r="C19" s="430"/>
      <c r="D19" s="430"/>
      <c r="E19" s="430"/>
      <c r="F19" s="113"/>
    </row>
    <row r="20" spans="2:7">
      <c r="B20" s="430"/>
      <c r="C20" s="430"/>
      <c r="D20" s="430"/>
      <c r="E20" s="430"/>
      <c r="F20" s="113"/>
    </row>
    <row r="21" spans="2:7">
      <c r="B21" s="430"/>
      <c r="C21" s="430"/>
      <c r="D21" s="430"/>
      <c r="E21" s="430"/>
      <c r="F21" s="113"/>
    </row>
  </sheetData>
  <mergeCells count="2">
    <mergeCell ref="B2:E2"/>
    <mergeCell ref="B18:E2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E710-4C29-4030-9925-8D448335DBEC}">
  <sheetPr codeName="Sheet17"/>
  <dimension ref="B2:L21"/>
  <sheetViews>
    <sheetView showGridLines="0" workbookViewId="0">
      <selection activeCell="D11" sqref="D11"/>
    </sheetView>
  </sheetViews>
  <sheetFormatPr defaultRowHeight="14.4"/>
  <cols>
    <col min="1" max="1" width="1.88671875" style="110" customWidth="1"/>
    <col min="2" max="2" width="16.88671875" style="110" customWidth="1"/>
    <col min="3" max="3" width="16.5546875" style="110" bestFit="1" customWidth="1"/>
    <col min="4" max="4" width="18" style="110" bestFit="1" customWidth="1"/>
    <col min="5" max="5" width="24.77734375" style="110" bestFit="1" customWidth="1"/>
    <col min="6" max="16384" width="8.88671875" style="110"/>
  </cols>
  <sheetData>
    <row r="2" spans="2:12">
      <c r="B2" s="428" t="str">
        <f>"Interest Cover Ratio Forecasting"&amp;" - "&amp;BS!$B$2</f>
        <v>Interest Cover Ratio Forecasting - Ismail Industries Limited</v>
      </c>
      <c r="C2" s="428"/>
      <c r="D2" s="428"/>
      <c r="E2" s="428"/>
    </row>
    <row r="3" spans="2:12">
      <c r="B3" s="82" t="s">
        <v>60</v>
      </c>
      <c r="C3" s="82" t="s">
        <v>61</v>
      </c>
      <c r="D3" s="82" t="s">
        <v>291</v>
      </c>
      <c r="E3" s="82" t="s">
        <v>292</v>
      </c>
    </row>
    <row r="4" spans="2:12">
      <c r="B4" s="83">
        <v>1</v>
      </c>
      <c r="C4" s="83">
        <f>'Forecasting-Solvency Ratios'!C4</f>
        <v>2019</v>
      </c>
      <c r="D4" s="285">
        <f>'Ratio Analysis-Liquidity'!H$10</f>
        <v>2.4551378884586641</v>
      </c>
      <c r="E4" s="83" t="s">
        <v>22</v>
      </c>
    </row>
    <row r="5" spans="2:12">
      <c r="B5" s="83">
        <v>2</v>
      </c>
      <c r="C5" s="83">
        <f>'Forecasting-Solvency Ratios'!C5</f>
        <v>2020</v>
      </c>
      <c r="D5" s="285">
        <f>'Ratio Analysis-Liquidity'!G$10</f>
        <v>1.5700778517822505</v>
      </c>
      <c r="E5" s="106">
        <f>IFERROR((D5-D4)/D4,0)</f>
        <v>-0.36049300564216147</v>
      </c>
    </row>
    <row r="6" spans="2:12">
      <c r="B6" s="83">
        <v>3</v>
      </c>
      <c r="C6" s="83">
        <f>'Forecasting-Solvency Ratios'!C6</f>
        <v>2021</v>
      </c>
      <c r="D6" s="285">
        <f>'Ratio Analysis-Liquidity'!F$10</f>
        <v>3.3247494608651529</v>
      </c>
      <c r="E6" s="106">
        <f t="shared" ref="E6:E15" si="0">(D6-D5)/D5</f>
        <v>1.1175698116441253</v>
      </c>
    </row>
    <row r="7" spans="2:12">
      <c r="B7" s="83">
        <v>4</v>
      </c>
      <c r="C7" s="83">
        <f>'Forecasting-Solvency Ratios'!C7</f>
        <v>2022</v>
      </c>
      <c r="D7" s="285">
        <f>'Ratio Analysis-Liquidity'!E$10</f>
        <v>3.0016485265100883</v>
      </c>
      <c r="E7" s="106">
        <f t="shared" si="0"/>
        <v>-9.7180535904497475E-2</v>
      </c>
    </row>
    <row r="8" spans="2:12">
      <c r="B8" s="83">
        <v>5</v>
      </c>
      <c r="C8" s="83">
        <f>'Forecasting-Solvency Ratios'!C8</f>
        <v>2023</v>
      </c>
      <c r="D8" s="285">
        <f>'Ratio Analysis-Liquidity'!D$10</f>
        <v>2.3480873946798733</v>
      </c>
      <c r="E8" s="106">
        <f t="shared" si="0"/>
        <v>-0.21773406381795396</v>
      </c>
    </row>
    <row r="9" spans="2:12">
      <c r="B9" s="83">
        <v>6</v>
      </c>
      <c r="C9" s="83">
        <f>'Forecasting-Solvency Ratios'!C9</f>
        <v>2024</v>
      </c>
      <c r="D9" s="285">
        <f>'Ratio Analysis-Liquidity'!C$10</f>
        <v>1.8932594183085267</v>
      </c>
      <c r="E9" s="106">
        <f t="shared" si="0"/>
        <v>-0.19370146843846736</v>
      </c>
    </row>
    <row r="10" spans="2:12">
      <c r="B10" s="91">
        <v>8</v>
      </c>
      <c r="C10" s="91" t="str">
        <f>'Forecasting-Solvency Ratios'!C10</f>
        <v>2025-E</v>
      </c>
      <c r="D10" s="302">
        <f>FORECAST(B10,$D$4:$D$9,$B$4:$B$9)</f>
        <v>2.3295003485619601</v>
      </c>
      <c r="E10" s="109">
        <f t="shared" si="0"/>
        <v>0.2304179374653153</v>
      </c>
    </row>
    <row r="11" spans="2:12">
      <c r="B11" s="91">
        <v>9</v>
      </c>
      <c r="C11" s="91" t="str">
        <f>'Forecasting-Solvency Ratios'!C11</f>
        <v>2026-E</v>
      </c>
      <c r="D11" s="302">
        <f>FORECAST(B11,$D$4:$D$9,$B$4:$B$9)</f>
        <v>2.3066870726644488</v>
      </c>
      <c r="E11" s="109">
        <f t="shared" si="0"/>
        <v>-9.7932056166440476E-3</v>
      </c>
    </row>
    <row r="12" spans="2:12">
      <c r="B12" s="91">
        <v>10</v>
      </c>
      <c r="C12" s="91" t="str">
        <f>'Forecasting-Solvency Ratios'!C12</f>
        <v>2027-E</v>
      </c>
      <c r="D12" s="302">
        <f t="shared" ref="D12:D15" si="1">FORECAST(B12,$D$4:$D$9,$B$4:$B$9)</f>
        <v>2.283873796766938</v>
      </c>
      <c r="E12" s="109">
        <f t="shared" si="0"/>
        <v>-9.8900610177518559E-3</v>
      </c>
    </row>
    <row r="13" spans="2:12">
      <c r="B13" s="91">
        <v>11</v>
      </c>
      <c r="C13" s="91" t="str">
        <f>'Forecasting-Solvency Ratios'!C13</f>
        <v>2028-E</v>
      </c>
      <c r="D13" s="302">
        <f t="shared" si="1"/>
        <v>2.2610605208694272</v>
      </c>
      <c r="E13" s="109">
        <f t="shared" si="0"/>
        <v>-9.9888513672714251E-3</v>
      </c>
      <c r="L13" s="112"/>
    </row>
    <row r="14" spans="2:12">
      <c r="B14" s="91">
        <v>12</v>
      </c>
      <c r="C14" s="91" t="str">
        <f>'Forecasting-Solvency Ratios'!C14</f>
        <v>2029-E</v>
      </c>
      <c r="D14" s="302">
        <f t="shared" si="1"/>
        <v>2.238247244971916</v>
      </c>
      <c r="E14" s="109">
        <f t="shared" si="0"/>
        <v>-1.0089635233973769E-2</v>
      </c>
      <c r="L14" s="111"/>
    </row>
    <row r="15" spans="2:12">
      <c r="B15" s="91">
        <v>13</v>
      </c>
      <c r="C15" s="91" t="str">
        <f>'Forecasting-Solvency Ratios'!C15</f>
        <v>2030-E</v>
      </c>
      <c r="D15" s="302">
        <f t="shared" si="1"/>
        <v>2.2154339690744052</v>
      </c>
      <c r="E15" s="109">
        <f t="shared" si="0"/>
        <v>-1.019247357447191E-2</v>
      </c>
      <c r="L15" s="111"/>
    </row>
    <row r="16" spans="2:12">
      <c r="L16" s="111"/>
    </row>
    <row r="17" spans="2:7">
      <c r="B17" s="95" t="s">
        <v>68</v>
      </c>
      <c r="C17" s="76"/>
      <c r="D17" s="76"/>
      <c r="E17" s="76"/>
      <c r="F17" s="76"/>
      <c r="G17" s="76"/>
    </row>
    <row r="18" spans="2:7" ht="55.2" customHeight="1">
      <c r="B18" s="430" t="s">
        <v>293</v>
      </c>
      <c r="C18" s="430"/>
      <c r="D18" s="430"/>
      <c r="E18" s="430"/>
      <c r="F18" s="96"/>
      <c r="G18" s="96"/>
    </row>
    <row r="19" spans="2:7">
      <c r="B19" s="430"/>
      <c r="C19" s="430"/>
      <c r="D19" s="430"/>
      <c r="E19" s="430"/>
      <c r="F19" s="113"/>
    </row>
    <row r="20" spans="2:7">
      <c r="B20" s="430"/>
      <c r="C20" s="430"/>
      <c r="D20" s="430"/>
      <c r="E20" s="430"/>
      <c r="F20" s="113"/>
    </row>
    <row r="21" spans="2:7">
      <c r="B21" s="430"/>
      <c r="C21" s="430"/>
      <c r="D21" s="430"/>
      <c r="E21" s="430"/>
      <c r="F21" s="113"/>
    </row>
  </sheetData>
  <mergeCells count="2">
    <mergeCell ref="B2:E2"/>
    <mergeCell ref="B18:E2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B0B2-F23B-4A20-ACDC-760D4B31AE0A}">
  <sheetPr codeName="Sheet18"/>
  <dimension ref="B2:L22"/>
  <sheetViews>
    <sheetView showGridLines="0" workbookViewId="0">
      <selection activeCell="C17" sqref="C17"/>
    </sheetView>
  </sheetViews>
  <sheetFormatPr defaultRowHeight="14.4"/>
  <cols>
    <col min="1" max="1" width="1.88671875" style="110" customWidth="1"/>
    <col min="2" max="2" width="16.88671875" style="110" customWidth="1"/>
    <col min="3" max="3" width="16.5546875" style="110" bestFit="1" customWidth="1"/>
    <col min="4" max="4" width="18" style="110" bestFit="1" customWidth="1"/>
    <col min="5" max="5" width="24.77734375" style="110" bestFit="1" customWidth="1"/>
    <col min="6" max="16384" width="8.88671875" style="110"/>
  </cols>
  <sheetData>
    <row r="2" spans="2:12">
      <c r="B2" s="428" t="str">
        <f>"Operating Cycle (Days) Forecasting"&amp;" - "&amp;BS!$B$2</f>
        <v>Operating Cycle (Days) Forecasting - Ismail Industries Limited</v>
      </c>
      <c r="C2" s="428"/>
      <c r="D2" s="428"/>
      <c r="E2" s="428"/>
    </row>
    <row r="3" spans="2:12">
      <c r="B3" s="82" t="s">
        <v>60</v>
      </c>
      <c r="C3" s="82" t="s">
        <v>61</v>
      </c>
      <c r="D3" s="82" t="s">
        <v>153</v>
      </c>
      <c r="E3" s="82" t="s">
        <v>292</v>
      </c>
    </row>
    <row r="4" spans="2:12">
      <c r="B4" s="83">
        <v>1</v>
      </c>
      <c r="C4" s="83">
        <f>'Forecasting-Liquidity Ratios'!C4</f>
        <v>2019</v>
      </c>
      <c r="D4" s="293">
        <f>'Ratio Analysis-Activity'!H$10</f>
        <v>38.731913360688793</v>
      </c>
      <c r="E4" s="83" t="s">
        <v>22</v>
      </c>
    </row>
    <row r="5" spans="2:12">
      <c r="B5" s="83">
        <v>2</v>
      </c>
      <c r="C5" s="83">
        <f>'Forecasting-Liquidity Ratios'!C5</f>
        <v>2020</v>
      </c>
      <c r="D5" s="293">
        <f>'Ratio Analysis-Activity'!G$10</f>
        <v>64.576350220687161</v>
      </c>
      <c r="E5" s="106">
        <f>IFERROR((D5-D4)/D4,0)</f>
        <v>0.6672646563913196</v>
      </c>
    </row>
    <row r="6" spans="2:12">
      <c r="B6" s="83">
        <v>3</v>
      </c>
      <c r="C6" s="83">
        <f>'Forecasting-Liquidity Ratios'!C6</f>
        <v>2021</v>
      </c>
      <c r="D6" s="293">
        <f>'Ratio Analysis-Activity'!F$10</f>
        <v>71.466630271102019</v>
      </c>
      <c r="E6" s="106">
        <f t="shared" ref="E6:E15" si="0">(D6-D5)/D5</f>
        <v>0.10669974420771064</v>
      </c>
    </row>
    <row r="7" spans="2:12">
      <c r="B7" s="83">
        <v>4</v>
      </c>
      <c r="C7" s="83">
        <f>'Forecasting-Liquidity Ratios'!C7</f>
        <v>2022</v>
      </c>
      <c r="D7" s="293">
        <f>'Ratio Analysis-Activity'!E$10</f>
        <v>63.941149408471432</v>
      </c>
      <c r="E7" s="106">
        <f t="shared" si="0"/>
        <v>-0.10530062539794272</v>
      </c>
    </row>
    <row r="8" spans="2:12">
      <c r="B8" s="83">
        <v>5</v>
      </c>
      <c r="C8" s="83">
        <f>'Forecasting-Liquidity Ratios'!C8</f>
        <v>2023</v>
      </c>
      <c r="D8" s="293">
        <f>'Ratio Analysis-Activity'!D$10</f>
        <v>65.4148342915461</v>
      </c>
      <c r="E8" s="106">
        <f t="shared" si="0"/>
        <v>2.3047519425408117E-2</v>
      </c>
    </row>
    <row r="9" spans="2:12">
      <c r="B9" s="83">
        <v>6</v>
      </c>
      <c r="C9" s="83">
        <f>'Forecasting-Liquidity Ratios'!C9</f>
        <v>2024</v>
      </c>
      <c r="D9" s="293">
        <f>'Ratio Analysis-Activity'!C$10</f>
        <v>60.233882765510884</v>
      </c>
      <c r="E9" s="106">
        <f t="shared" si="0"/>
        <v>-7.9201477495828149E-2</v>
      </c>
    </row>
    <row r="10" spans="2:12">
      <c r="B10" s="91">
        <v>8</v>
      </c>
      <c r="C10" s="91" t="str">
        <f>'Forecasting-Liquidity Ratios'!C10</f>
        <v>2025-E</v>
      </c>
      <c r="D10" s="303">
        <f>FORECAST(B10,$D$4:$D$9,$B$4:$B$9)</f>
        <v>73.906008129665494</v>
      </c>
      <c r="E10" s="109">
        <f t="shared" si="0"/>
        <v>0.2269839621227786</v>
      </c>
    </row>
    <row r="11" spans="2:12">
      <c r="B11" s="91">
        <v>9</v>
      </c>
      <c r="C11" s="91" t="str">
        <f>'Forecasting-Liquidity Ratios'!C11</f>
        <v>2026-E</v>
      </c>
      <c r="D11" s="303">
        <f>FORECAST(B11,$D$4:$D$9,$B$4:$B$9)</f>
        <v>76.834574368924265</v>
      </c>
      <c r="E11" s="109">
        <f t="shared" si="0"/>
        <v>3.9625550254597762E-2</v>
      </c>
    </row>
    <row r="12" spans="2:12">
      <c r="B12" s="91">
        <v>10</v>
      </c>
      <c r="C12" s="91" t="str">
        <f>'Forecasting-Liquidity Ratios'!C12</f>
        <v>2027-E</v>
      </c>
      <c r="D12" s="303">
        <f t="shared" ref="D12:D15" si="1">FORECAST(B12,$D$4:$D$9,$B$4:$B$9)</f>
        <v>79.763140608183022</v>
      </c>
      <c r="E12" s="109">
        <f t="shared" si="0"/>
        <v>3.811521392956678E-2</v>
      </c>
    </row>
    <row r="13" spans="2:12">
      <c r="B13" s="91">
        <v>11</v>
      </c>
      <c r="C13" s="91" t="str">
        <f>'Forecasting-Liquidity Ratios'!C13</f>
        <v>2028-E</v>
      </c>
      <c r="D13" s="303">
        <f t="shared" si="1"/>
        <v>82.691706847441793</v>
      </c>
      <c r="E13" s="109">
        <f t="shared" si="0"/>
        <v>3.6715783968996892E-2</v>
      </c>
      <c r="L13" s="112"/>
    </row>
    <row r="14" spans="2:12">
      <c r="B14" s="91">
        <v>12</v>
      </c>
      <c r="C14" s="91" t="str">
        <f>'Forecasting-Liquidity Ratios'!C14</f>
        <v>2029-E</v>
      </c>
      <c r="D14" s="303">
        <f>FORECAST(B14,$D$4:$D$9,$B$4:$B$9)</f>
        <v>85.62027308670055</v>
      </c>
      <c r="E14" s="109">
        <f t="shared" si="0"/>
        <v>3.5415476967499034E-2</v>
      </c>
      <c r="L14" s="111"/>
    </row>
    <row r="15" spans="2:12">
      <c r="B15" s="91">
        <v>13</v>
      </c>
      <c r="C15" s="91" t="str">
        <f>'Forecasting-Liquidity Ratios'!C15</f>
        <v>2030-E</v>
      </c>
      <c r="D15" s="303">
        <f t="shared" si="1"/>
        <v>88.548839325959307</v>
      </c>
      <c r="E15" s="109">
        <f t="shared" si="0"/>
        <v>3.4204121683812441E-2</v>
      </c>
      <c r="L15" s="111"/>
    </row>
    <row r="16" spans="2:12">
      <c r="L16" s="111"/>
    </row>
    <row r="17" spans="2:7">
      <c r="B17" s="95" t="s">
        <v>68</v>
      </c>
      <c r="C17" s="76"/>
      <c r="D17" s="76"/>
      <c r="E17" s="76"/>
      <c r="F17" s="76"/>
      <c r="G17" s="76"/>
    </row>
    <row r="18" spans="2:7" ht="55.2" customHeight="1">
      <c r="B18" s="430" t="s">
        <v>294</v>
      </c>
      <c r="C18" s="430"/>
      <c r="D18" s="430"/>
      <c r="E18" s="430"/>
      <c r="F18" s="96"/>
      <c r="G18" s="96"/>
    </row>
    <row r="19" spans="2:7">
      <c r="B19" s="430"/>
      <c r="C19" s="430"/>
      <c r="D19" s="430"/>
      <c r="E19" s="430"/>
      <c r="F19" s="113"/>
    </row>
    <row r="20" spans="2:7">
      <c r="B20" s="430"/>
      <c r="C20" s="430"/>
      <c r="D20" s="430"/>
      <c r="E20" s="430"/>
      <c r="F20" s="113"/>
    </row>
    <row r="21" spans="2:7">
      <c r="B21" s="430"/>
      <c r="C21" s="430"/>
      <c r="D21" s="430"/>
      <c r="E21" s="430"/>
      <c r="F21" s="113"/>
    </row>
    <row r="22" spans="2:7">
      <c r="B22" s="430"/>
      <c r="C22" s="430"/>
      <c r="D22" s="430"/>
      <c r="E22" s="430"/>
    </row>
  </sheetData>
  <mergeCells count="2">
    <mergeCell ref="B2:E2"/>
    <mergeCell ref="B18:E2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89EC-DC8F-43E8-8481-F5CF43D63CA5}">
  <sheetPr codeName="Sheet19"/>
  <dimension ref="B2:O47"/>
  <sheetViews>
    <sheetView showGridLines="0" topLeftCell="C19" workbookViewId="0">
      <selection activeCell="B31" sqref="B31:K42"/>
    </sheetView>
  </sheetViews>
  <sheetFormatPr defaultRowHeight="14.4"/>
  <cols>
    <col min="1" max="1" width="1.88671875" style="114" customWidth="1"/>
    <col min="2" max="2" width="24" style="114" customWidth="1"/>
    <col min="3" max="3" width="20.44140625" style="114" customWidth="1"/>
    <col min="4" max="7" width="13.6640625" style="114" bestFit="1" customWidth="1"/>
    <col min="8" max="8" width="9.88671875" style="114" customWidth="1"/>
    <col min="9" max="9" width="20.88671875" style="114" customWidth="1"/>
    <col min="10" max="11" width="18.33203125" style="114" customWidth="1"/>
    <col min="12" max="16384" width="8.88671875" style="114"/>
  </cols>
  <sheetData>
    <row r="2" spans="2:5">
      <c r="B2" s="433" t="str">
        <f>"Scenario Analysis-PE Ratio"&amp;" - "&amp;BS!B2</f>
        <v>Scenario Analysis-PE Ratio - Ismail Industries Limited</v>
      </c>
      <c r="C2" s="433"/>
      <c r="D2" s="433"/>
      <c r="E2" s="433"/>
    </row>
    <row r="4" spans="2:5">
      <c r="B4" s="434" t="s">
        <v>91</v>
      </c>
      <c r="C4" s="434"/>
    </row>
    <row r="6" spans="2:5">
      <c r="B6" s="116" t="s">
        <v>92</v>
      </c>
      <c r="C6" s="117">
        <f>Pnl!C21</f>
        <v>92.410077981293284</v>
      </c>
    </row>
    <row r="7" spans="2:5">
      <c r="B7" s="116" t="s">
        <v>93</v>
      </c>
      <c r="C7" s="118">
        <f>'Forecasting-EPS'!E10</f>
        <v>0.40585120988924295</v>
      </c>
    </row>
    <row r="8" spans="2:5">
      <c r="B8" s="116"/>
      <c r="C8" s="118"/>
    </row>
    <row r="9" spans="2:5">
      <c r="B9" s="114" t="s">
        <v>94</v>
      </c>
      <c r="C9" s="117">
        <f>Pnl!C24</f>
        <v>1473.97</v>
      </c>
    </row>
    <row r="10" spans="2:5">
      <c r="B10" s="114" t="s">
        <v>95</v>
      </c>
      <c r="C10" s="118">
        <f>'Forecasting-Inevstment Ratios'!E55</f>
        <v>-2.8212804314300014E-2</v>
      </c>
    </row>
    <row r="11" spans="2:5">
      <c r="C11" s="117"/>
    </row>
    <row r="12" spans="2:5">
      <c r="B12" s="114" t="s">
        <v>96</v>
      </c>
      <c r="C12" s="117">
        <f>C6*(1+C7)</f>
        <v>129.91481993596045</v>
      </c>
    </row>
    <row r="13" spans="2:5">
      <c r="B13" s="114" t="s">
        <v>97</v>
      </c>
      <c r="C13" s="117">
        <f>C9*(1+C10)</f>
        <v>1432.3851728248512</v>
      </c>
    </row>
    <row r="14" spans="2:5">
      <c r="C14" s="117"/>
    </row>
    <row r="15" spans="2:5">
      <c r="B15" s="114" t="s">
        <v>98</v>
      </c>
      <c r="C15" s="117">
        <f>C13/C12</f>
        <v>11.025571782579723</v>
      </c>
    </row>
    <row r="16" spans="2:5" ht="15" thickBot="1"/>
    <row r="17" spans="2:15" ht="29.4" customHeight="1" thickBot="1">
      <c r="B17" s="115" t="s">
        <v>99</v>
      </c>
      <c r="C17" s="435" t="s">
        <v>100</v>
      </c>
      <c r="D17" s="436"/>
      <c r="E17" s="436"/>
      <c r="F17" s="436"/>
      <c r="G17" s="437"/>
      <c r="I17" s="115" t="s">
        <v>99</v>
      </c>
      <c r="J17" s="435" t="s">
        <v>101</v>
      </c>
      <c r="K17" s="436"/>
      <c r="L17" s="436"/>
      <c r="M17" s="436"/>
      <c r="N17" s="436"/>
      <c r="O17" s="437"/>
    </row>
    <row r="18" spans="2:15">
      <c r="B18" s="116"/>
      <c r="C18" s="119"/>
      <c r="D18" s="119"/>
      <c r="E18" s="119"/>
      <c r="F18" s="119"/>
      <c r="I18" s="116"/>
      <c r="J18" s="116"/>
    </row>
    <row r="19" spans="2:15">
      <c r="B19" s="115" t="s">
        <v>102</v>
      </c>
      <c r="C19" s="115" t="s">
        <v>89</v>
      </c>
      <c r="I19" s="115" t="s">
        <v>103</v>
      </c>
      <c r="J19" s="115" t="s">
        <v>89</v>
      </c>
      <c r="K19" s="120"/>
    </row>
    <row r="20" spans="2:15">
      <c r="B20" s="116"/>
      <c r="C20" s="121">
        <f>C15</f>
        <v>11.025571782579723</v>
      </c>
      <c r="I20" s="116"/>
      <c r="J20" s="121">
        <f>C15</f>
        <v>11.025571782579723</v>
      </c>
    </row>
    <row r="21" spans="2:15">
      <c r="B21" s="122">
        <v>0.1</v>
      </c>
      <c r="C21" s="123">
        <f t="dataTable" ref="C21:C28" dt2D="0" dtr="0" r1="C7"/>
        <v>14.091194027509454</v>
      </c>
      <c r="I21" s="122">
        <v>-0.15</v>
      </c>
      <c r="J21" s="123">
        <f t="dataTable" ref="J21:J28" dt2D="0" dtr="0" r1="C10" ca="1"/>
        <v>9.6438150829719458</v>
      </c>
      <c r="K21" s="124"/>
    </row>
    <row r="22" spans="2:15">
      <c r="B22" s="122">
        <f>B21+10%</f>
        <v>0.2</v>
      </c>
      <c r="C22" s="123">
        <v>12.916927858550334</v>
      </c>
      <c r="I22" s="122">
        <f>I21+5%</f>
        <v>-9.9999999999999992E-2</v>
      </c>
      <c r="J22" s="123">
        <v>10.211098323146768</v>
      </c>
      <c r="K22" s="124"/>
    </row>
    <row r="23" spans="2:15">
      <c r="B23" s="122">
        <f t="shared" ref="B23:B28" si="0">B22+10%</f>
        <v>0.30000000000000004</v>
      </c>
      <c r="C23" s="123">
        <v>11.923318023277231</v>
      </c>
      <c r="E23" s="125"/>
      <c r="I23" s="122">
        <v>-7.9200000000000007E-2</v>
      </c>
      <c r="J23" s="123">
        <v>10.447088151059493</v>
      </c>
      <c r="K23" s="124"/>
    </row>
    <row r="24" spans="2:15">
      <c r="B24" s="126">
        <v>0.40589999999999998</v>
      </c>
      <c r="C24" s="127">
        <v>11.025189153041042</v>
      </c>
      <c r="I24" s="126">
        <v>-2.8199999999999999E-2</v>
      </c>
      <c r="J24" s="127">
        <v>11.025717056037811</v>
      </c>
      <c r="K24" s="124"/>
    </row>
    <row r="25" spans="2:15">
      <c r="B25" s="122">
        <f t="shared" si="0"/>
        <v>0.50590000000000002</v>
      </c>
      <c r="C25" s="123">
        <v>10.293056265529184</v>
      </c>
      <c r="I25" s="122">
        <f t="shared" ref="I25:I28" si="1">I24+5%</f>
        <v>2.1800000000000003E-2</v>
      </c>
      <c r="J25" s="123">
        <v>11.593000296212631</v>
      </c>
      <c r="K25" s="124"/>
    </row>
    <row r="26" spans="2:15">
      <c r="B26" s="122">
        <f t="shared" si="0"/>
        <v>0.60589999999999999</v>
      </c>
      <c r="C26" s="123">
        <v>9.6521037612929828</v>
      </c>
      <c r="I26" s="122">
        <f t="shared" si="1"/>
        <v>7.1800000000000003E-2</v>
      </c>
      <c r="J26" s="123">
        <v>12.160283536387453</v>
      </c>
      <c r="K26" s="124"/>
    </row>
    <row r="27" spans="2:15">
      <c r="B27" s="122">
        <f t="shared" si="0"/>
        <v>0.70589999999999997</v>
      </c>
      <c r="C27" s="123">
        <v>9.0862966353598704</v>
      </c>
      <c r="I27" s="122">
        <f t="shared" si="1"/>
        <v>0.12180000000000001</v>
      </c>
      <c r="J27" s="123">
        <v>12.727566776562268</v>
      </c>
      <c r="K27" s="124"/>
    </row>
    <row r="28" spans="2:15">
      <c r="B28" s="122">
        <f t="shared" si="0"/>
        <v>0.80589999999999995</v>
      </c>
      <c r="C28" s="123">
        <v>8.5831515755359664</v>
      </c>
      <c r="I28" s="122">
        <f t="shared" si="1"/>
        <v>0.17180000000000001</v>
      </c>
      <c r="J28" s="123">
        <v>13.29485001673709</v>
      </c>
      <c r="K28" s="124"/>
    </row>
    <row r="31" spans="2:15">
      <c r="B31" s="115" t="s">
        <v>104</v>
      </c>
      <c r="C31" s="128" t="s">
        <v>105</v>
      </c>
      <c r="D31" s="116"/>
      <c r="E31" s="116"/>
      <c r="F31" s="116"/>
      <c r="G31" s="116"/>
      <c r="H31" s="116"/>
      <c r="I31" s="116"/>
    </row>
    <row r="32" spans="2:15">
      <c r="B32" s="116"/>
      <c r="C32" s="116"/>
      <c r="D32" s="116"/>
      <c r="E32" s="116"/>
      <c r="F32" s="116"/>
      <c r="G32" s="116"/>
      <c r="H32" s="116"/>
      <c r="I32" s="116"/>
    </row>
    <row r="33" spans="2:11">
      <c r="B33" s="129"/>
      <c r="C33" s="130"/>
      <c r="D33" s="438" t="str">
        <f>I19</f>
        <v>Mkt Price Growth Rate</v>
      </c>
      <c r="E33" s="438"/>
      <c r="F33" s="438"/>
      <c r="G33" s="438"/>
      <c r="H33" s="438"/>
      <c r="I33" s="438"/>
      <c r="J33" s="438"/>
      <c r="K33" s="438"/>
    </row>
    <row r="34" spans="2:11">
      <c r="B34" s="131"/>
      <c r="C34" s="132">
        <f>C15</f>
        <v>11.025571782579723</v>
      </c>
      <c r="D34" s="133">
        <v>-0.15</v>
      </c>
      <c r="E34" s="134">
        <v>-9.9999999999999992E-2</v>
      </c>
      <c r="F34" s="134">
        <v>-7.9200000000000007E-2</v>
      </c>
      <c r="G34" s="135">
        <v>-2.8199999999999999E-2</v>
      </c>
      <c r="H34" s="133">
        <v>2.1800000000000003E-2</v>
      </c>
      <c r="I34" s="133">
        <v>7.1800000000000003E-2</v>
      </c>
      <c r="J34" s="136">
        <v>0.12180000000000001</v>
      </c>
      <c r="K34" s="136">
        <v>0.17180000000000001</v>
      </c>
    </row>
    <row r="35" spans="2:11">
      <c r="B35" s="131"/>
      <c r="C35" s="305">
        <v>0.1</v>
      </c>
      <c r="D35" s="306">
        <f t="dataTable" ref="D35:K42" dt2D="1" dtr="1" r1="C10" r2="C7" ca="1"/>
        <v>12.325244638494764</v>
      </c>
      <c r="E35" s="307">
        <v>13.050259028994457</v>
      </c>
      <c r="F35" s="307">
        <v>13.351865015442328</v>
      </c>
      <c r="G35" s="307">
        <v>14.091379693752016</v>
      </c>
      <c r="H35" s="307">
        <v>14.816394084251707</v>
      </c>
      <c r="I35" s="307">
        <v>15.541408474751401</v>
      </c>
      <c r="J35" s="308">
        <v>16.266422865251087</v>
      </c>
      <c r="K35" s="309">
        <v>16.991437255750782</v>
      </c>
    </row>
    <row r="36" spans="2:11">
      <c r="B36" s="131"/>
      <c r="C36" s="305">
        <v>0.2</v>
      </c>
      <c r="D36" s="310">
        <v>11.2981409186202</v>
      </c>
      <c r="E36" s="137">
        <v>11.96273744324492</v>
      </c>
      <c r="F36" s="137">
        <v>12.239209597488802</v>
      </c>
      <c r="G36" s="137">
        <v>12.917098052606015</v>
      </c>
      <c r="H36" s="137">
        <v>13.581694577230733</v>
      </c>
      <c r="I36" s="137">
        <v>14.246291101855453</v>
      </c>
      <c r="J36" s="311">
        <v>14.910887626480166</v>
      </c>
      <c r="K36" s="312">
        <v>15.575484151104886</v>
      </c>
    </row>
    <row r="37" spans="2:11">
      <c r="B37" s="131"/>
      <c r="C37" s="305">
        <v>0.30000000000000004</v>
      </c>
      <c r="D37" s="310">
        <v>10.429053155649415</v>
      </c>
      <c r="E37" s="137">
        <v>11.042526870687617</v>
      </c>
      <c r="F37" s="137">
        <v>11.297731936143508</v>
      </c>
      <c r="G37" s="137">
        <v>11.923475125482474</v>
      </c>
      <c r="H37" s="137">
        <v>12.536948840520674</v>
      </c>
      <c r="I37" s="137">
        <v>13.150422555558878</v>
      </c>
      <c r="J37" s="311">
        <v>13.763896270597074</v>
      </c>
      <c r="K37" s="312">
        <v>14.377369985635276</v>
      </c>
    </row>
    <row r="38" spans="2:11">
      <c r="B38" s="131"/>
      <c r="C38" s="318">
        <v>0.40589999999999998</v>
      </c>
      <c r="D38" s="310">
        <v>9.6434804056790959</v>
      </c>
      <c r="E38" s="137">
        <v>10.210743958954339</v>
      </c>
      <c r="F38" s="137">
        <v>10.446725597116837</v>
      </c>
      <c r="G38" s="304">
        <v>11.025334421457584</v>
      </c>
      <c r="H38" s="137">
        <v>11.592597974732826</v>
      </c>
      <c r="I38" s="137">
        <v>12.159861528008069</v>
      </c>
      <c r="J38" s="311">
        <v>12.727125081283305</v>
      </c>
      <c r="K38" s="312">
        <v>13.294388634558548</v>
      </c>
    </row>
    <row r="39" spans="2:11">
      <c r="B39" s="138" t="str">
        <f>B19</f>
        <v>EPS Growth Rate</v>
      </c>
      <c r="C39" s="305">
        <v>0.50590000000000002</v>
      </c>
      <c r="D39" s="310">
        <v>9.0031005394410251</v>
      </c>
      <c r="E39" s="137">
        <v>9.5326946888199107</v>
      </c>
      <c r="F39" s="137">
        <v>9.7530058549615237</v>
      </c>
      <c r="G39" s="137">
        <v>10.293191887327987</v>
      </c>
      <c r="H39" s="137">
        <v>10.822786036706871</v>
      </c>
      <c r="I39" s="137">
        <v>11.352380186085757</v>
      </c>
      <c r="J39" s="311">
        <v>11.881974335464637</v>
      </c>
      <c r="K39" s="312">
        <v>12.411568484843523</v>
      </c>
    </row>
    <row r="40" spans="2:11">
      <c r="B40" s="131"/>
      <c r="C40" s="305">
        <v>0.60589999999999999</v>
      </c>
      <c r="D40" s="310">
        <v>8.4424740658473389</v>
      </c>
      <c r="E40" s="137">
        <v>8.9390901873677713</v>
      </c>
      <c r="F40" s="137">
        <v>9.145682493920269</v>
      </c>
      <c r="G40" s="137">
        <v>9.6522309378711117</v>
      </c>
      <c r="H40" s="137">
        <v>10.148847059391542</v>
      </c>
      <c r="I40" s="137">
        <v>10.645463180911976</v>
      </c>
      <c r="J40" s="311">
        <v>11.142079302432403</v>
      </c>
      <c r="K40" s="312">
        <v>11.638695423952838</v>
      </c>
    </row>
    <row r="41" spans="2:11">
      <c r="B41" s="131"/>
      <c r="C41" s="305">
        <v>0.70589999999999997</v>
      </c>
      <c r="D41" s="310">
        <v>7.9475755333514515</v>
      </c>
      <c r="E41" s="137">
        <v>8.415079976489773</v>
      </c>
      <c r="F41" s="137">
        <v>8.6095618248353141</v>
      </c>
      <c r="G41" s="137">
        <v>9.086416356836402</v>
      </c>
      <c r="H41" s="137">
        <v>9.5539207999747227</v>
      </c>
      <c r="I41" s="137">
        <v>10.021425243113045</v>
      </c>
      <c r="J41" s="311">
        <v>10.488929686251362</v>
      </c>
      <c r="K41" s="312">
        <v>10.956434129389685</v>
      </c>
    </row>
    <row r="42" spans="2:11">
      <c r="B42" s="139"/>
      <c r="C42" s="313">
        <v>0.80589999999999995</v>
      </c>
      <c r="D42" s="314">
        <v>7.5074860747240946</v>
      </c>
      <c r="E42" s="315">
        <v>7.9491029026490425</v>
      </c>
      <c r="F42" s="315">
        <v>8.1328155030658191</v>
      </c>
      <c r="G42" s="315">
        <v>8.5832646675492654</v>
      </c>
      <c r="H42" s="315">
        <v>9.0248814954742134</v>
      </c>
      <c r="I42" s="315">
        <v>9.4664983233991613</v>
      </c>
      <c r="J42" s="316">
        <v>9.9081151513241039</v>
      </c>
      <c r="K42" s="317">
        <v>10.349731979249052</v>
      </c>
    </row>
    <row r="44" spans="2:11">
      <c r="B44" s="140" t="s">
        <v>68</v>
      </c>
    </row>
    <row r="45" spans="2:11" ht="14.4" customHeight="1">
      <c r="B45" s="432" t="s">
        <v>106</v>
      </c>
      <c r="C45" s="432"/>
      <c r="D45" s="432"/>
      <c r="E45" s="432"/>
      <c r="F45" s="432"/>
    </row>
    <row r="46" spans="2:11">
      <c r="B46" s="432"/>
      <c r="C46" s="432"/>
      <c r="D46" s="432"/>
      <c r="E46" s="432"/>
      <c r="F46" s="432"/>
    </row>
    <row r="47" spans="2:11">
      <c r="B47" s="141"/>
      <c r="C47" s="141"/>
      <c r="D47" s="141"/>
      <c r="E47" s="141"/>
      <c r="F47" s="141"/>
    </row>
  </sheetData>
  <mergeCells count="6">
    <mergeCell ref="B45:F46"/>
    <mergeCell ref="B2:E2"/>
    <mergeCell ref="B4:C4"/>
    <mergeCell ref="C17:G17"/>
    <mergeCell ref="J17:O17"/>
    <mergeCell ref="D33:K3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A4DA6-A74F-4066-985D-4F25BA4987A1}">
  <sheetPr codeName="Sheet20"/>
  <dimension ref="B2:J48"/>
  <sheetViews>
    <sheetView showGridLines="0" workbookViewId="0">
      <selection activeCell="B38" sqref="B38"/>
    </sheetView>
  </sheetViews>
  <sheetFormatPr defaultRowHeight="14.4"/>
  <cols>
    <col min="1" max="1" width="3.6640625" style="114" customWidth="1"/>
    <col min="2" max="2" width="25" style="114" customWidth="1"/>
    <col min="3" max="3" width="20.44140625" style="114" customWidth="1"/>
    <col min="4" max="7" width="13.6640625" style="114" bestFit="1" customWidth="1"/>
    <col min="8" max="8" width="9.77734375" style="114" customWidth="1"/>
    <col min="9" max="9" width="20.77734375" style="114" customWidth="1"/>
    <col min="10" max="10" width="18.33203125" style="114" customWidth="1"/>
    <col min="11" max="16384" width="8.88671875" style="114"/>
  </cols>
  <sheetData>
    <row r="2" spans="2:10">
      <c r="B2" s="433" t="str">
        <f>"Dividend Payout Policy Analysis-"&amp;" - "&amp;BS!B2</f>
        <v>Dividend Payout Policy Analysis- - Ismail Industries Limited</v>
      </c>
      <c r="C2" s="433"/>
      <c r="D2" s="433"/>
      <c r="E2" s="433"/>
      <c r="F2" s="433"/>
    </row>
    <row r="4" spans="2:10">
      <c r="B4" s="434" t="s">
        <v>91</v>
      </c>
      <c r="C4" s="434"/>
    </row>
    <row r="6" spans="2:10">
      <c r="B6" s="116" t="s">
        <v>92</v>
      </c>
      <c r="C6" s="117">
        <f>'Scenario Analsis-PE Ratio'!C6</f>
        <v>92.410077981293284</v>
      </c>
    </row>
    <row r="7" spans="2:10">
      <c r="B7" s="114" t="s">
        <v>107</v>
      </c>
      <c r="C7" s="118">
        <f>Pnl!C38</f>
        <v>0.10821330550142286</v>
      </c>
      <c r="D7" s="142"/>
    </row>
    <row r="8" spans="2:10">
      <c r="C8" s="143"/>
    </row>
    <row r="9" spans="2:10">
      <c r="B9" s="116" t="s">
        <v>108</v>
      </c>
      <c r="C9" s="117">
        <f>C6*C7</f>
        <v>10</v>
      </c>
    </row>
    <row r="10" spans="2:10">
      <c r="B10" s="116"/>
      <c r="C10" s="117"/>
    </row>
    <row r="11" spans="2:10">
      <c r="B11" s="114" t="s">
        <v>94</v>
      </c>
      <c r="C11" s="117">
        <f>'Scenario Analsis-PE Ratio'!C9</f>
        <v>1473.97</v>
      </c>
    </row>
    <row r="12" spans="2:10">
      <c r="B12" s="114" t="s">
        <v>109</v>
      </c>
      <c r="C12" s="319">
        <f>C9/C11</f>
        <v>6.7843985969863697E-3</v>
      </c>
    </row>
    <row r="13" spans="2:10">
      <c r="C13" s="117"/>
    </row>
    <row r="14" spans="2:10">
      <c r="B14" s="114" t="s">
        <v>301</v>
      </c>
      <c r="C14" s="337">
        <f>C6/C9</f>
        <v>9.2410077981293277</v>
      </c>
    </row>
    <row r="16" spans="2:10">
      <c r="B16" s="115" t="s">
        <v>99</v>
      </c>
      <c r="C16" s="128" t="s">
        <v>110</v>
      </c>
      <c r="I16" s="115" t="s">
        <v>99</v>
      </c>
      <c r="J16" s="128" t="s">
        <v>111</v>
      </c>
    </row>
    <row r="17" spans="2:10">
      <c r="B17" s="116"/>
      <c r="C17" s="116"/>
      <c r="I17" s="116"/>
      <c r="J17" s="116"/>
    </row>
    <row r="18" spans="2:10">
      <c r="B18" s="115" t="s">
        <v>112</v>
      </c>
      <c r="C18" s="115" t="s">
        <v>113</v>
      </c>
      <c r="I18" s="115" t="s">
        <v>112</v>
      </c>
      <c r="J18" s="115" t="s">
        <v>114</v>
      </c>
    </row>
    <row r="19" spans="2:10">
      <c r="B19" s="116"/>
      <c r="C19" s="121">
        <f>C9</f>
        <v>10</v>
      </c>
      <c r="I19" s="116"/>
      <c r="J19" s="320">
        <f>C12</f>
        <v>6.7843985969863697E-3</v>
      </c>
    </row>
    <row r="20" spans="2:10">
      <c r="B20" s="122">
        <v>0.01</v>
      </c>
      <c r="C20" s="123">
        <f t="dataTable" ref="C20:C27" dt2D="0" dtr="0" r1="C7"/>
        <v>0.92410077981293282</v>
      </c>
      <c r="I20" s="122">
        <v>0.01</v>
      </c>
      <c r="J20" s="321">
        <f t="dataTable" ref="J20:J27" dt2D="0" dtr="0" r1="C7" ca="1"/>
        <v>6.2694680340368719E-4</v>
      </c>
    </row>
    <row r="21" spans="2:10">
      <c r="B21" s="122">
        <f>B20+5%</f>
        <v>6.0000000000000005E-2</v>
      </c>
      <c r="C21" s="144">
        <v>5.5446046788775973</v>
      </c>
      <c r="I21" s="122">
        <v>0.05</v>
      </c>
      <c r="J21" s="322">
        <v>3.1347340170184363E-3</v>
      </c>
    </row>
    <row r="22" spans="2:10">
      <c r="B22" s="126">
        <v>0.1082</v>
      </c>
      <c r="C22" s="127">
        <v>9.9987704375759332</v>
      </c>
      <c r="E22" s="125"/>
      <c r="I22" s="126">
        <v>0.1082</v>
      </c>
      <c r="J22" s="323">
        <v>6.7835644128278957E-3</v>
      </c>
    </row>
    <row r="23" spans="2:10">
      <c r="B23" s="122">
        <f t="shared" ref="B23:B27" si="0">B22+5%</f>
        <v>0.15820000000000001</v>
      </c>
      <c r="C23" s="144">
        <v>14.619274336640599</v>
      </c>
      <c r="I23" s="122">
        <v>0.15820000000000001</v>
      </c>
      <c r="J23" s="322">
        <v>9.9182984298463329E-3</v>
      </c>
    </row>
    <row r="24" spans="2:10">
      <c r="B24" s="122">
        <f t="shared" si="0"/>
        <v>0.2082</v>
      </c>
      <c r="C24" s="144">
        <v>19.239778235705263</v>
      </c>
      <c r="I24" s="122">
        <v>0.2082</v>
      </c>
      <c r="J24" s="322">
        <v>1.3053032446864768E-2</v>
      </c>
    </row>
    <row r="25" spans="2:10">
      <c r="B25" s="122">
        <f t="shared" si="0"/>
        <v>0.25819999999999999</v>
      </c>
      <c r="C25" s="123">
        <v>23.860282134769925</v>
      </c>
      <c r="I25" s="122">
        <v>0.25819999999999999</v>
      </c>
      <c r="J25" s="321">
        <v>1.6187766463883202E-2</v>
      </c>
    </row>
    <row r="26" spans="2:10">
      <c r="B26" s="122">
        <f t="shared" si="0"/>
        <v>0.30819999999999997</v>
      </c>
      <c r="C26" s="144">
        <v>28.480786033834587</v>
      </c>
      <c r="I26" s="122">
        <v>0.30819999999999997</v>
      </c>
      <c r="J26" s="322">
        <v>1.9322500480901637E-2</v>
      </c>
    </row>
    <row r="27" spans="2:10">
      <c r="B27" s="122">
        <f t="shared" si="0"/>
        <v>0.35819999999999996</v>
      </c>
      <c r="C27" s="144">
        <v>33.101289932899249</v>
      </c>
      <c r="I27" s="122">
        <v>0.35819999999999996</v>
      </c>
      <c r="J27" s="322">
        <v>2.2457234497920073E-2</v>
      </c>
    </row>
    <row r="32" spans="2:10">
      <c r="B32" s="115" t="s">
        <v>99</v>
      </c>
      <c r="C32" s="128" t="s">
        <v>302</v>
      </c>
    </row>
    <row r="33" spans="2:6">
      <c r="B33" s="116"/>
      <c r="C33" s="116"/>
    </row>
    <row r="34" spans="2:6">
      <c r="B34" s="115" t="s">
        <v>112</v>
      </c>
      <c r="C34" s="115" t="s">
        <v>113</v>
      </c>
    </row>
    <row r="35" spans="2:6">
      <c r="B35" s="116"/>
      <c r="C35" s="121">
        <f>C14</f>
        <v>9.2410077981293277</v>
      </c>
    </row>
    <row r="36" spans="2:6">
      <c r="B36" s="122">
        <v>0.01</v>
      </c>
      <c r="C36" s="123">
        <f t="dataTable" ref="C36:C43" dt2D="0" dtr="0" r1="C7" ca="1"/>
        <v>100</v>
      </c>
    </row>
    <row r="37" spans="2:6">
      <c r="B37" s="122">
        <v>0.05</v>
      </c>
      <c r="C37" s="144">
        <v>19.999999999999996</v>
      </c>
    </row>
    <row r="38" spans="2:6">
      <c r="B38" s="126">
        <v>0.1082</v>
      </c>
      <c r="C38" s="127">
        <v>9.2421441774491679</v>
      </c>
    </row>
    <row r="39" spans="2:6">
      <c r="B39" s="122">
        <v>0.15820000000000001</v>
      </c>
      <c r="C39" s="144">
        <v>6.3211125158027803</v>
      </c>
    </row>
    <row r="40" spans="2:6">
      <c r="B40" s="122">
        <v>0.2082</v>
      </c>
      <c r="C40" s="144">
        <v>4.8030739673390972</v>
      </c>
    </row>
    <row r="41" spans="2:6">
      <c r="B41" s="122">
        <v>0.25819999999999999</v>
      </c>
      <c r="C41" s="123">
        <v>3.872966692486445</v>
      </c>
    </row>
    <row r="42" spans="2:6">
      <c r="B42" s="122">
        <v>0.30819999999999997</v>
      </c>
      <c r="C42" s="144">
        <v>3.2446463335496434</v>
      </c>
    </row>
    <row r="43" spans="2:6">
      <c r="B43" s="122">
        <v>0.35819999999999996</v>
      </c>
      <c r="C43" s="144">
        <v>2.7917364600781691</v>
      </c>
    </row>
    <row r="46" spans="2:6">
      <c r="B46" s="140" t="s">
        <v>68</v>
      </c>
    </row>
    <row r="47" spans="2:6">
      <c r="B47" s="432" t="s">
        <v>303</v>
      </c>
      <c r="C47" s="432"/>
      <c r="D47" s="432"/>
      <c r="E47" s="432"/>
      <c r="F47" s="432"/>
    </row>
    <row r="48" spans="2:6">
      <c r="B48" s="432"/>
      <c r="C48" s="432"/>
      <c r="D48" s="432"/>
      <c r="E48" s="432"/>
      <c r="F48" s="432"/>
    </row>
  </sheetData>
  <mergeCells count="3">
    <mergeCell ref="B2:F2"/>
    <mergeCell ref="B4:C4"/>
    <mergeCell ref="B47:F4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F2C61-18FC-4E0B-B4BA-123ACD9C3092}">
  <sheetPr codeName="Sheet21"/>
  <dimension ref="B2:O46"/>
  <sheetViews>
    <sheetView showGridLines="0" workbookViewId="0">
      <selection activeCell="F1" sqref="F1"/>
    </sheetView>
  </sheetViews>
  <sheetFormatPr defaultRowHeight="14.4"/>
  <cols>
    <col min="1" max="1" width="1.88671875" style="114" customWidth="1"/>
    <col min="2" max="2" width="32.33203125" style="114" customWidth="1"/>
    <col min="3" max="3" width="20.44140625" style="114" customWidth="1"/>
    <col min="4" max="7" width="13.6640625" style="114" bestFit="1" customWidth="1"/>
    <col min="8" max="8" width="9.88671875" style="114" customWidth="1"/>
    <col min="9" max="9" width="20.88671875" style="114" customWidth="1"/>
    <col min="10" max="11" width="18.33203125" style="114" customWidth="1"/>
    <col min="12" max="16384" width="8.88671875" style="114"/>
  </cols>
  <sheetData>
    <row r="2" spans="2:15">
      <c r="B2" s="433" t="str">
        <f>"Scenario Analysis-Dividend Cover Ratio"&amp;" - "&amp;BS!B2</f>
        <v>Scenario Analysis-Dividend Cover Ratio - Ismail Industries Limited</v>
      </c>
      <c r="C2" s="433"/>
      <c r="D2" s="433"/>
      <c r="E2" s="433"/>
    </row>
    <row r="4" spans="2:15">
      <c r="B4" s="434" t="s">
        <v>91</v>
      </c>
      <c r="C4" s="434"/>
    </row>
    <row r="6" spans="2:15">
      <c r="B6" s="116" t="s">
        <v>92</v>
      </c>
      <c r="C6" s="117">
        <f>Pnl!C21</f>
        <v>92.410077981293284</v>
      </c>
    </row>
    <row r="7" spans="2:15">
      <c r="B7" s="116" t="s">
        <v>93</v>
      </c>
      <c r="C7" s="118">
        <f>'Forecasting-EPS'!E10</f>
        <v>0.40585120988924295</v>
      </c>
    </row>
    <row r="8" spans="2:15">
      <c r="B8" s="116"/>
      <c r="C8" s="118"/>
    </row>
    <row r="9" spans="2:15">
      <c r="B9" s="116" t="s">
        <v>108</v>
      </c>
      <c r="C9" s="117">
        <f>'Scen Analysis-Div Payout policy'!C9</f>
        <v>10</v>
      </c>
    </row>
    <row r="10" spans="2:15">
      <c r="C10" s="117"/>
    </row>
    <row r="11" spans="2:15">
      <c r="B11" s="114" t="s">
        <v>304</v>
      </c>
      <c r="C11" s="117">
        <f>C6*(1+C7)</f>
        <v>129.91481993596045</v>
      </c>
    </row>
    <row r="12" spans="2:15">
      <c r="B12" s="114" t="s">
        <v>305</v>
      </c>
      <c r="C12" s="117">
        <f>C9</f>
        <v>10</v>
      </c>
    </row>
    <row r="13" spans="2:15">
      <c r="C13" s="117"/>
    </row>
    <row r="14" spans="2:15">
      <c r="B14" s="114" t="s">
        <v>306</v>
      </c>
      <c r="C14" s="117">
        <f>C11/C12</f>
        <v>12.991481993596045</v>
      </c>
    </row>
    <row r="15" spans="2:15" ht="15" thickBot="1"/>
    <row r="16" spans="2:15" ht="29.4" customHeight="1" thickBot="1">
      <c r="B16" s="115" t="s">
        <v>99</v>
      </c>
      <c r="C16" s="435" t="s">
        <v>307</v>
      </c>
      <c r="D16" s="436"/>
      <c r="E16" s="436"/>
      <c r="F16" s="436"/>
      <c r="G16" s="437"/>
      <c r="I16" s="115" t="s">
        <v>99</v>
      </c>
      <c r="J16" s="435" t="s">
        <v>389</v>
      </c>
      <c r="K16" s="436"/>
      <c r="L16" s="436"/>
      <c r="M16" s="436"/>
      <c r="N16" s="436"/>
      <c r="O16" s="437"/>
    </row>
    <row r="17" spans="2:11">
      <c r="B17" s="116"/>
      <c r="C17" s="119"/>
      <c r="D17" s="119"/>
      <c r="E17" s="119"/>
      <c r="F17" s="119"/>
      <c r="I17" s="116"/>
      <c r="J17" s="116"/>
    </row>
    <row r="18" spans="2:11">
      <c r="B18" s="115" t="s">
        <v>102</v>
      </c>
      <c r="C18" s="115" t="s">
        <v>306</v>
      </c>
      <c r="I18" s="115" t="s">
        <v>113</v>
      </c>
      <c r="J18" s="115" t="s">
        <v>306</v>
      </c>
      <c r="K18" s="120"/>
    </row>
    <row r="19" spans="2:11">
      <c r="B19" s="116"/>
      <c r="C19" s="121">
        <f>C14</f>
        <v>12.991481993596045</v>
      </c>
      <c r="I19" s="116"/>
      <c r="J19" s="121">
        <f>C14</f>
        <v>12.991481993596045</v>
      </c>
    </row>
    <row r="20" spans="2:11">
      <c r="B20" s="122">
        <v>0.1</v>
      </c>
      <c r="C20" s="123">
        <f t="dataTable" ref="C20:C27" dt2D="0" dtr="0" r1="C7" ca="1"/>
        <v>10.165108577942261</v>
      </c>
      <c r="I20" s="216">
        <v>3</v>
      </c>
      <c r="J20" s="123">
        <f t="dataTable" ref="J20:J27" dt2D="0" dtr="0" r1="C12" ca="1"/>
        <v>43.304939978653486</v>
      </c>
      <c r="K20" s="124"/>
    </row>
    <row r="21" spans="2:11">
      <c r="B21" s="122">
        <f>B20+10%</f>
        <v>0.2</v>
      </c>
      <c r="C21" s="123">
        <v>11.089209357755193</v>
      </c>
      <c r="I21" s="216">
        <f>I20+3</f>
        <v>6</v>
      </c>
      <c r="J21" s="123">
        <v>21.652469989326743</v>
      </c>
      <c r="K21" s="124"/>
    </row>
    <row r="22" spans="2:11">
      <c r="B22" s="122">
        <f t="shared" ref="B22:B27" si="0">B21+10%</f>
        <v>0.30000000000000004</v>
      </c>
      <c r="C22" s="123">
        <v>12.013310137568128</v>
      </c>
      <c r="E22" s="125"/>
      <c r="I22" s="336">
        <v>10</v>
      </c>
      <c r="J22" s="127">
        <v>12.991481993596045</v>
      </c>
      <c r="K22" s="124"/>
    </row>
    <row r="23" spans="2:11">
      <c r="B23" s="126">
        <v>0.40589999999999998</v>
      </c>
      <c r="C23" s="127">
        <v>12.991932863390023</v>
      </c>
      <c r="I23" s="216">
        <f t="shared" ref="I23:I27" si="1">I22+3</f>
        <v>13</v>
      </c>
      <c r="J23" s="123">
        <v>9.9934476873815736</v>
      </c>
      <c r="K23" s="124"/>
    </row>
    <row r="24" spans="2:11">
      <c r="B24" s="122">
        <f t="shared" si="0"/>
        <v>0.50590000000000002</v>
      </c>
      <c r="C24" s="123">
        <v>13.916033643202956</v>
      </c>
      <c r="I24" s="216">
        <f t="shared" si="1"/>
        <v>16</v>
      </c>
      <c r="J24" s="123">
        <v>8.1196762459975282</v>
      </c>
      <c r="K24" s="124"/>
    </row>
    <row r="25" spans="2:11">
      <c r="B25" s="122">
        <f t="shared" si="0"/>
        <v>0.60589999999999999</v>
      </c>
      <c r="C25" s="123">
        <v>14.840134423015888</v>
      </c>
      <c r="I25" s="216">
        <f t="shared" si="1"/>
        <v>19</v>
      </c>
      <c r="J25" s="123">
        <v>6.8376221018926557</v>
      </c>
      <c r="K25" s="124"/>
    </row>
    <row r="26" spans="2:11">
      <c r="B26" s="122">
        <f t="shared" si="0"/>
        <v>0.70589999999999997</v>
      </c>
      <c r="C26" s="123">
        <v>15.76423520282882</v>
      </c>
      <c r="I26" s="216">
        <f t="shared" si="1"/>
        <v>22</v>
      </c>
      <c r="J26" s="123">
        <v>5.9052190879982023</v>
      </c>
      <c r="K26" s="124"/>
    </row>
    <row r="27" spans="2:11">
      <c r="B27" s="122">
        <f t="shared" si="0"/>
        <v>0.80589999999999995</v>
      </c>
      <c r="C27" s="123">
        <v>16.688335982641753</v>
      </c>
      <c r="I27" s="216">
        <f t="shared" si="1"/>
        <v>25</v>
      </c>
      <c r="J27" s="123">
        <v>5.1965927974384183</v>
      </c>
      <c r="K27" s="124"/>
    </row>
    <row r="30" spans="2:11">
      <c r="B30" s="115" t="s">
        <v>104</v>
      </c>
      <c r="C30" s="128" t="s">
        <v>308</v>
      </c>
      <c r="D30" s="116"/>
      <c r="E30" s="116"/>
      <c r="F30" s="116"/>
      <c r="G30" s="116"/>
      <c r="H30" s="116"/>
      <c r="I30" s="116"/>
    </row>
    <row r="31" spans="2:11">
      <c r="B31" s="116"/>
      <c r="C31" s="116"/>
      <c r="D31" s="116"/>
      <c r="E31" s="116"/>
      <c r="F31" s="116"/>
      <c r="G31" s="116"/>
      <c r="H31" s="116"/>
      <c r="I31" s="116"/>
    </row>
    <row r="32" spans="2:11">
      <c r="B32" s="129"/>
      <c r="C32" s="130"/>
      <c r="D32" s="438" t="str">
        <f>I18</f>
        <v>Dividend Per Share</v>
      </c>
      <c r="E32" s="438"/>
      <c r="F32" s="438"/>
      <c r="G32" s="438"/>
      <c r="H32" s="438"/>
      <c r="I32" s="438"/>
      <c r="J32" s="438"/>
      <c r="K32" s="438"/>
    </row>
    <row r="33" spans="2:11">
      <c r="B33" s="131"/>
      <c r="C33" s="132">
        <f>C14</f>
        <v>12.991481993596045</v>
      </c>
      <c r="D33" s="338">
        <f>I20</f>
        <v>3</v>
      </c>
      <c r="E33" s="339">
        <f>I21</f>
        <v>6</v>
      </c>
      <c r="F33" s="340">
        <f>I22</f>
        <v>10</v>
      </c>
      <c r="G33" s="339">
        <f>I23</f>
        <v>13</v>
      </c>
      <c r="H33" s="338">
        <f>I24</f>
        <v>16</v>
      </c>
      <c r="I33" s="338">
        <f>I25</f>
        <v>19</v>
      </c>
      <c r="J33" s="341">
        <f>I26</f>
        <v>22</v>
      </c>
      <c r="K33" s="341">
        <f>I27</f>
        <v>25</v>
      </c>
    </row>
    <row r="34" spans="2:11">
      <c r="B34" s="131"/>
      <c r="C34" s="305">
        <f>B20</f>
        <v>0.1</v>
      </c>
      <c r="D34" s="306">
        <f t="dataTable" ref="D34:K41" dt2D="1" dtr="1" r1="C12" r2="C7" ca="1"/>
        <v>33.883695259807538</v>
      </c>
      <c r="E34" s="307">
        <v>16.941847629903769</v>
      </c>
      <c r="F34" s="307">
        <v>10.165108577942261</v>
      </c>
      <c r="G34" s="307">
        <v>7.819314290724817</v>
      </c>
      <c r="H34" s="307">
        <v>6.3531928612139135</v>
      </c>
      <c r="I34" s="307">
        <v>5.3500571462854012</v>
      </c>
      <c r="J34" s="308">
        <v>4.6205038990646647</v>
      </c>
      <c r="K34" s="309">
        <v>4.0660434311769045</v>
      </c>
    </row>
    <row r="35" spans="2:11">
      <c r="B35" s="131"/>
      <c r="C35" s="305">
        <f t="shared" ref="C35:C41" si="2">B21</f>
        <v>0.2</v>
      </c>
      <c r="D35" s="310">
        <v>36.964031192517311</v>
      </c>
      <c r="E35" s="137">
        <v>18.482015596258655</v>
      </c>
      <c r="F35" s="137">
        <v>11.089209357755193</v>
      </c>
      <c r="G35" s="137">
        <v>8.5301610444270715</v>
      </c>
      <c r="H35" s="137">
        <v>6.9307558485969958</v>
      </c>
      <c r="I35" s="137">
        <v>5.8364259777658916</v>
      </c>
      <c r="J35" s="311">
        <v>5.0405497080705421</v>
      </c>
      <c r="K35" s="312">
        <v>4.4356837431020777</v>
      </c>
    </row>
    <row r="36" spans="2:11">
      <c r="B36" s="131"/>
      <c r="C36" s="305">
        <f t="shared" si="2"/>
        <v>0.30000000000000004</v>
      </c>
      <c r="D36" s="310">
        <v>40.04436712522709</v>
      </c>
      <c r="E36" s="137">
        <v>20.022183562613545</v>
      </c>
      <c r="F36" s="137">
        <v>12.013310137568128</v>
      </c>
      <c r="G36" s="137">
        <v>9.2410077981293295</v>
      </c>
      <c r="H36" s="137">
        <v>7.5083188359800799</v>
      </c>
      <c r="I36" s="137">
        <v>6.3227948092463828</v>
      </c>
      <c r="J36" s="311">
        <v>5.4605955170764213</v>
      </c>
      <c r="K36" s="312">
        <v>4.8053240550272509</v>
      </c>
    </row>
    <row r="37" spans="2:11">
      <c r="B37" s="131"/>
      <c r="C37" s="318">
        <f t="shared" si="2"/>
        <v>0.40589999999999998</v>
      </c>
      <c r="D37" s="310">
        <v>43.306442877966738</v>
      </c>
      <c r="E37" s="137">
        <v>21.653221438983369</v>
      </c>
      <c r="F37" s="304">
        <v>12.991932863390023</v>
      </c>
      <c r="G37" s="137">
        <v>9.9937945103000168</v>
      </c>
      <c r="H37" s="137">
        <v>8.1199580396187638</v>
      </c>
      <c r="I37" s="137">
        <v>6.8378594017842218</v>
      </c>
      <c r="J37" s="311">
        <v>5.9054240288136466</v>
      </c>
      <c r="K37" s="312">
        <v>5.1967731453560084</v>
      </c>
    </row>
    <row r="38" spans="2:11">
      <c r="B38" s="138" t="str">
        <f>B18</f>
        <v>EPS Growth Rate</v>
      </c>
      <c r="C38" s="305">
        <f t="shared" si="2"/>
        <v>0.50590000000000002</v>
      </c>
      <c r="D38" s="310">
        <v>46.386778810676525</v>
      </c>
      <c r="E38" s="137">
        <v>23.193389405338262</v>
      </c>
      <c r="F38" s="137">
        <v>13.916033643202956</v>
      </c>
      <c r="G38" s="137">
        <v>10.704641264002275</v>
      </c>
      <c r="H38" s="137">
        <v>8.6975210270018479</v>
      </c>
      <c r="I38" s="137">
        <v>7.3242282332647139</v>
      </c>
      <c r="J38" s="311">
        <v>6.3254698378195258</v>
      </c>
      <c r="K38" s="312">
        <v>5.5664134572811825</v>
      </c>
    </row>
    <row r="39" spans="2:11">
      <c r="B39" s="131"/>
      <c r="C39" s="305">
        <f t="shared" si="2"/>
        <v>0.60589999999999999</v>
      </c>
      <c r="D39" s="310">
        <v>49.467114743386297</v>
      </c>
      <c r="E39" s="137">
        <v>24.733557371693148</v>
      </c>
      <c r="F39" s="137">
        <v>14.840134423015888</v>
      </c>
      <c r="G39" s="137">
        <v>11.415488017704529</v>
      </c>
      <c r="H39" s="137">
        <v>9.2750840143849302</v>
      </c>
      <c r="I39" s="137">
        <v>7.8105970647452043</v>
      </c>
      <c r="J39" s="311">
        <v>6.7455156468254041</v>
      </c>
      <c r="K39" s="312">
        <v>5.9360537692063557</v>
      </c>
    </row>
    <row r="40" spans="2:11">
      <c r="B40" s="131"/>
      <c r="C40" s="305">
        <f t="shared" si="2"/>
        <v>0.70589999999999997</v>
      </c>
      <c r="D40" s="310">
        <v>52.547450676096069</v>
      </c>
      <c r="E40" s="137">
        <v>26.273725338048035</v>
      </c>
      <c r="F40" s="137">
        <v>15.76423520282882</v>
      </c>
      <c r="G40" s="137">
        <v>12.126334771406786</v>
      </c>
      <c r="H40" s="137">
        <v>9.8526470017680126</v>
      </c>
      <c r="I40" s="137">
        <v>8.2969658962256947</v>
      </c>
      <c r="J40" s="311">
        <v>7.1655614558312815</v>
      </c>
      <c r="K40" s="312">
        <v>6.3056940811315281</v>
      </c>
    </row>
    <row r="41" spans="2:11">
      <c r="B41" s="139"/>
      <c r="C41" s="313">
        <f t="shared" si="2"/>
        <v>0.80589999999999995</v>
      </c>
      <c r="D41" s="314">
        <v>55.627786608805842</v>
      </c>
      <c r="E41" s="315">
        <v>27.813893304402921</v>
      </c>
      <c r="F41" s="315">
        <v>16.688335982641753</v>
      </c>
      <c r="G41" s="315">
        <v>12.83718152510904</v>
      </c>
      <c r="H41" s="315">
        <v>10.430209989151095</v>
      </c>
      <c r="I41" s="315">
        <v>8.7833347277061851</v>
      </c>
      <c r="J41" s="316">
        <v>7.5856072648371597</v>
      </c>
      <c r="K41" s="317">
        <v>6.6753343930567004</v>
      </c>
    </row>
    <row r="43" spans="2:11">
      <c r="B43" s="140" t="s">
        <v>68</v>
      </c>
    </row>
    <row r="44" spans="2:11" ht="14.4" customHeight="1">
      <c r="B44" s="432" t="s">
        <v>309</v>
      </c>
      <c r="C44" s="432"/>
      <c r="D44" s="432"/>
      <c r="E44" s="432"/>
      <c r="F44" s="432"/>
    </row>
    <row r="45" spans="2:11">
      <c r="B45" s="432"/>
      <c r="C45" s="432"/>
      <c r="D45" s="432"/>
      <c r="E45" s="432"/>
      <c r="F45" s="432"/>
    </row>
    <row r="46" spans="2:11">
      <c r="B46" s="141"/>
      <c r="C46" s="141"/>
      <c r="D46" s="141"/>
      <c r="E46" s="141"/>
      <c r="F46" s="141"/>
    </row>
  </sheetData>
  <mergeCells count="6">
    <mergeCell ref="B44:F45"/>
    <mergeCell ref="B2:E2"/>
    <mergeCell ref="B4:C4"/>
    <mergeCell ref="C16:G16"/>
    <mergeCell ref="J16:O16"/>
    <mergeCell ref="D32:K3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043E-D015-4F6F-8FE1-5B6A2A83C37C}">
  <sheetPr codeName="Sheet22"/>
  <dimension ref="B2:L44"/>
  <sheetViews>
    <sheetView showGridLines="0" workbookViewId="0">
      <selection activeCell="C6" sqref="C6"/>
    </sheetView>
  </sheetViews>
  <sheetFormatPr defaultRowHeight="14.4"/>
  <cols>
    <col min="1" max="1" width="4" style="116" customWidth="1"/>
    <col min="2" max="2" width="24.33203125" style="116" customWidth="1"/>
    <col min="3" max="3" width="13" style="116" customWidth="1"/>
    <col min="4" max="4" width="13.109375" style="116" customWidth="1"/>
    <col min="5" max="5" width="21.77734375" style="116" bestFit="1" customWidth="1"/>
    <col min="6" max="6" width="13.6640625" style="116" customWidth="1"/>
    <col min="7" max="7" width="13.88671875" style="116" customWidth="1"/>
    <col min="8" max="8" width="15.109375" style="116" customWidth="1"/>
    <col min="9" max="9" width="16.33203125" style="116" customWidth="1"/>
    <col min="10" max="16384" width="8.88671875" style="116"/>
  </cols>
  <sheetData>
    <row r="2" spans="2:12">
      <c r="B2" s="433" t="str">
        <f>"Scenario Analysis-Gross Profit"&amp;" - "&amp;BS!B2</f>
        <v>Scenario Analysis-Gross Profit - Ismail Industries Limited</v>
      </c>
      <c r="C2" s="433"/>
      <c r="D2" s="433"/>
      <c r="E2" s="433"/>
      <c r="F2" s="145"/>
      <c r="G2" s="145"/>
      <c r="H2" s="145"/>
      <c r="I2" s="145"/>
      <c r="J2" s="145"/>
      <c r="K2" s="145"/>
      <c r="L2" s="145"/>
    </row>
    <row r="4" spans="2:12">
      <c r="B4" s="434" t="s">
        <v>91</v>
      </c>
      <c r="C4" s="434"/>
    </row>
    <row r="5" spans="2:12">
      <c r="B5" s="116" t="s">
        <v>115</v>
      </c>
      <c r="C5" s="146">
        <f>Pnl!C9</f>
        <v>108887024</v>
      </c>
    </row>
    <row r="6" spans="2:12">
      <c r="B6" s="116" t="s">
        <v>116</v>
      </c>
      <c r="C6" s="147">
        <f>'Forecasting-Sales'!E11</f>
        <v>0.2250076753559421</v>
      </c>
    </row>
    <row r="7" spans="2:12">
      <c r="B7" s="116" t="s">
        <v>117</v>
      </c>
      <c r="C7" s="147">
        <f>'Ratio Analysis-Profitability'!C6</f>
        <v>0.22061131912283691</v>
      </c>
    </row>
    <row r="9" spans="2:12">
      <c r="B9" s="116" t="s">
        <v>118</v>
      </c>
      <c r="C9" s="146">
        <f>C5*(1+C6)</f>
        <v>133387440.14666666</v>
      </c>
      <c r="E9" s="148"/>
    </row>
    <row r="10" spans="2:12">
      <c r="B10" s="116" t="s">
        <v>3</v>
      </c>
      <c r="C10" s="146">
        <f>C9*(1-C7)*-1</f>
        <v>-103960661.02149206</v>
      </c>
    </row>
    <row r="11" spans="2:12">
      <c r="B11" s="116" t="s">
        <v>4</v>
      </c>
      <c r="C11" s="149">
        <f>SUM(C9:C10)</f>
        <v>29426779.125174597</v>
      </c>
      <c r="E11" s="148"/>
    </row>
    <row r="14" spans="2:12">
      <c r="B14" s="115" t="s">
        <v>99</v>
      </c>
      <c r="C14" s="150" t="s">
        <v>119</v>
      </c>
    </row>
    <row r="16" spans="2:12">
      <c r="B16" s="115" t="s">
        <v>62</v>
      </c>
      <c r="C16" s="115" t="s">
        <v>120</v>
      </c>
    </row>
    <row r="17" spans="2:11">
      <c r="C17" s="151">
        <f>C11</f>
        <v>29426779.125174597</v>
      </c>
    </row>
    <row r="18" spans="2:11">
      <c r="B18" s="152">
        <v>0.08</v>
      </c>
      <c r="C18" s="153">
        <f t="dataTable" ref="C18:C26" dt2D="0" dtr="0" r1="C6" ca="1"/>
        <v>25943446.800000012</v>
      </c>
    </row>
    <row r="19" spans="2:11">
      <c r="B19" s="152">
        <f>B18+3%</f>
        <v>0.11</v>
      </c>
      <c r="C19" s="153">
        <v>26664098.100000009</v>
      </c>
    </row>
    <row r="20" spans="2:11">
      <c r="B20" s="152">
        <f t="shared" ref="B20:B26" si="0">B19+3%</f>
        <v>0.14000000000000001</v>
      </c>
      <c r="C20" s="153">
        <v>27384749.400000006</v>
      </c>
    </row>
    <row r="21" spans="2:11">
      <c r="B21" s="152">
        <f t="shared" si="0"/>
        <v>0.17</v>
      </c>
      <c r="C21" s="153">
        <v>28105400.700000003</v>
      </c>
    </row>
    <row r="22" spans="2:11">
      <c r="B22" s="152">
        <f t="shared" si="0"/>
        <v>0.2</v>
      </c>
      <c r="C22" s="153">
        <v>28826052</v>
      </c>
    </row>
    <row r="23" spans="2:11">
      <c r="B23" s="126">
        <v>0.2250076753559421</v>
      </c>
      <c r="C23" s="209">
        <v>29426779.125174597</v>
      </c>
    </row>
    <row r="24" spans="2:11">
      <c r="B24" s="152">
        <f t="shared" si="0"/>
        <v>0.2550076753559421</v>
      </c>
      <c r="C24" s="153">
        <v>30147430.425174594</v>
      </c>
    </row>
    <row r="25" spans="2:11">
      <c r="B25" s="152">
        <f t="shared" si="0"/>
        <v>0.28500767535594207</v>
      </c>
      <c r="C25" s="153">
        <v>30868081.725174591</v>
      </c>
    </row>
    <row r="26" spans="2:11">
      <c r="B26" s="152">
        <f t="shared" si="0"/>
        <v>0.3150076753559421</v>
      </c>
      <c r="C26" s="153">
        <v>31588733.025174588</v>
      </c>
    </row>
    <row r="27" spans="2:11">
      <c r="B27" s="154"/>
      <c r="C27" s="153"/>
    </row>
    <row r="29" spans="2:11">
      <c r="B29" s="115" t="s">
        <v>104</v>
      </c>
      <c r="C29" s="150" t="s">
        <v>121</v>
      </c>
    </row>
    <row r="31" spans="2:11">
      <c r="B31" s="129"/>
      <c r="C31" s="130"/>
      <c r="D31" s="439" t="s">
        <v>122</v>
      </c>
      <c r="E31" s="439"/>
      <c r="F31" s="439"/>
      <c r="G31" s="439"/>
      <c r="H31" s="439"/>
      <c r="I31" s="440"/>
      <c r="J31" s="155"/>
      <c r="K31" s="155"/>
    </row>
    <row r="32" spans="2:11">
      <c r="B32" s="131"/>
      <c r="C32" s="156">
        <f>C11</f>
        <v>29426779.125174597</v>
      </c>
      <c r="D32" s="157">
        <v>0.1</v>
      </c>
      <c r="E32" s="157">
        <f>D32+5%</f>
        <v>0.15000000000000002</v>
      </c>
      <c r="F32" s="212">
        <v>0.220611</v>
      </c>
      <c r="G32" s="157">
        <f t="shared" ref="G32:I32" si="1">F32+5%</f>
        <v>0.27061099999999999</v>
      </c>
      <c r="H32" s="157">
        <f t="shared" si="1"/>
        <v>0.32061099999999998</v>
      </c>
      <c r="I32" s="157">
        <f t="shared" si="1"/>
        <v>0.37061099999999997</v>
      </c>
    </row>
    <row r="33" spans="2:9">
      <c r="B33" s="131"/>
      <c r="C33" s="158">
        <v>0.08</v>
      </c>
      <c r="D33" s="159">
        <f t="dataTable" ref="D33:I41" dt2D="1" dtr="1" r1="C7" r2="C6"/>
        <v>11759798.591999993</v>
      </c>
      <c r="E33" s="160">
        <v>17639697.887999997</v>
      </c>
      <c r="F33" s="160">
        <v>25943409.271797121</v>
      </c>
      <c r="G33" s="160">
        <v>31823308.567797109</v>
      </c>
      <c r="H33" s="160">
        <v>37703207.863797113</v>
      </c>
      <c r="I33" s="161">
        <v>43583107.159797117</v>
      </c>
    </row>
    <row r="34" spans="2:9">
      <c r="B34" s="131"/>
      <c r="C34" s="158">
        <v>0.11</v>
      </c>
      <c r="D34" s="162">
        <v>12086459.664000005</v>
      </c>
      <c r="E34" s="162">
        <v>18129689.496000007</v>
      </c>
      <c r="F34" s="163">
        <v>26664059.529347047</v>
      </c>
      <c r="G34" s="162">
        <v>32707289.361347035</v>
      </c>
      <c r="H34" s="162">
        <v>38750519.193347037</v>
      </c>
      <c r="I34" s="164">
        <v>44793749.025347054</v>
      </c>
    </row>
    <row r="35" spans="2:9">
      <c r="B35" s="131"/>
      <c r="C35" s="158">
        <v>0.14000000000000001</v>
      </c>
      <c r="D35" s="162">
        <v>12413120.736000001</v>
      </c>
      <c r="E35" s="162">
        <v>18619681.104000002</v>
      </c>
      <c r="F35" s="162">
        <v>27384709.786896959</v>
      </c>
      <c r="G35" s="162">
        <v>33591270.15489696</v>
      </c>
      <c r="H35" s="162">
        <v>39797830.52289696</v>
      </c>
      <c r="I35" s="164">
        <v>46004390.890896961</v>
      </c>
    </row>
    <row r="36" spans="2:9">
      <c r="B36" s="131"/>
      <c r="C36" s="158">
        <v>0.17</v>
      </c>
      <c r="D36" s="162">
        <v>12739781.807999998</v>
      </c>
      <c r="E36" s="162">
        <v>19109672.711999997</v>
      </c>
      <c r="F36" s="162">
        <v>28105360.044446886</v>
      </c>
      <c r="G36" s="162">
        <v>34475250.94844687</v>
      </c>
      <c r="H36" s="162">
        <v>40845141.852446884</v>
      </c>
      <c r="I36" s="164">
        <v>47215032.756446883</v>
      </c>
    </row>
    <row r="37" spans="2:9">
      <c r="B37" s="138" t="s">
        <v>123</v>
      </c>
      <c r="C37" s="158">
        <v>0.2</v>
      </c>
      <c r="D37" s="162">
        <v>13066442.879999995</v>
      </c>
      <c r="E37" s="162">
        <v>19599664.320000008</v>
      </c>
      <c r="F37" s="162">
        <v>28826010.301996797</v>
      </c>
      <c r="G37" s="162">
        <v>35359231.741996795</v>
      </c>
      <c r="H37" s="162">
        <v>41892453.181996793</v>
      </c>
      <c r="I37" s="164">
        <v>48425674.621996805</v>
      </c>
    </row>
    <row r="38" spans="2:9">
      <c r="B38" s="131"/>
      <c r="C38" s="325">
        <v>0.2250076753559421</v>
      </c>
      <c r="D38" s="162">
        <v>13338744.014666662</v>
      </c>
      <c r="E38" s="162">
        <v>20008116.022</v>
      </c>
      <c r="F38" s="326">
        <v>29426736.558196276</v>
      </c>
      <c r="G38" s="162">
        <v>36096108.5655296</v>
      </c>
      <c r="H38" s="162">
        <v>42765480.572862938</v>
      </c>
      <c r="I38" s="164">
        <v>49434852.580196276</v>
      </c>
    </row>
    <row r="39" spans="2:9">
      <c r="B39" s="131"/>
      <c r="C39" s="158">
        <v>0.2550076753559421</v>
      </c>
      <c r="D39" s="162">
        <v>13665405.086666659</v>
      </c>
      <c r="E39" s="162">
        <v>20498107.63000001</v>
      </c>
      <c r="F39" s="162">
        <v>30147386.815746203</v>
      </c>
      <c r="G39" s="162">
        <v>36980089.359079525</v>
      </c>
      <c r="H39" s="162">
        <v>43812791.902412862</v>
      </c>
      <c r="I39" s="164">
        <v>50645494.445746213</v>
      </c>
    </row>
    <row r="40" spans="2:9">
      <c r="B40" s="131"/>
      <c r="C40" s="158">
        <v>0.28500767535594207</v>
      </c>
      <c r="D40" s="162">
        <v>13992066.15866667</v>
      </c>
      <c r="E40" s="162">
        <v>20988099.238000005</v>
      </c>
      <c r="F40" s="162">
        <v>30868037.073296115</v>
      </c>
      <c r="G40" s="162">
        <v>37864070.15262945</v>
      </c>
      <c r="H40" s="162">
        <v>44860103.231962785</v>
      </c>
      <c r="I40" s="164">
        <v>51856136.31129612</v>
      </c>
    </row>
    <row r="41" spans="2:9">
      <c r="B41" s="139"/>
      <c r="C41" s="165">
        <v>0.3150076753559421</v>
      </c>
      <c r="D41" s="166">
        <v>14318727.230666667</v>
      </c>
      <c r="E41" s="166">
        <v>21478090.846000001</v>
      </c>
      <c r="F41" s="166">
        <v>31588687.330846041</v>
      </c>
      <c r="G41" s="166">
        <v>38748050.94617936</v>
      </c>
      <c r="H41" s="166">
        <v>45907414.561512709</v>
      </c>
      <c r="I41" s="167">
        <v>53066778.176846042</v>
      </c>
    </row>
    <row r="43" spans="2:9">
      <c r="B43" s="140" t="s">
        <v>68</v>
      </c>
    </row>
    <row r="44" spans="2:9">
      <c r="B44" s="168" t="s">
        <v>124</v>
      </c>
    </row>
  </sheetData>
  <mergeCells count="3">
    <mergeCell ref="B2:E2"/>
    <mergeCell ref="B4:C4"/>
    <mergeCell ref="D31:I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B055-7562-43BC-B475-679803065024}">
  <sheetPr codeName="Sheet24"/>
  <dimension ref="B2:I43"/>
  <sheetViews>
    <sheetView showGridLines="0" tabSelected="1" topLeftCell="A18" workbookViewId="0">
      <selection activeCell="L21" sqref="L21"/>
    </sheetView>
  </sheetViews>
  <sheetFormatPr defaultRowHeight="14.4"/>
  <cols>
    <col min="1" max="1" width="1.88671875" style="114" customWidth="1"/>
    <col min="2" max="2" width="24.88671875" style="114" customWidth="1"/>
    <col min="3" max="3" width="14.109375" style="114" customWidth="1"/>
    <col min="4" max="9" width="13.6640625" style="114" bestFit="1" customWidth="1"/>
    <col min="10" max="16384" width="8.88671875" style="114"/>
  </cols>
  <sheetData>
    <row r="2" spans="2:5">
      <c r="B2" s="433" t="str">
        <f>"Scenario Analysis-Net Profit (PAT)"&amp;" - "&amp;BS!B2</f>
        <v>Scenario Analysis-Net Profit (PAT) - Ismail Industries Limited</v>
      </c>
      <c r="C2" s="433"/>
      <c r="D2" s="433"/>
      <c r="E2" s="433"/>
    </row>
    <row r="4" spans="2:5">
      <c r="B4" s="434" t="s">
        <v>91</v>
      </c>
      <c r="C4" s="434"/>
    </row>
    <row r="6" spans="2:5">
      <c r="B6" s="116" t="s">
        <v>115</v>
      </c>
      <c r="C6" s="169">
        <f>'Scenario Analysis-Gross Profit'!C5</f>
        <v>108887024</v>
      </c>
    </row>
    <row r="7" spans="2:5">
      <c r="B7" s="116" t="s">
        <v>126</v>
      </c>
      <c r="C7" s="170">
        <f>'Scenario Analysis-Gross Profit'!C6</f>
        <v>0.2250076753559421</v>
      </c>
    </row>
    <row r="8" spans="2:5">
      <c r="B8" s="116" t="s">
        <v>127</v>
      </c>
      <c r="C8" s="142">
        <f>'Ratio Analysis-Profitability'!C8</f>
        <v>5.6315709390680015E-2</v>
      </c>
    </row>
    <row r="10" spans="2:5">
      <c r="B10" s="116" t="s">
        <v>128</v>
      </c>
      <c r="C10" s="171">
        <f>C6*(1+C7)</f>
        <v>133387440.14666666</v>
      </c>
    </row>
    <row r="11" spans="2:5">
      <c r="B11" s="116" t="s">
        <v>83</v>
      </c>
      <c r="C11" s="172">
        <f>C10*C8</f>
        <v>7511808.3156664036</v>
      </c>
    </row>
    <row r="13" spans="2:5">
      <c r="B13" s="115" t="s">
        <v>99</v>
      </c>
      <c r="C13" s="150" t="s">
        <v>129</v>
      </c>
    </row>
    <row r="14" spans="2:5">
      <c r="B14" s="116"/>
      <c r="C14" s="116"/>
    </row>
    <row r="15" spans="2:5">
      <c r="B15" s="115" t="s">
        <v>62</v>
      </c>
      <c r="C15" s="115" t="s">
        <v>83</v>
      </c>
    </row>
    <row r="16" spans="2:5">
      <c r="B16" s="116"/>
      <c r="C16" s="151">
        <f>C11</f>
        <v>7511808.3156664036</v>
      </c>
    </row>
    <row r="17" spans="2:9">
      <c r="B17" s="152">
        <v>0.08</v>
      </c>
      <c r="C17" s="153">
        <f t="dataTable" ref="C17:C25" dt2D="0" dtr="0" r1="C7" ca="1"/>
        <v>6622614</v>
      </c>
    </row>
    <row r="18" spans="2:9">
      <c r="B18" s="152">
        <v>0.11</v>
      </c>
      <c r="C18" s="153">
        <v>6806575.5000000009</v>
      </c>
    </row>
    <row r="19" spans="2:9">
      <c r="B19" s="152">
        <v>0.14000000000000001</v>
      </c>
      <c r="C19" s="153">
        <v>6990537.0000000009</v>
      </c>
    </row>
    <row r="20" spans="2:9">
      <c r="B20" s="152">
        <v>0.17</v>
      </c>
      <c r="C20" s="153">
        <v>7174498.5</v>
      </c>
    </row>
    <row r="21" spans="2:9">
      <c r="B21" s="152">
        <v>0.2</v>
      </c>
      <c r="C21" s="153">
        <v>7358460</v>
      </c>
    </row>
    <row r="22" spans="2:9">
      <c r="B22" s="327">
        <v>0.2250076753559421</v>
      </c>
      <c r="C22" s="209">
        <v>7511808.3156664036</v>
      </c>
    </row>
    <row r="23" spans="2:9">
      <c r="B23" s="152">
        <v>0.2550076753559421</v>
      </c>
      <c r="C23" s="153">
        <v>7695769.8156664046</v>
      </c>
    </row>
    <row r="24" spans="2:9">
      <c r="B24" s="152">
        <v>0.28500767535594207</v>
      </c>
      <c r="C24" s="153">
        <v>7879731.3156664046</v>
      </c>
    </row>
    <row r="25" spans="2:9">
      <c r="B25" s="152">
        <v>0.3150076753559421</v>
      </c>
      <c r="C25" s="153">
        <v>8063692.8156664046</v>
      </c>
    </row>
    <row r="28" spans="2:9">
      <c r="B28" s="115" t="s">
        <v>104</v>
      </c>
      <c r="C28" s="150" t="s">
        <v>130</v>
      </c>
      <c r="D28" s="116"/>
      <c r="E28" s="116"/>
      <c r="F28" s="116"/>
      <c r="G28" s="116"/>
      <c r="H28" s="116"/>
      <c r="I28" s="116"/>
    </row>
    <row r="29" spans="2:9">
      <c r="B29" s="116"/>
      <c r="C29" s="116"/>
      <c r="D29" s="116"/>
      <c r="E29" s="116"/>
      <c r="F29" s="116"/>
      <c r="G29" s="116"/>
      <c r="H29" s="116"/>
      <c r="I29" s="116"/>
    </row>
    <row r="30" spans="2:9">
      <c r="B30" s="129"/>
      <c r="C30" s="130"/>
      <c r="D30" s="439" t="s">
        <v>30</v>
      </c>
      <c r="E30" s="439"/>
      <c r="F30" s="439"/>
      <c r="G30" s="439"/>
      <c r="H30" s="439"/>
      <c r="I30" s="440"/>
    </row>
    <row r="31" spans="2:9">
      <c r="B31" s="131"/>
      <c r="C31" s="156">
        <f>C11</f>
        <v>7511808.3156664036</v>
      </c>
      <c r="D31" s="157">
        <v>0.01</v>
      </c>
      <c r="E31" s="157">
        <f>D31+2%</f>
        <v>0.03</v>
      </c>
      <c r="F31" s="157">
        <f>E31+2%</f>
        <v>0.05</v>
      </c>
      <c r="G31" s="212">
        <v>5.6315709390680015E-2</v>
      </c>
      <c r="H31" s="157">
        <f t="shared" ref="H31:I31" si="0">G31+2%</f>
        <v>7.6315709390680012E-2</v>
      </c>
      <c r="I31" s="157">
        <f t="shared" si="0"/>
        <v>9.6315709390680015E-2</v>
      </c>
    </row>
    <row r="32" spans="2:9">
      <c r="B32" s="131"/>
      <c r="C32" s="152">
        <f>B17</f>
        <v>0.08</v>
      </c>
      <c r="D32" s="173">
        <f t="dataTable" ref="D32:I40" dt2D="1" dtr="1" r1="C8" r2="C7"/>
        <v>1175979.8592000001</v>
      </c>
      <c r="E32" s="174">
        <v>3527939.5776</v>
      </c>
      <c r="F32" s="174">
        <v>5879899.2960000001</v>
      </c>
      <c r="G32" s="174">
        <v>6622614</v>
      </c>
      <c r="H32" s="174">
        <v>8974573.7183999997</v>
      </c>
      <c r="I32" s="175">
        <v>11326533.436800001</v>
      </c>
    </row>
    <row r="33" spans="2:9">
      <c r="B33" s="131"/>
      <c r="C33" s="152">
        <f>B18</f>
        <v>0.11</v>
      </c>
      <c r="D33" s="176">
        <v>1208645.9664000003</v>
      </c>
      <c r="E33" s="176">
        <v>3625937.8992000003</v>
      </c>
      <c r="F33" s="177">
        <v>6043229.8320000013</v>
      </c>
      <c r="G33" s="176">
        <v>6806575.5000000009</v>
      </c>
      <c r="H33" s="176">
        <v>9223867.4328000005</v>
      </c>
      <c r="I33" s="178">
        <v>11641159.365600001</v>
      </c>
    </row>
    <row r="34" spans="2:9">
      <c r="B34" s="131"/>
      <c r="C34" s="152">
        <f t="shared" ref="C34:C40" si="1">B19</f>
        <v>0.14000000000000001</v>
      </c>
      <c r="D34" s="176">
        <v>1241312.0736000002</v>
      </c>
      <c r="E34" s="176">
        <v>3723936.2208000002</v>
      </c>
      <c r="F34" s="176">
        <v>6206560.3680000007</v>
      </c>
      <c r="G34" s="176">
        <v>6990537.0000000009</v>
      </c>
      <c r="H34" s="176">
        <v>9473161.1472000014</v>
      </c>
      <c r="I34" s="178">
        <v>11955785.294400001</v>
      </c>
    </row>
    <row r="35" spans="2:9">
      <c r="B35" s="131"/>
      <c r="C35" s="152">
        <f t="shared" si="1"/>
        <v>0.17</v>
      </c>
      <c r="D35" s="176">
        <v>1273978.1808</v>
      </c>
      <c r="E35" s="176">
        <v>3821934.5423999997</v>
      </c>
      <c r="F35" s="176">
        <v>6369890.9040000001</v>
      </c>
      <c r="G35" s="176">
        <v>7174498.5</v>
      </c>
      <c r="H35" s="176">
        <v>9722454.8616000004</v>
      </c>
      <c r="I35" s="178">
        <v>12270411.223200001</v>
      </c>
    </row>
    <row r="36" spans="2:9">
      <c r="B36" s="138" t="s">
        <v>123</v>
      </c>
      <c r="C36" s="152">
        <v>0.14630000000000001</v>
      </c>
      <c r="D36" s="176">
        <v>1248171.9561120002</v>
      </c>
      <c r="E36" s="176">
        <v>3744515.868336</v>
      </c>
      <c r="F36" s="176">
        <v>6240859.7805600008</v>
      </c>
      <c r="G36" s="176">
        <v>7029168.915</v>
      </c>
      <c r="H36" s="176">
        <v>9525512.8272239994</v>
      </c>
      <c r="I36" s="178">
        <v>12021856.739448002</v>
      </c>
    </row>
    <row r="37" spans="2:9">
      <c r="B37" s="131"/>
      <c r="C37" s="327">
        <f t="shared" si="1"/>
        <v>0.2250076753559421</v>
      </c>
      <c r="D37" s="176">
        <v>1333874.4014666667</v>
      </c>
      <c r="E37" s="176">
        <v>4001623.2043999997</v>
      </c>
      <c r="F37" s="176">
        <v>6669372.0073333336</v>
      </c>
      <c r="G37" s="210">
        <v>7511808.3156664036</v>
      </c>
      <c r="H37" s="176">
        <v>10179557.118599737</v>
      </c>
      <c r="I37" s="178">
        <v>12847305.921533071</v>
      </c>
    </row>
    <row r="38" spans="2:9">
      <c r="B38" s="131"/>
      <c r="C38" s="152">
        <f t="shared" si="1"/>
        <v>0.2550076753559421</v>
      </c>
      <c r="D38" s="176">
        <v>1366540.5086666667</v>
      </c>
      <c r="E38" s="176">
        <v>4099621.5260000001</v>
      </c>
      <c r="F38" s="176">
        <v>6832702.5433333339</v>
      </c>
      <c r="G38" s="176">
        <v>7695769.8156664046</v>
      </c>
      <c r="H38" s="176">
        <v>10428850.832999738</v>
      </c>
      <c r="I38" s="178">
        <v>13161931.850333072</v>
      </c>
    </row>
    <row r="39" spans="2:9">
      <c r="B39" s="131"/>
      <c r="C39" s="152">
        <f t="shared" si="1"/>
        <v>0.28500767535594207</v>
      </c>
      <c r="D39" s="176">
        <v>1399206.6158666667</v>
      </c>
      <c r="E39" s="176">
        <v>4197619.8476</v>
      </c>
      <c r="F39" s="176">
        <v>6996033.0793333342</v>
      </c>
      <c r="G39" s="176">
        <v>7879731.3156664046</v>
      </c>
      <c r="H39" s="176">
        <v>10678144.547399737</v>
      </c>
      <c r="I39" s="178">
        <v>13476557.779133072</v>
      </c>
    </row>
    <row r="40" spans="2:9">
      <c r="B40" s="139"/>
      <c r="C40" s="179">
        <f t="shared" si="1"/>
        <v>0.3150076753559421</v>
      </c>
      <c r="D40" s="180">
        <v>1431872.7230666669</v>
      </c>
      <c r="E40" s="180">
        <v>4295618.1692000004</v>
      </c>
      <c r="F40" s="180">
        <v>7159363.6153333336</v>
      </c>
      <c r="G40" s="180">
        <v>8063692.8156664046</v>
      </c>
      <c r="H40" s="180">
        <v>10927438.261799738</v>
      </c>
      <c r="I40" s="181">
        <v>13791183.707933072</v>
      </c>
    </row>
    <row r="42" spans="2:9">
      <c r="B42" s="140" t="s">
        <v>68</v>
      </c>
    </row>
    <row r="43" spans="2:9">
      <c r="B43" s="168" t="s">
        <v>131</v>
      </c>
    </row>
  </sheetData>
  <mergeCells count="3">
    <mergeCell ref="B2:E2"/>
    <mergeCell ref="B4:C4"/>
    <mergeCell ref="D30:I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FB20-96EE-4414-AF9C-F7BC0845D7C4}">
  <sheetPr codeName="Sheet25"/>
  <dimension ref="B2:K44"/>
  <sheetViews>
    <sheetView showGridLines="0" workbookViewId="0">
      <selection activeCell="D16" sqref="D16"/>
    </sheetView>
  </sheetViews>
  <sheetFormatPr defaultRowHeight="14.4"/>
  <cols>
    <col min="1" max="1" width="1.88671875" style="114" customWidth="1"/>
    <col min="2" max="2" width="36.44140625" style="114" customWidth="1"/>
    <col min="3" max="3" width="18.109375" style="114" customWidth="1"/>
    <col min="4" max="7" width="14.77734375" style="114" customWidth="1"/>
    <col min="8" max="8" width="8.88671875" style="114"/>
    <col min="9" max="9" width="27.77734375" style="114" customWidth="1"/>
    <col min="10" max="16384" width="8.88671875" style="114"/>
  </cols>
  <sheetData>
    <row r="2" spans="2:6">
      <c r="B2" s="428" t="str">
        <f>"What if Analysis-Sales Growth"&amp;" - "&amp;BS!B2</f>
        <v>What if Analysis-Sales Growth - Ismail Industries Limited</v>
      </c>
      <c r="C2" s="428"/>
      <c r="D2" s="428"/>
      <c r="E2" s="428"/>
    </row>
    <row r="4" spans="2:6">
      <c r="B4" s="434" t="s">
        <v>91</v>
      </c>
      <c r="C4" s="434"/>
    </row>
    <row r="5" spans="2:6">
      <c r="B5" s="182" t="s">
        <v>115</v>
      </c>
      <c r="C5" s="183">
        <f>'Scenario Analysis-PAT'!C6</f>
        <v>108887024</v>
      </c>
    </row>
    <row r="6" spans="2:6">
      <c r="B6" s="182" t="s">
        <v>62</v>
      </c>
      <c r="C6" s="184">
        <v>0.22500767535594199</v>
      </c>
    </row>
    <row r="7" spans="2:6">
      <c r="B7" s="182" t="s">
        <v>117</v>
      </c>
      <c r="C7" s="185">
        <f>'Scenario Analysis-Gross Profit'!C7</f>
        <v>0.22061131912283691</v>
      </c>
    </row>
    <row r="8" spans="2:6">
      <c r="B8" s="182"/>
      <c r="C8" s="182"/>
    </row>
    <row r="9" spans="2:6">
      <c r="B9" s="182" t="s">
        <v>128</v>
      </c>
      <c r="C9" s="146">
        <f>C5*(1+C6)</f>
        <v>133387440.14666666</v>
      </c>
    </row>
    <row r="10" spans="2:6">
      <c r="B10" s="182" t="s">
        <v>3</v>
      </c>
      <c r="C10" s="146">
        <f>C9*(1-C7)*-1</f>
        <v>-103960661.02149206</v>
      </c>
    </row>
    <row r="11" spans="2:6">
      <c r="B11" s="182" t="s">
        <v>4</v>
      </c>
      <c r="C11" s="149">
        <f>SUM(C9:C10)</f>
        <v>29426779.125174597</v>
      </c>
    </row>
    <row r="12" spans="2:6">
      <c r="B12" s="182"/>
      <c r="C12" s="182"/>
    </row>
    <row r="13" spans="2:6">
      <c r="B13" s="182"/>
      <c r="C13" s="182"/>
    </row>
    <row r="14" spans="2:6">
      <c r="B14" s="186" t="s">
        <v>132</v>
      </c>
      <c r="C14" s="182"/>
    </row>
    <row r="15" spans="2:6">
      <c r="B15" s="441" t="s">
        <v>133</v>
      </c>
      <c r="C15" s="441"/>
      <c r="D15" s="441"/>
      <c r="E15" s="441"/>
      <c r="F15" s="441"/>
    </row>
    <row r="16" spans="2:6">
      <c r="B16" s="182"/>
      <c r="C16" s="182"/>
    </row>
    <row r="17" spans="2:11">
      <c r="B17" s="186" t="s">
        <v>134</v>
      </c>
    </row>
    <row r="18" spans="2:11" ht="15" thickBot="1"/>
    <row r="19" spans="2:11">
      <c r="B19" s="187" t="s">
        <v>135</v>
      </c>
      <c r="C19" s="187"/>
      <c r="D19" s="188"/>
      <c r="E19" s="188"/>
      <c r="F19" s="188"/>
      <c r="G19" s="188"/>
      <c r="H19" s="76"/>
      <c r="I19" s="76"/>
      <c r="J19" s="76"/>
      <c r="K19" s="76"/>
    </row>
    <row r="20" spans="2:11">
      <c r="B20" s="189"/>
      <c r="C20" s="189"/>
      <c r="D20" s="190" t="s">
        <v>136</v>
      </c>
      <c r="E20" s="190" t="s">
        <v>137</v>
      </c>
      <c r="F20" s="190" t="s">
        <v>138</v>
      </c>
      <c r="G20" s="190" t="s">
        <v>139</v>
      </c>
      <c r="H20" s="76"/>
      <c r="I20" s="76"/>
      <c r="J20" s="76"/>
      <c r="K20" s="76"/>
    </row>
    <row r="21" spans="2:11">
      <c r="B21" s="191"/>
      <c r="C21" s="191"/>
      <c r="D21" s="85"/>
      <c r="E21" s="192"/>
      <c r="F21" s="192"/>
      <c r="G21" s="192"/>
      <c r="H21" s="76"/>
      <c r="I21" s="76"/>
      <c r="J21" s="76"/>
      <c r="K21" s="76"/>
    </row>
    <row r="22" spans="2:11">
      <c r="B22" s="193" t="s">
        <v>140</v>
      </c>
      <c r="C22" s="193"/>
      <c r="D22" s="194"/>
      <c r="E22" s="194"/>
      <c r="F22" s="194"/>
      <c r="G22" s="194"/>
      <c r="H22" s="76"/>
      <c r="I22" s="76"/>
      <c r="J22" s="76"/>
      <c r="K22" s="76"/>
    </row>
    <row r="23" spans="2:11">
      <c r="B23" s="195"/>
      <c r="C23" s="195" t="str">
        <f>B6</f>
        <v>Sales growth</v>
      </c>
      <c r="D23" s="196">
        <v>0.22500767535594199</v>
      </c>
      <c r="E23" s="197">
        <v>0.22500000000000001</v>
      </c>
      <c r="F23" s="197">
        <v>0.1</v>
      </c>
      <c r="G23" s="197">
        <v>0.35</v>
      </c>
      <c r="H23" s="76"/>
      <c r="I23" s="76"/>
      <c r="J23" s="76"/>
      <c r="K23" s="76"/>
    </row>
    <row r="24" spans="2:11">
      <c r="B24" s="193" t="s">
        <v>141</v>
      </c>
      <c r="C24" s="193"/>
      <c r="D24" s="194"/>
      <c r="E24" s="194"/>
      <c r="F24" s="194"/>
      <c r="G24" s="194"/>
      <c r="H24" s="76"/>
      <c r="I24" s="76"/>
      <c r="J24" s="76"/>
      <c r="K24" s="76"/>
    </row>
    <row r="25" spans="2:11">
      <c r="B25" s="195"/>
      <c r="C25" s="195" t="str">
        <f>B9</f>
        <v>Next year sales</v>
      </c>
      <c r="D25" s="198">
        <v>133387440.146667</v>
      </c>
      <c r="E25" s="198">
        <v>133386604.40000001</v>
      </c>
      <c r="F25" s="198">
        <v>119775726.40000001</v>
      </c>
      <c r="G25" s="198">
        <v>146997482.40000001</v>
      </c>
      <c r="H25" s="76"/>
      <c r="I25" s="76"/>
      <c r="J25" s="76"/>
      <c r="K25" s="76"/>
    </row>
    <row r="26" spans="2:11">
      <c r="B26" s="195"/>
      <c r="C26" s="195" t="str">
        <f t="shared" ref="C26:C27" si="0">B10</f>
        <v>Cost of sales</v>
      </c>
      <c r="D26" s="198">
        <v>-103960661.021492</v>
      </c>
      <c r="E26" s="198">
        <v>-103960009.65000001</v>
      </c>
      <c r="F26" s="198">
        <v>-93351845.400000006</v>
      </c>
      <c r="G26" s="198">
        <v>-114568173.90000001</v>
      </c>
      <c r="H26" s="76"/>
      <c r="I26" s="76"/>
      <c r="J26" s="76"/>
      <c r="K26" s="76"/>
    </row>
    <row r="27" spans="2:11" ht="15" thickBot="1">
      <c r="B27" s="199"/>
      <c r="C27" s="199" t="str">
        <f t="shared" si="0"/>
        <v>Gross profit</v>
      </c>
      <c r="D27" s="200">
        <v>29426779.125174601</v>
      </c>
      <c r="E27" s="200">
        <v>29426594.75</v>
      </c>
      <c r="F27" s="200">
        <v>26423881</v>
      </c>
      <c r="G27" s="200">
        <v>32429308.5</v>
      </c>
      <c r="H27" s="76"/>
      <c r="I27" s="76"/>
      <c r="J27" s="76"/>
      <c r="K27" s="76"/>
    </row>
    <row r="28" spans="2:11">
      <c r="B28" s="191"/>
      <c r="C28" s="191"/>
      <c r="D28" s="201"/>
      <c r="E28" s="201"/>
      <c r="F28" s="201"/>
      <c r="G28" s="201"/>
      <c r="H28" s="76"/>
      <c r="I28" s="76"/>
      <c r="J28" s="76"/>
      <c r="K28" s="76"/>
    </row>
    <row r="29" spans="2:11">
      <c r="B29" s="97" t="s">
        <v>142</v>
      </c>
      <c r="C29" s="76"/>
      <c r="D29" s="76"/>
      <c r="E29" s="76"/>
      <c r="F29" s="76"/>
      <c r="G29" s="76"/>
      <c r="H29" s="76"/>
      <c r="I29" s="76"/>
      <c r="J29" s="76"/>
      <c r="K29" s="76"/>
    </row>
    <row r="30" spans="2:11">
      <c r="B30" s="97"/>
      <c r="C30" s="76"/>
      <c r="D30" s="76"/>
      <c r="E30" s="76"/>
      <c r="F30" s="76"/>
      <c r="G30" s="76"/>
      <c r="H30" s="76"/>
      <c r="I30" s="76"/>
      <c r="J30" s="76"/>
      <c r="K30" s="76"/>
    </row>
    <row r="31" spans="2:11" ht="15" thickBot="1">
      <c r="B31" s="140" t="s">
        <v>81</v>
      </c>
    </row>
    <row r="32" spans="2:11" ht="14.4" customHeight="1">
      <c r="B32" s="442" t="s">
        <v>143</v>
      </c>
      <c r="C32" s="443"/>
      <c r="D32" s="443"/>
      <c r="E32" s="443"/>
      <c r="F32" s="443"/>
      <c r="G32" s="443"/>
      <c r="H32" s="444"/>
    </row>
    <row r="33" spans="2:8">
      <c r="B33" s="445"/>
      <c r="C33" s="446"/>
      <c r="D33" s="446"/>
      <c r="E33" s="446"/>
      <c r="F33" s="446"/>
      <c r="G33" s="446"/>
      <c r="H33" s="447"/>
    </row>
    <row r="34" spans="2:8">
      <c r="B34" s="445"/>
      <c r="C34" s="446"/>
      <c r="D34" s="446"/>
      <c r="E34" s="446"/>
      <c r="F34" s="446"/>
      <c r="G34" s="446"/>
      <c r="H34" s="447"/>
    </row>
    <row r="35" spans="2:8">
      <c r="B35" s="445"/>
      <c r="C35" s="446"/>
      <c r="D35" s="446"/>
      <c r="E35" s="446"/>
      <c r="F35" s="446"/>
      <c r="G35" s="446"/>
      <c r="H35" s="447"/>
    </row>
    <row r="36" spans="2:8" ht="14.4" customHeight="1">
      <c r="B36" s="445" t="s">
        <v>144</v>
      </c>
      <c r="C36" s="446"/>
      <c r="D36" s="446"/>
      <c r="E36" s="446"/>
      <c r="F36" s="446"/>
      <c r="G36" s="446"/>
      <c r="H36" s="447"/>
    </row>
    <row r="37" spans="2:8">
      <c r="B37" s="445"/>
      <c r="C37" s="446"/>
      <c r="D37" s="446"/>
      <c r="E37" s="446"/>
      <c r="F37" s="446"/>
      <c r="G37" s="446"/>
      <c r="H37" s="447"/>
    </row>
    <row r="38" spans="2:8">
      <c r="B38" s="445"/>
      <c r="C38" s="446"/>
      <c r="D38" s="446"/>
      <c r="E38" s="446"/>
      <c r="F38" s="446"/>
      <c r="G38" s="446"/>
      <c r="H38" s="447"/>
    </row>
    <row r="39" spans="2:8">
      <c r="B39" s="445"/>
      <c r="C39" s="446"/>
      <c r="D39" s="446"/>
      <c r="E39" s="446"/>
      <c r="F39" s="446"/>
      <c r="G39" s="446"/>
      <c r="H39" s="447"/>
    </row>
    <row r="40" spans="2:8">
      <c r="B40" s="445"/>
      <c r="C40" s="446"/>
      <c r="D40" s="446"/>
      <c r="E40" s="446"/>
      <c r="F40" s="446"/>
      <c r="G40" s="446"/>
      <c r="H40" s="447"/>
    </row>
    <row r="41" spans="2:8">
      <c r="B41" s="445"/>
      <c r="C41" s="446"/>
      <c r="D41" s="446"/>
      <c r="E41" s="446"/>
      <c r="F41" s="446"/>
      <c r="G41" s="446"/>
      <c r="H41" s="447"/>
    </row>
    <row r="42" spans="2:8" ht="15" thickBot="1">
      <c r="B42" s="448"/>
      <c r="C42" s="449"/>
      <c r="D42" s="449"/>
      <c r="E42" s="449"/>
      <c r="F42" s="449"/>
      <c r="G42" s="449"/>
      <c r="H42" s="450"/>
    </row>
    <row r="43" spans="2:8">
      <c r="B43" s="202"/>
      <c r="C43" s="202"/>
      <c r="D43" s="202"/>
      <c r="E43" s="202"/>
      <c r="F43" s="202"/>
      <c r="G43" s="202"/>
      <c r="H43" s="202"/>
    </row>
    <row r="44" spans="2:8">
      <c r="B44" s="202"/>
      <c r="C44" s="202"/>
      <c r="D44" s="202"/>
      <c r="E44" s="202"/>
      <c r="F44" s="202"/>
      <c r="G44" s="202"/>
      <c r="H44" s="202"/>
    </row>
  </sheetData>
  <scenarios current="1" show="2" sqref="C9:C11">
    <scenario name="Base case " locked="1" count="1" user="Hussain Muhammad" comment="Created by Dell on 9/2/2024_x000a_Modified by Hussain Muhammad on 9/18/2024_x000a_Modified by Hussain Muhammad on 9/27/2024_x000a_Modified by Hussain Muhammad on 10/21/2024">
      <inputCells r="C6" val="0.225"/>
    </scenario>
    <scenario name="Worst case" locked="1" count="1" user="Hussain Muhammad" comment="Created by Dell on 9/2/2024_x000a_Modified by Hussain Muhammad on 9/18/2024_x000a_Modified by Hussain Muhammad on 9/27/2024_x000a_Modified by Hussain Muhammad on 10/21/2024">
      <inputCells r="C6" val="0.1"/>
    </scenario>
    <scenario name="Best case" locked="1" count="1" user="Hussain Muhammad" comment="Created by Dell on 9/2/2024_x000a_Modified by Hussain Muhammad on 9/18/2024_x000a_Modified by Hussain Muhammad on 9/27/2024_x000a_Modified by Hussain Muhammad on 10/21/2024">
      <inputCells r="C6" val="0.35"/>
    </scenario>
  </scenarios>
  <mergeCells count="5">
    <mergeCell ref="B2:E2"/>
    <mergeCell ref="B4:C4"/>
    <mergeCell ref="B15:F15"/>
    <mergeCell ref="B32:H35"/>
    <mergeCell ref="B36:H42"/>
  </mergeCells>
  <dataValidations count="1">
    <dataValidation allowBlank="1" showErrorMessage="1" sqref="C7" xr:uid="{CB15BC93-4389-490D-9D4D-53BA342B19BB}"/>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0B8-63D7-41CE-8A4D-B9860B816E5B}">
  <sheetPr codeName="Sheet26"/>
  <dimension ref="B2:I44"/>
  <sheetViews>
    <sheetView showGridLines="0" topLeftCell="A21" workbookViewId="0">
      <selection activeCell="B21" sqref="B21"/>
    </sheetView>
  </sheetViews>
  <sheetFormatPr defaultRowHeight="14.4"/>
  <cols>
    <col min="1" max="1" width="1.88671875" style="114" customWidth="1"/>
    <col min="2" max="2" width="36.44140625" style="114" customWidth="1"/>
    <col min="3" max="3" width="18.109375" style="114" customWidth="1"/>
    <col min="4" max="4" width="14.77734375" style="114" customWidth="1"/>
    <col min="5" max="5" width="22.44140625" style="114" customWidth="1"/>
    <col min="6" max="7" width="14.77734375" style="114" customWidth="1"/>
    <col min="8" max="8" width="29" style="114" customWidth="1"/>
    <col min="9" max="9" width="17.44140625" style="114" customWidth="1"/>
    <col min="10" max="16384" width="8.88671875" style="114"/>
  </cols>
  <sheetData>
    <row r="2" spans="2:5">
      <c r="B2" s="428" t="str">
        <f>"Sensitivity Analysis-Finance Costs"&amp;" - "&amp;BS!B2</f>
        <v>Sensitivity Analysis-Finance Costs - Ismail Industries Limited</v>
      </c>
      <c r="C2" s="428"/>
      <c r="D2" s="428"/>
      <c r="E2" s="428"/>
    </row>
    <row r="4" spans="2:5">
      <c r="B4" s="434" t="s">
        <v>91</v>
      </c>
      <c r="C4" s="434"/>
    </row>
    <row r="5" spans="2:5">
      <c r="B5" s="116" t="s">
        <v>115</v>
      </c>
      <c r="C5" s="183">
        <f>Pnl!C9</f>
        <v>108887024</v>
      </c>
    </row>
    <row r="6" spans="2:5">
      <c r="B6" s="182" t="s">
        <v>145</v>
      </c>
      <c r="C6" s="203">
        <f>Pnl!C14</f>
        <v>7384155</v>
      </c>
    </row>
    <row r="7" spans="2:5">
      <c r="B7" s="182" t="s">
        <v>146</v>
      </c>
      <c r="C7" s="206">
        <f>C6/C5</f>
        <v>6.7814829800105475E-2</v>
      </c>
    </row>
    <row r="8" spans="2:5">
      <c r="B8" s="182"/>
      <c r="C8" s="182"/>
    </row>
    <row r="9" spans="2:5">
      <c r="B9" s="182" t="s">
        <v>147</v>
      </c>
      <c r="C9" s="146">
        <f>C5*(1+'Forecasting-Sales'!E11)</f>
        <v>133387440.14666666</v>
      </c>
    </row>
    <row r="10" spans="2:5">
      <c r="B10" s="182" t="s">
        <v>148</v>
      </c>
      <c r="C10" s="204">
        <f>C9*C7</f>
        <v>9045646.5510179549</v>
      </c>
    </row>
    <row r="11" spans="2:5">
      <c r="B11" s="182"/>
      <c r="C11" s="204"/>
    </row>
    <row r="12" spans="2:5">
      <c r="B12" s="17" t="s">
        <v>35</v>
      </c>
    </row>
    <row r="13" spans="2:5">
      <c r="B13" s="9" t="s">
        <v>125</v>
      </c>
      <c r="C13" s="207">
        <f>'Ratio Analysis-Profitability'!C7</f>
        <v>0.12839106522003943</v>
      </c>
    </row>
    <row r="14" spans="2:5">
      <c r="B14" s="9" t="s">
        <v>233</v>
      </c>
      <c r="C14" s="207">
        <f>Pnl!C13/Pnl!C9</f>
        <v>1.2020192598890388E-2</v>
      </c>
      <c r="E14" s="9"/>
    </row>
    <row r="15" spans="2:5">
      <c r="B15" s="182"/>
      <c r="C15" s="208"/>
    </row>
    <row r="16" spans="2:5">
      <c r="B16" s="329" t="s">
        <v>296</v>
      </c>
      <c r="C16" s="328">
        <f>(C9*C13)+(C9*C14)-C10</f>
        <v>9683451.6972227283</v>
      </c>
    </row>
    <row r="17" spans="2:9">
      <c r="B17" s="329"/>
      <c r="C17" s="331"/>
    </row>
    <row r="18" spans="2:9">
      <c r="B18" s="404" t="s">
        <v>297</v>
      </c>
      <c r="C18" s="332">
        <f>Pnl!C16/Pnl!C15</f>
        <v>0.20118789113889851</v>
      </c>
    </row>
    <row r="19" spans="2:9">
      <c r="B19" s="329"/>
      <c r="C19" s="332"/>
    </row>
    <row r="20" spans="2:9">
      <c r="B20" s="329" t="s">
        <v>298</v>
      </c>
      <c r="C20" s="333">
        <f>C16*(1-C18)</f>
        <v>7735258.4713131003</v>
      </c>
    </row>
    <row r="21" spans="2:9">
      <c r="B21" s="182"/>
      <c r="C21" s="204"/>
    </row>
    <row r="22" spans="2:9">
      <c r="B22" s="404" t="s">
        <v>390</v>
      </c>
      <c r="C22" s="204">
        <f>Pnl!C12</f>
        <v>13980121</v>
      </c>
    </row>
    <row r="23" spans="2:9">
      <c r="B23" s="182"/>
      <c r="C23" s="204"/>
    </row>
    <row r="24" spans="2:9">
      <c r="B24" s="329" t="s">
        <v>391</v>
      </c>
      <c r="C24" s="302">
        <f>C22/C10</f>
        <v>1.5455082089656424</v>
      </c>
    </row>
    <row r="25" spans="2:9">
      <c r="B25" s="182"/>
      <c r="C25" s="204"/>
    </row>
    <row r="26" spans="2:9">
      <c r="B26" s="115" t="s">
        <v>99</v>
      </c>
      <c r="C26" s="128" t="s">
        <v>392</v>
      </c>
      <c r="H26" s="120"/>
      <c r="I26" s="128"/>
    </row>
    <row r="27" spans="2:9">
      <c r="B27" s="116"/>
      <c r="C27" s="116"/>
      <c r="H27" s="116"/>
      <c r="I27" s="116"/>
    </row>
    <row r="28" spans="2:9">
      <c r="B28" s="115" t="s">
        <v>149</v>
      </c>
      <c r="C28" s="115" t="s">
        <v>299</v>
      </c>
      <c r="D28" s="115" t="s">
        <v>300</v>
      </c>
      <c r="E28" s="115" t="s">
        <v>291</v>
      </c>
      <c r="H28" s="120"/>
      <c r="I28" s="120"/>
    </row>
    <row r="29" spans="2:9">
      <c r="B29" s="116"/>
      <c r="C29" s="406">
        <f>C16</f>
        <v>9683451.6972227283</v>
      </c>
      <c r="D29" s="407">
        <f>C20</f>
        <v>7735258.4713131003</v>
      </c>
      <c r="E29" s="405">
        <f>C24</f>
        <v>1.5455082089656424</v>
      </c>
      <c r="H29" s="116"/>
      <c r="I29" s="401"/>
    </row>
    <row r="30" spans="2:9">
      <c r="B30" s="122">
        <v>1.4999999999999999E-2</v>
      </c>
      <c r="C30" s="205">
        <f t="dataTable" ref="C30:E36" dt2D="0" dtr="0" r1="C7"/>
        <v>16728286.646040684</v>
      </c>
      <c r="D30" s="205">
        <v>13362757.933356762</v>
      </c>
      <c r="E30" s="408">
        <v>6.987225076378059</v>
      </c>
      <c r="H30" s="402"/>
      <c r="I30" s="400"/>
    </row>
    <row r="31" spans="2:9">
      <c r="B31" s="122">
        <f>B30+2%</f>
        <v>3.5000000000000003E-2</v>
      </c>
      <c r="C31" s="205">
        <v>14060537.84310735</v>
      </c>
      <c r="D31" s="205">
        <v>11231727.886173906</v>
      </c>
      <c r="E31" s="408">
        <v>2.9945250327334532</v>
      </c>
      <c r="H31" s="402"/>
      <c r="I31" s="400"/>
    </row>
    <row r="32" spans="2:9">
      <c r="B32" s="122">
        <f t="shared" ref="B32:B36" si="0">B31+2%</f>
        <v>5.5000000000000007E-2</v>
      </c>
      <c r="C32" s="205">
        <v>11392789.040174015</v>
      </c>
      <c r="D32" s="205">
        <v>9100697.8389910497</v>
      </c>
      <c r="E32" s="408">
        <v>1.9056068390121974</v>
      </c>
      <c r="H32" s="402"/>
      <c r="I32" s="400"/>
    </row>
    <row r="33" spans="2:9">
      <c r="B33" s="330">
        <v>6.7815E-2</v>
      </c>
      <c r="C33" s="209">
        <v>9683428.9946944844</v>
      </c>
      <c r="D33" s="209">
        <v>7735240.3362586377</v>
      </c>
      <c r="E33" s="409">
        <v>1.5455043300991063</v>
      </c>
      <c r="H33" s="403"/>
      <c r="I33" s="400"/>
    </row>
    <row r="34" spans="2:9">
      <c r="B34" s="122">
        <f t="shared" si="0"/>
        <v>8.7815000000000004E-2</v>
      </c>
      <c r="C34" s="205">
        <v>7015680.1917611491</v>
      </c>
      <c r="D34" s="205">
        <v>5604210.2890757807</v>
      </c>
      <c r="E34" s="408">
        <v>1.1935133649794554</v>
      </c>
      <c r="H34" s="402"/>
      <c r="I34" s="400"/>
    </row>
    <row r="35" spans="2:9">
      <c r="B35" s="122">
        <f t="shared" si="0"/>
        <v>0.10781500000000001</v>
      </c>
      <c r="C35" s="205">
        <v>4347931.3888278157</v>
      </c>
      <c r="D35" s="205">
        <v>3473180.2418929255</v>
      </c>
      <c r="E35" s="408">
        <v>0.97211312104689396</v>
      </c>
      <c r="H35" s="402"/>
      <c r="I35" s="400"/>
    </row>
    <row r="36" spans="2:9">
      <c r="B36" s="122">
        <f t="shared" si="0"/>
        <v>0.12781500000000001</v>
      </c>
      <c r="C36" s="205">
        <v>1680182.5858944841</v>
      </c>
      <c r="D36" s="205">
        <v>1342150.1947100717</v>
      </c>
      <c r="E36" s="408">
        <v>0.82000059574909734</v>
      </c>
      <c r="H36" s="402"/>
      <c r="I36" s="400"/>
    </row>
    <row r="37" spans="2:9">
      <c r="B37" s="182"/>
      <c r="C37" s="182"/>
    </row>
    <row r="38" spans="2:9" ht="15" thickBot="1">
      <c r="B38" s="140" t="s">
        <v>81</v>
      </c>
    </row>
    <row r="39" spans="2:9">
      <c r="B39" s="442" t="s">
        <v>393</v>
      </c>
      <c r="C39" s="443"/>
      <c r="D39" s="443"/>
      <c r="E39" s="443"/>
      <c r="F39" s="443"/>
      <c r="G39" s="443"/>
      <c r="H39" s="444"/>
    </row>
    <row r="40" spans="2:9">
      <c r="B40" s="445"/>
      <c r="C40" s="446"/>
      <c r="D40" s="446"/>
      <c r="E40" s="446"/>
      <c r="F40" s="446"/>
      <c r="G40" s="446"/>
      <c r="H40" s="447"/>
    </row>
    <row r="41" spans="2:9">
      <c r="B41" s="445"/>
      <c r="C41" s="446"/>
      <c r="D41" s="446"/>
      <c r="E41" s="446"/>
      <c r="F41" s="446"/>
      <c r="G41" s="446"/>
      <c r="H41" s="447"/>
    </row>
    <row r="42" spans="2:9" ht="15" thickBot="1">
      <c r="B42" s="448"/>
      <c r="C42" s="449"/>
      <c r="D42" s="449"/>
      <c r="E42" s="449"/>
      <c r="F42" s="449"/>
      <c r="G42" s="449"/>
      <c r="H42" s="450"/>
    </row>
    <row r="43" spans="2:9">
      <c r="B43" s="202"/>
      <c r="C43" s="202"/>
      <c r="D43" s="202"/>
      <c r="E43" s="202"/>
      <c r="F43" s="202"/>
      <c r="G43" s="202"/>
      <c r="H43" s="202"/>
    </row>
    <row r="44" spans="2:9">
      <c r="B44" s="202"/>
      <c r="C44" s="202"/>
      <c r="D44" s="202"/>
      <c r="E44" s="202"/>
      <c r="F44" s="202"/>
      <c r="G44" s="202"/>
      <c r="H44" s="202"/>
    </row>
  </sheetData>
  <mergeCells count="3">
    <mergeCell ref="B2:E2"/>
    <mergeCell ref="B4:C4"/>
    <mergeCell ref="B39:H42"/>
  </mergeCells>
  <dataValidations count="1">
    <dataValidation allowBlank="1" showErrorMessage="1" sqref="C7" xr:uid="{07EEBCD1-5EBA-47E8-8226-4221AE079D2F}"/>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E6ED4-91AF-4033-A529-A3EC9D363999}">
  <sheetPr codeName="Sheet27"/>
  <dimension ref="B2:S40"/>
  <sheetViews>
    <sheetView showGridLines="0" topLeftCell="A16" workbookViewId="0">
      <selection activeCell="B39" sqref="B39"/>
    </sheetView>
  </sheetViews>
  <sheetFormatPr defaultRowHeight="14.4"/>
  <cols>
    <col min="1" max="1" width="1.88671875" style="2" customWidth="1"/>
    <col min="2" max="2" width="26.109375" style="2" customWidth="1"/>
    <col min="3" max="3" width="16.77734375" style="2" customWidth="1"/>
    <col min="4" max="4" width="10.88671875" style="2" customWidth="1"/>
    <col min="5" max="5" width="11.44140625" style="2" customWidth="1"/>
    <col min="6" max="6" width="9.21875" style="2" customWidth="1"/>
    <col min="7" max="10" width="8.88671875" style="2"/>
    <col min="11" max="11" width="14.6640625" style="2" customWidth="1"/>
    <col min="12" max="12" width="25.109375" style="2" customWidth="1"/>
    <col min="13" max="13" width="18.5546875" style="2" customWidth="1"/>
    <col min="14" max="16384" width="8.88671875" style="2"/>
  </cols>
  <sheetData>
    <row r="2" spans="2:19">
      <c r="B2" s="433" t="str">
        <f>"Sensitivity Analysis-Account Receivable and Payable Days"&amp;" - "&amp;BS!B2</f>
        <v>Sensitivity Analysis-Account Receivable and Payable Days - Ismail Industries Limited</v>
      </c>
      <c r="C2" s="433"/>
      <c r="D2" s="433"/>
      <c r="E2" s="433"/>
      <c r="F2" s="433"/>
      <c r="G2" s="433"/>
      <c r="H2" s="433"/>
      <c r="I2" s="433"/>
      <c r="J2" s="433"/>
      <c r="K2" s="433"/>
      <c r="L2" s="145"/>
      <c r="M2" s="145"/>
      <c r="N2" s="145"/>
    </row>
    <row r="3" spans="2:19">
      <c r="B3" s="114"/>
      <c r="C3" s="114"/>
      <c r="D3" s="114"/>
      <c r="E3" s="114"/>
      <c r="F3" s="114"/>
    </row>
    <row r="4" spans="2:19">
      <c r="B4" s="434" t="s">
        <v>91</v>
      </c>
      <c r="C4" s="434"/>
      <c r="D4" s="434"/>
      <c r="E4" s="434"/>
      <c r="F4" s="114"/>
    </row>
    <row r="6" spans="2:19">
      <c r="B6" s="2" t="s">
        <v>150</v>
      </c>
      <c r="C6" s="31">
        <f>'Ratio Analysis-Activity'!C8</f>
        <v>39.621103350707799</v>
      </c>
    </row>
    <row r="7" spans="2:19">
      <c r="B7" s="2" t="s">
        <v>151</v>
      </c>
      <c r="C7" s="31">
        <f>'Ratio Analysis-Activity'!C9</f>
        <v>40.728100529387063</v>
      </c>
    </row>
    <row r="8" spans="2:19">
      <c r="B8" s="2" t="s">
        <v>152</v>
      </c>
      <c r="C8" s="31">
        <f>'Ratio Analysis-Activity'!C6</f>
        <v>61.340879944190149</v>
      </c>
    </row>
    <row r="10" spans="2:19" ht="15" thickBot="1">
      <c r="B10" s="213" t="s">
        <v>153</v>
      </c>
      <c r="C10" s="214">
        <f>C6+C8-C7</f>
        <v>60.233882765510884</v>
      </c>
    </row>
    <row r="11" spans="2:19" ht="15" thickTop="1"/>
    <row r="12" spans="2:19">
      <c r="B12" s="115" t="s">
        <v>99</v>
      </c>
      <c r="C12" s="128" t="s">
        <v>154</v>
      </c>
      <c r="D12" s="114"/>
      <c r="E12" s="114"/>
      <c r="F12" s="114"/>
      <c r="G12" s="114"/>
      <c r="H12" s="114"/>
      <c r="I12" s="114"/>
      <c r="J12" s="114"/>
      <c r="K12" s="114"/>
      <c r="L12" s="115" t="s">
        <v>99</v>
      </c>
      <c r="M12" s="128" t="s">
        <v>155</v>
      </c>
      <c r="N12" s="114"/>
      <c r="O12" s="114"/>
      <c r="P12" s="114"/>
      <c r="Q12" s="114"/>
      <c r="R12" s="114"/>
      <c r="S12" s="114"/>
    </row>
    <row r="13" spans="2:19">
      <c r="B13" s="116"/>
      <c r="C13" s="116"/>
      <c r="D13" s="114"/>
      <c r="E13" s="114"/>
      <c r="F13" s="114"/>
      <c r="G13" s="114"/>
      <c r="H13" s="114"/>
      <c r="I13" s="114"/>
      <c r="J13" s="114"/>
      <c r="K13" s="114"/>
      <c r="L13" s="116"/>
      <c r="M13" s="116"/>
      <c r="N13" s="114"/>
      <c r="O13" s="114"/>
      <c r="P13" s="114"/>
      <c r="Q13" s="114"/>
      <c r="R13" s="114"/>
      <c r="S13" s="114"/>
    </row>
    <row r="14" spans="2:19">
      <c r="B14" s="115" t="s">
        <v>150</v>
      </c>
      <c r="C14" s="115" t="s">
        <v>153</v>
      </c>
      <c r="D14" s="114"/>
      <c r="E14" s="114"/>
      <c r="F14" s="114"/>
      <c r="G14" s="114"/>
      <c r="H14" s="114"/>
      <c r="I14" s="114"/>
      <c r="J14" s="114"/>
      <c r="K14" s="114"/>
      <c r="L14" s="115" t="s">
        <v>151</v>
      </c>
      <c r="M14" s="115" t="s">
        <v>153</v>
      </c>
      <c r="N14" s="114"/>
      <c r="O14" s="114"/>
      <c r="P14" s="114"/>
      <c r="Q14" s="114"/>
      <c r="R14" s="114"/>
      <c r="S14" s="114"/>
    </row>
    <row r="15" spans="2:19">
      <c r="B15" s="116"/>
      <c r="C15" s="215">
        <f>C10</f>
        <v>60.233882765510884</v>
      </c>
      <c r="D15" s="114"/>
      <c r="E15" s="114"/>
      <c r="F15" s="114"/>
      <c r="G15" s="114"/>
      <c r="H15" s="114"/>
      <c r="I15" s="114"/>
      <c r="J15" s="114"/>
      <c r="K15" s="114"/>
      <c r="L15" s="116"/>
      <c r="M15" s="215">
        <f>C10</f>
        <v>60.233882765510884</v>
      </c>
      <c r="N15" s="114"/>
      <c r="O15" s="114"/>
      <c r="P15" s="114"/>
      <c r="Q15" s="114"/>
      <c r="R15" s="114"/>
      <c r="S15" s="114"/>
    </row>
    <row r="16" spans="2:19">
      <c r="B16" s="216">
        <v>16</v>
      </c>
      <c r="C16" s="217">
        <f t="dataTable" ref="C16:C23" dt2D="0" dtr="0" r1="C6"/>
        <v>36.612779414803086</v>
      </c>
      <c r="D16" s="114"/>
      <c r="E16" s="114"/>
      <c r="F16" s="114"/>
      <c r="G16" s="114"/>
      <c r="H16" s="114"/>
      <c r="I16" s="114"/>
      <c r="J16" s="114"/>
      <c r="K16" s="114"/>
      <c r="L16" s="216">
        <v>21</v>
      </c>
      <c r="M16" s="217">
        <f t="dataTable" ref="M16:M23" dt2D="0" dtr="0" r1="C7" ca="1"/>
        <v>79.961983294897948</v>
      </c>
      <c r="N16" s="114"/>
      <c r="O16" s="114"/>
      <c r="P16" s="114"/>
      <c r="Q16" s="114"/>
      <c r="R16" s="114"/>
      <c r="S16" s="114"/>
    </row>
    <row r="17" spans="2:19">
      <c r="B17" s="216">
        <v>20</v>
      </c>
      <c r="C17" s="217">
        <v>40.612779414803086</v>
      </c>
      <c r="D17" s="114"/>
      <c r="E17" s="114"/>
      <c r="F17" s="114"/>
      <c r="G17" s="114"/>
      <c r="H17" s="114"/>
      <c r="I17" s="114"/>
      <c r="J17" s="114"/>
      <c r="K17" s="114"/>
      <c r="L17" s="216">
        <v>26</v>
      </c>
      <c r="M17" s="217">
        <v>74.961983294897948</v>
      </c>
      <c r="N17" s="114"/>
      <c r="O17" s="114"/>
      <c r="P17" s="114"/>
      <c r="Q17" s="114"/>
      <c r="R17" s="114"/>
      <c r="S17" s="114"/>
    </row>
    <row r="18" spans="2:19">
      <c r="B18" s="216">
        <v>24</v>
      </c>
      <c r="C18" s="219">
        <v>44.612779414803086</v>
      </c>
      <c r="D18" s="114"/>
      <c r="E18" s="125"/>
      <c r="F18" s="114"/>
      <c r="G18" s="114"/>
      <c r="H18" s="114"/>
      <c r="I18" s="114"/>
      <c r="J18" s="114"/>
      <c r="K18" s="114"/>
      <c r="L18" s="216">
        <v>31</v>
      </c>
      <c r="M18" s="219">
        <v>69.961983294897948</v>
      </c>
      <c r="N18" s="114"/>
      <c r="O18" s="125"/>
      <c r="P18" s="114"/>
      <c r="Q18" s="114"/>
      <c r="R18" s="114"/>
      <c r="S18" s="114"/>
    </row>
    <row r="19" spans="2:19">
      <c r="B19" s="216">
        <v>28</v>
      </c>
      <c r="C19" s="217">
        <v>48.612779414803086</v>
      </c>
      <c r="D19" s="114"/>
      <c r="E19" s="114"/>
      <c r="F19" s="114"/>
      <c r="G19" s="114"/>
      <c r="H19" s="114"/>
      <c r="I19" s="114"/>
      <c r="J19" s="114"/>
      <c r="K19" s="114"/>
      <c r="L19" s="216">
        <v>36</v>
      </c>
      <c r="M19" s="219">
        <v>64.961983294897948</v>
      </c>
      <c r="N19" s="114"/>
      <c r="O19" s="114"/>
      <c r="P19" s="114"/>
      <c r="Q19" s="114"/>
      <c r="R19" s="114"/>
      <c r="S19" s="114"/>
    </row>
    <row r="20" spans="2:19">
      <c r="B20" s="216">
        <v>32</v>
      </c>
      <c r="C20" s="219">
        <v>52.612779414803086</v>
      </c>
      <c r="D20" s="114"/>
      <c r="E20" s="114"/>
      <c r="F20" s="114"/>
      <c r="G20" s="114"/>
      <c r="H20" s="114"/>
      <c r="I20" s="114"/>
      <c r="J20" s="114"/>
      <c r="K20" s="114"/>
      <c r="L20" s="336">
        <v>40.728100529387063</v>
      </c>
      <c r="M20" s="218">
        <v>60.233882765510884</v>
      </c>
      <c r="N20" s="114"/>
      <c r="O20" s="114"/>
      <c r="P20" s="114"/>
      <c r="Q20" s="114"/>
      <c r="R20" s="114"/>
      <c r="S20" s="114"/>
    </row>
    <row r="21" spans="2:19">
      <c r="B21" s="216">
        <v>36</v>
      </c>
      <c r="C21" s="217">
        <v>56.612779414803086</v>
      </c>
      <c r="D21" s="114"/>
      <c r="E21" s="114"/>
      <c r="F21" s="114"/>
      <c r="G21" s="114"/>
      <c r="H21" s="114"/>
      <c r="I21" s="114"/>
      <c r="J21" s="114"/>
      <c r="K21" s="114"/>
      <c r="L21" s="216">
        <v>45.728100529387063</v>
      </c>
      <c r="M21" s="217">
        <v>55.233882765510884</v>
      </c>
      <c r="N21" s="114"/>
      <c r="O21" s="114"/>
      <c r="P21" s="114"/>
      <c r="Q21" s="114"/>
      <c r="R21" s="114"/>
      <c r="S21" s="114"/>
    </row>
    <row r="22" spans="2:19">
      <c r="B22" s="336">
        <v>39.621103350707799</v>
      </c>
      <c r="C22" s="218">
        <v>60.233882765510884</v>
      </c>
      <c r="D22" s="114"/>
      <c r="E22" s="114"/>
      <c r="F22" s="114"/>
      <c r="G22" s="211"/>
      <c r="H22" s="114"/>
      <c r="I22" s="114"/>
      <c r="J22" s="114"/>
      <c r="K22" s="114"/>
      <c r="L22" s="216">
        <v>50.728100529387063</v>
      </c>
      <c r="M22" s="217">
        <v>50.233882765510884</v>
      </c>
      <c r="N22" s="114"/>
      <c r="O22" s="114"/>
      <c r="P22" s="114"/>
      <c r="Q22" s="211"/>
      <c r="R22" s="114"/>
      <c r="S22" s="114"/>
    </row>
    <row r="23" spans="2:19">
      <c r="B23" s="216">
        <v>43.621103350707799</v>
      </c>
      <c r="C23" s="217">
        <v>64.233882765510884</v>
      </c>
      <c r="D23" s="114"/>
      <c r="E23" s="114"/>
      <c r="F23" s="114"/>
      <c r="G23" s="114"/>
      <c r="H23" s="114"/>
      <c r="I23" s="114"/>
      <c r="J23" s="114"/>
      <c r="K23" s="114"/>
      <c r="L23" s="216">
        <v>55.728100529387063</v>
      </c>
      <c r="M23" s="217">
        <v>45.233882765510884</v>
      </c>
      <c r="N23" s="114"/>
      <c r="O23" s="114"/>
      <c r="P23" s="114"/>
      <c r="Q23" s="114"/>
      <c r="R23" s="114"/>
      <c r="S23" s="114"/>
    </row>
    <row r="24" spans="2:19">
      <c r="B24" s="114"/>
      <c r="C24" s="114"/>
      <c r="D24" s="114"/>
      <c r="E24" s="114"/>
      <c r="F24" s="114"/>
      <c r="G24" s="114"/>
      <c r="H24" s="114"/>
      <c r="I24" s="114"/>
      <c r="J24" s="114"/>
      <c r="K24" s="114"/>
    </row>
    <row r="25" spans="2:19">
      <c r="B25" s="114"/>
      <c r="C25" s="114"/>
      <c r="D25" s="114"/>
      <c r="E25" s="114"/>
      <c r="F25" s="114"/>
      <c r="G25" s="114"/>
      <c r="H25" s="114"/>
      <c r="I25" s="114"/>
      <c r="J25" s="114"/>
      <c r="K25" s="114"/>
    </row>
    <row r="26" spans="2:19">
      <c r="B26" s="115" t="s">
        <v>104</v>
      </c>
      <c r="C26" s="128" t="s">
        <v>156</v>
      </c>
      <c r="D26" s="116"/>
      <c r="E26" s="116"/>
      <c r="F26" s="116"/>
      <c r="G26" s="116"/>
      <c r="H26" s="116"/>
      <c r="I26" s="116"/>
      <c r="J26" s="116"/>
      <c r="K26" s="114"/>
    </row>
    <row r="27" spans="2:19">
      <c r="B27" s="116"/>
      <c r="C27" s="116"/>
      <c r="D27" s="116"/>
      <c r="E27" s="116"/>
      <c r="F27" s="116"/>
      <c r="G27" s="116"/>
      <c r="H27" s="116"/>
      <c r="I27" s="116"/>
      <c r="J27" s="116"/>
      <c r="K27" s="114"/>
    </row>
    <row r="28" spans="2:19">
      <c r="B28" s="129"/>
      <c r="C28" s="130"/>
      <c r="D28" s="438" t="str">
        <f>L14</f>
        <v>Account Payable Days</v>
      </c>
      <c r="E28" s="438"/>
      <c r="F28" s="438"/>
      <c r="G28" s="438"/>
      <c r="H28" s="438"/>
      <c r="I28" s="438"/>
      <c r="J28" s="438"/>
      <c r="K28" s="438"/>
    </row>
    <row r="29" spans="2:19">
      <c r="B29" s="131"/>
      <c r="C29" s="156">
        <f>C10</f>
        <v>60.233882765510884</v>
      </c>
      <c r="D29" s="220">
        <f>L16</f>
        <v>21</v>
      </c>
      <c r="E29" s="220">
        <f>L17</f>
        <v>26</v>
      </c>
      <c r="F29" s="220">
        <f>L18</f>
        <v>31</v>
      </c>
      <c r="G29" s="220">
        <f>L19</f>
        <v>36</v>
      </c>
      <c r="H29" s="221">
        <f>L20</f>
        <v>40.728100529387063</v>
      </c>
      <c r="I29" s="220">
        <f>L21</f>
        <v>45.728100529387063</v>
      </c>
      <c r="J29" s="220">
        <f>L22</f>
        <v>50.728100529387063</v>
      </c>
      <c r="K29" s="211">
        <f>L23</f>
        <v>55.728100529387063</v>
      </c>
    </row>
    <row r="30" spans="2:19">
      <c r="B30" s="131"/>
      <c r="C30" s="222">
        <f>B16</f>
        <v>16</v>
      </c>
      <c r="D30" s="223">
        <f t="dataTable" ref="D30:K37" dt2D="1" dtr="1" r1="C7" r2="C6" ca="1"/>
        <v>56.340879944190149</v>
      </c>
      <c r="E30" s="224">
        <v>51.340879944190149</v>
      </c>
      <c r="F30" s="224">
        <v>46.340879944190149</v>
      </c>
      <c r="G30" s="224">
        <v>41.340879944190149</v>
      </c>
      <c r="H30" s="224">
        <v>36.612779414803086</v>
      </c>
      <c r="I30" s="224">
        <v>31.612779414803086</v>
      </c>
      <c r="J30" s="224">
        <v>26.612779414803086</v>
      </c>
      <c r="K30" s="225">
        <v>21.612779414803086</v>
      </c>
    </row>
    <row r="31" spans="2:19">
      <c r="B31" s="131"/>
      <c r="C31" s="222">
        <f t="shared" ref="C31:C37" si="0">B17</f>
        <v>20</v>
      </c>
      <c r="D31" s="226">
        <v>60.340879944190149</v>
      </c>
      <c r="E31" s="227">
        <v>55.340879944190149</v>
      </c>
      <c r="F31" s="227">
        <v>50.340879944190149</v>
      </c>
      <c r="G31" s="227">
        <v>45.340879944190149</v>
      </c>
      <c r="H31" s="227">
        <v>40.612779414803086</v>
      </c>
      <c r="I31" s="227">
        <v>35.612779414803086</v>
      </c>
      <c r="J31" s="227">
        <v>30.612779414803086</v>
      </c>
      <c r="K31" s="228">
        <v>25.612779414803086</v>
      </c>
    </row>
    <row r="32" spans="2:19">
      <c r="B32" s="131"/>
      <c r="C32" s="231">
        <f t="shared" si="0"/>
        <v>24</v>
      </c>
      <c r="D32" s="226">
        <v>64.340879944190149</v>
      </c>
      <c r="E32" s="227">
        <v>59.340879944190149</v>
      </c>
      <c r="F32" s="227">
        <v>54.340879944190149</v>
      </c>
      <c r="G32" s="227">
        <v>49.340879944190149</v>
      </c>
      <c r="H32" s="227">
        <v>44.612779414803086</v>
      </c>
      <c r="I32" s="227">
        <v>39.612779414803086</v>
      </c>
      <c r="J32" s="227">
        <v>34.612779414803086</v>
      </c>
      <c r="K32" s="228">
        <v>29.612779414803086</v>
      </c>
    </row>
    <row r="33" spans="2:11">
      <c r="B33" s="131"/>
      <c r="C33" s="222">
        <f t="shared" si="0"/>
        <v>28</v>
      </c>
      <c r="D33" s="226">
        <v>68.340879944190149</v>
      </c>
      <c r="E33" s="227">
        <v>63.340879944190149</v>
      </c>
      <c r="F33" s="227">
        <v>58.340879944190149</v>
      </c>
      <c r="G33" s="227">
        <v>53.340879944190149</v>
      </c>
      <c r="H33" s="227">
        <v>48.612779414803086</v>
      </c>
      <c r="I33" s="227">
        <v>43.612779414803086</v>
      </c>
      <c r="J33" s="227">
        <v>38.612779414803086</v>
      </c>
      <c r="K33" s="228">
        <v>33.612779414803086</v>
      </c>
    </row>
    <row r="34" spans="2:11">
      <c r="B34" s="138" t="str">
        <f>B14</f>
        <v>Account Receivable Days</v>
      </c>
      <c r="C34" s="231">
        <f t="shared" si="0"/>
        <v>32</v>
      </c>
      <c r="D34" s="226">
        <v>72.340879944190149</v>
      </c>
      <c r="E34" s="227">
        <v>67.340879944190149</v>
      </c>
      <c r="F34" s="227">
        <v>62.340879944190149</v>
      </c>
      <c r="G34" s="227">
        <v>57.340879944190149</v>
      </c>
      <c r="H34" s="227">
        <v>52.612779414803086</v>
      </c>
      <c r="I34" s="227">
        <v>47.612779414803086</v>
      </c>
      <c r="J34" s="227">
        <v>42.612779414803086</v>
      </c>
      <c r="K34" s="228">
        <v>37.612779414803086</v>
      </c>
    </row>
    <row r="35" spans="2:11">
      <c r="B35" s="131"/>
      <c r="C35" s="222">
        <f t="shared" si="0"/>
        <v>36</v>
      </c>
      <c r="D35" s="226">
        <v>76.340879944190149</v>
      </c>
      <c r="E35" s="227">
        <v>71.340879944190149</v>
      </c>
      <c r="F35" s="227">
        <v>66.340879944190149</v>
      </c>
      <c r="G35" s="227">
        <v>61.340879944190149</v>
      </c>
      <c r="H35" s="227">
        <v>56.612779414803086</v>
      </c>
      <c r="I35" s="227">
        <v>51.612779414803086</v>
      </c>
      <c r="J35" s="227">
        <v>46.612779414803086</v>
      </c>
      <c r="K35" s="228">
        <v>41.612779414803086</v>
      </c>
    </row>
    <row r="36" spans="2:11">
      <c r="B36" s="131"/>
      <c r="C36" s="229">
        <f t="shared" si="0"/>
        <v>39.621103350707799</v>
      </c>
      <c r="D36" s="226">
        <v>79.961983294897948</v>
      </c>
      <c r="E36" s="227">
        <v>74.961983294897948</v>
      </c>
      <c r="F36" s="227">
        <v>69.961983294897948</v>
      </c>
      <c r="G36" s="227">
        <v>64.961983294897948</v>
      </c>
      <c r="H36" s="230">
        <v>60.233882765510884</v>
      </c>
      <c r="I36" s="227">
        <v>55.233882765510884</v>
      </c>
      <c r="J36" s="227">
        <v>50.233882765510884</v>
      </c>
      <c r="K36" s="228">
        <v>45.233882765510884</v>
      </c>
    </row>
    <row r="37" spans="2:11">
      <c r="B37" s="139"/>
      <c r="C37" s="232">
        <f t="shared" si="0"/>
        <v>43.621103350707799</v>
      </c>
      <c r="D37" s="233">
        <v>83.961983294897948</v>
      </c>
      <c r="E37" s="234">
        <v>78.961983294897948</v>
      </c>
      <c r="F37" s="234">
        <v>73.961983294897948</v>
      </c>
      <c r="G37" s="234">
        <v>68.961983294897948</v>
      </c>
      <c r="H37" s="234">
        <v>64.233882765510884</v>
      </c>
      <c r="I37" s="234">
        <v>59.233882765510884</v>
      </c>
      <c r="J37" s="234">
        <v>54.233882765510884</v>
      </c>
      <c r="K37" s="235">
        <v>49.233882765510884</v>
      </c>
    </row>
    <row r="38" spans="2:11">
      <c r="B38" s="114"/>
      <c r="C38" s="114"/>
      <c r="D38" s="114"/>
      <c r="E38" s="114"/>
      <c r="F38" s="114"/>
      <c r="G38" s="114"/>
      <c r="H38" s="114"/>
      <c r="I38" s="114"/>
      <c r="J38" s="114"/>
      <c r="K38" s="114"/>
    </row>
    <row r="39" spans="2:11">
      <c r="B39" s="140" t="s">
        <v>68</v>
      </c>
      <c r="C39" s="114"/>
      <c r="D39" s="114"/>
      <c r="E39" s="114"/>
      <c r="F39" s="114"/>
      <c r="G39" s="114"/>
      <c r="H39" s="114"/>
      <c r="I39" s="114"/>
      <c r="J39" s="114"/>
      <c r="K39" s="114"/>
    </row>
    <row r="40" spans="2:11">
      <c r="B40" s="168" t="s">
        <v>157</v>
      </c>
      <c r="C40" s="114"/>
      <c r="D40" s="114"/>
      <c r="E40" s="114"/>
      <c r="F40" s="114"/>
      <c r="G40" s="114"/>
      <c r="H40" s="114"/>
      <c r="I40" s="114"/>
      <c r="J40" s="114"/>
      <c r="K40" s="114"/>
    </row>
  </sheetData>
  <mergeCells count="3">
    <mergeCell ref="B2:K2"/>
    <mergeCell ref="B4:E4"/>
    <mergeCell ref="D28:K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6AB1-B62B-47F8-BEE1-568A9BAFE42B}">
  <sheetPr codeName="Sheet28"/>
  <dimension ref="B2:S40"/>
  <sheetViews>
    <sheetView showGridLines="0" topLeftCell="A9" workbookViewId="0">
      <selection activeCell="A34" sqref="A34"/>
    </sheetView>
  </sheetViews>
  <sheetFormatPr defaultRowHeight="14.4"/>
  <cols>
    <col min="1" max="1" width="1.88671875" style="2" customWidth="1"/>
    <col min="2" max="2" width="26.109375" style="2" customWidth="1"/>
    <col min="3" max="3" width="16.77734375" style="2" customWidth="1"/>
    <col min="4" max="4" width="10.88671875" style="2" customWidth="1"/>
    <col min="5" max="5" width="11.44140625" style="2" customWidth="1"/>
    <col min="6" max="6" width="9.21875" style="2" customWidth="1"/>
    <col min="7" max="10" width="8.88671875" style="2"/>
    <col min="11" max="11" width="14.6640625" style="2" customWidth="1"/>
    <col min="12" max="12" width="25.109375" style="2" customWidth="1"/>
    <col min="13" max="13" width="18.5546875" style="2" customWidth="1"/>
    <col min="14" max="16384" width="8.88671875" style="2"/>
  </cols>
  <sheetData>
    <row r="2" spans="2:19">
      <c r="B2" s="433" t="str">
        <f>"Sensitivity Analysis-Inventory Turnover Days"&amp;" - "&amp;BS!B2</f>
        <v>Sensitivity Analysis-Inventory Turnover Days - Ismail Industries Limited</v>
      </c>
      <c r="C2" s="433"/>
      <c r="D2" s="433"/>
      <c r="E2" s="433"/>
      <c r="F2" s="433"/>
      <c r="G2" s="433"/>
      <c r="H2" s="433"/>
      <c r="I2" s="433"/>
      <c r="J2" s="433"/>
      <c r="K2" s="433"/>
      <c r="L2" s="145"/>
      <c r="M2" s="145"/>
      <c r="N2" s="145"/>
    </row>
    <row r="3" spans="2:19">
      <c r="B3" s="114"/>
      <c r="C3" s="114"/>
      <c r="D3" s="114"/>
      <c r="E3" s="114"/>
      <c r="F3" s="114"/>
    </row>
    <row r="4" spans="2:19">
      <c r="B4" s="434" t="s">
        <v>91</v>
      </c>
      <c r="C4" s="434"/>
      <c r="D4" s="434"/>
      <c r="E4" s="434"/>
      <c r="F4" s="114"/>
    </row>
    <row r="6" spans="2:19">
      <c r="B6" s="2" t="s">
        <v>150</v>
      </c>
      <c r="C6" s="31">
        <f>'Sensitivity Analysis-AR days'!C6</f>
        <v>39.621103350707799</v>
      </c>
    </row>
    <row r="7" spans="2:19">
      <c r="B7" s="2" t="s">
        <v>151</v>
      </c>
      <c r="C7" s="31">
        <f>'Sensitivity Analysis-AR days'!C7</f>
        <v>40.728100529387063</v>
      </c>
    </row>
    <row r="8" spans="2:19">
      <c r="B8" s="2" t="s">
        <v>152</v>
      </c>
      <c r="C8" s="31">
        <f>'Sensitivity Analysis-AR days'!C8</f>
        <v>61.340879944190149</v>
      </c>
    </row>
    <row r="10" spans="2:19" ht="15" thickBot="1">
      <c r="B10" s="213" t="s">
        <v>153</v>
      </c>
      <c r="C10" s="214">
        <f>C6+C8-C7</f>
        <v>60.233882765510884</v>
      </c>
    </row>
    <row r="11" spans="2:19" ht="15" thickTop="1"/>
    <row r="12" spans="2:19">
      <c r="B12" s="115" t="s">
        <v>99</v>
      </c>
      <c r="C12" s="128" t="s">
        <v>158</v>
      </c>
      <c r="D12" s="114"/>
      <c r="E12" s="114"/>
      <c r="F12" s="114"/>
      <c r="G12" s="114"/>
      <c r="H12" s="114"/>
      <c r="I12" s="114"/>
      <c r="J12" s="114"/>
      <c r="K12" s="114"/>
      <c r="L12" s="115" t="s">
        <v>99</v>
      </c>
      <c r="M12" s="128" t="s">
        <v>155</v>
      </c>
      <c r="N12" s="114"/>
      <c r="O12" s="114"/>
      <c r="P12" s="114"/>
      <c r="Q12" s="114"/>
      <c r="R12" s="114"/>
      <c r="S12" s="114"/>
    </row>
    <row r="13" spans="2:19">
      <c r="B13" s="116"/>
      <c r="C13" s="116"/>
      <c r="D13" s="114"/>
      <c r="E13" s="114"/>
      <c r="F13" s="114"/>
      <c r="G13" s="114"/>
      <c r="H13" s="114"/>
      <c r="I13" s="114"/>
      <c r="J13" s="114"/>
      <c r="K13" s="114"/>
      <c r="L13" s="116"/>
      <c r="M13" s="116"/>
      <c r="N13" s="114"/>
      <c r="O13" s="114"/>
      <c r="P13" s="114"/>
      <c r="Q13" s="114"/>
      <c r="R13" s="114"/>
      <c r="S13" s="114"/>
    </row>
    <row r="14" spans="2:19">
      <c r="B14" s="115" t="s">
        <v>152</v>
      </c>
      <c r="C14" s="115" t="s">
        <v>153</v>
      </c>
      <c r="D14" s="114"/>
      <c r="E14" s="114"/>
      <c r="F14" s="114"/>
      <c r="G14" s="114"/>
      <c r="H14" s="114"/>
      <c r="I14" s="114"/>
      <c r="J14" s="114"/>
      <c r="K14" s="114"/>
      <c r="L14" s="115" t="s">
        <v>151</v>
      </c>
      <c r="M14" s="115" t="s">
        <v>153</v>
      </c>
      <c r="N14" s="114"/>
      <c r="O14" s="114"/>
      <c r="P14" s="114"/>
      <c r="Q14" s="114"/>
      <c r="R14" s="114"/>
      <c r="S14" s="114"/>
    </row>
    <row r="15" spans="2:19">
      <c r="B15" s="116"/>
      <c r="C15" s="215">
        <f>C10</f>
        <v>60.233882765510884</v>
      </c>
      <c r="D15" s="114"/>
      <c r="E15" s="114"/>
      <c r="F15" s="114"/>
      <c r="G15" s="114"/>
      <c r="H15" s="114"/>
      <c r="I15" s="114"/>
      <c r="J15" s="114"/>
      <c r="K15" s="114"/>
      <c r="L15" s="116"/>
      <c r="M15" s="215">
        <f>C10</f>
        <v>60.233882765510884</v>
      </c>
      <c r="N15" s="114"/>
      <c r="O15" s="114"/>
      <c r="P15" s="114"/>
      <c r="Q15" s="114"/>
      <c r="R15" s="114"/>
      <c r="S15" s="114"/>
    </row>
    <row r="16" spans="2:19">
      <c r="B16" s="216">
        <v>35</v>
      </c>
      <c r="C16" s="217">
        <f t="dataTable" ref="C16:C23" dt2D="0" dtr="0" r1="C8"/>
        <v>33.893002821320735</v>
      </c>
      <c r="D16" s="114"/>
      <c r="E16" s="114"/>
      <c r="F16" s="114"/>
      <c r="G16" s="114"/>
      <c r="H16" s="114"/>
      <c r="I16" s="114"/>
      <c r="J16" s="114"/>
      <c r="K16" s="114"/>
      <c r="L16" s="216">
        <v>21</v>
      </c>
      <c r="M16" s="217">
        <f t="dataTable" ref="M16:M23" dt2D="0" dtr="0" r1="C7" ca="1"/>
        <v>79.961983294897948</v>
      </c>
      <c r="N16" s="114"/>
      <c r="O16" s="114"/>
      <c r="P16" s="114"/>
      <c r="Q16" s="114"/>
      <c r="R16" s="114"/>
      <c r="S16" s="114"/>
    </row>
    <row r="17" spans="2:19">
      <c r="B17" s="216">
        <f>B16+5</f>
        <v>40</v>
      </c>
      <c r="C17" s="217">
        <v>38.893002821320735</v>
      </c>
      <c r="D17" s="114"/>
      <c r="E17" s="114"/>
      <c r="F17" s="114"/>
      <c r="G17" s="114"/>
      <c r="H17" s="114"/>
      <c r="I17" s="114"/>
      <c r="J17" s="114"/>
      <c r="K17" s="114"/>
      <c r="L17" s="216">
        <v>26</v>
      </c>
      <c r="M17" s="217">
        <v>74.961983294897948</v>
      </c>
      <c r="N17" s="114"/>
      <c r="O17" s="114"/>
      <c r="P17" s="114"/>
      <c r="Q17" s="114"/>
      <c r="R17" s="114"/>
      <c r="S17" s="114"/>
    </row>
    <row r="18" spans="2:19">
      <c r="B18" s="216">
        <f t="shared" ref="B18:B23" si="0">B17+5</f>
        <v>45</v>
      </c>
      <c r="C18" s="219">
        <v>43.893002821320735</v>
      </c>
      <c r="D18" s="114"/>
      <c r="E18" s="125"/>
      <c r="F18" s="114"/>
      <c r="G18" s="114"/>
      <c r="H18" s="114"/>
      <c r="I18" s="114"/>
      <c r="J18" s="114"/>
      <c r="K18" s="114"/>
      <c r="L18" s="216">
        <v>31</v>
      </c>
      <c r="M18" s="219">
        <v>69.961983294897948</v>
      </c>
      <c r="N18" s="114"/>
      <c r="O18" s="125"/>
      <c r="P18" s="114"/>
      <c r="Q18" s="114"/>
      <c r="R18" s="114"/>
      <c r="S18" s="114"/>
    </row>
    <row r="19" spans="2:19">
      <c r="B19" s="216">
        <f t="shared" si="0"/>
        <v>50</v>
      </c>
      <c r="C19" s="217">
        <v>48.893002821320735</v>
      </c>
      <c r="D19" s="114"/>
      <c r="E19" s="114"/>
      <c r="F19" s="114"/>
      <c r="G19" s="114"/>
      <c r="H19" s="114"/>
      <c r="I19" s="114"/>
      <c r="J19" s="114"/>
      <c r="K19" s="114"/>
      <c r="L19" s="216">
        <v>36</v>
      </c>
      <c r="M19" s="219">
        <v>64.961983294897948</v>
      </c>
      <c r="N19" s="114"/>
      <c r="O19" s="114"/>
      <c r="P19" s="114"/>
      <c r="Q19" s="114"/>
      <c r="R19" s="114"/>
      <c r="S19" s="114"/>
    </row>
    <row r="20" spans="2:19">
      <c r="B20" s="216">
        <f t="shared" si="0"/>
        <v>55</v>
      </c>
      <c r="C20" s="219">
        <v>53.893002821320735</v>
      </c>
      <c r="D20" s="114"/>
      <c r="E20" s="114"/>
      <c r="F20" s="114"/>
      <c r="G20" s="114"/>
      <c r="H20" s="114"/>
      <c r="I20" s="114"/>
      <c r="J20" s="114"/>
      <c r="K20" s="114"/>
      <c r="L20" s="336">
        <v>40.728100529387063</v>
      </c>
      <c r="M20" s="218">
        <v>60.233882765510884</v>
      </c>
      <c r="N20" s="114"/>
      <c r="O20" s="114"/>
      <c r="P20" s="114"/>
      <c r="Q20" s="114"/>
      <c r="R20" s="114"/>
      <c r="S20" s="114"/>
    </row>
    <row r="21" spans="2:19">
      <c r="B21" s="336">
        <v>61.340879944190149</v>
      </c>
      <c r="C21" s="218">
        <v>60.233882765510884</v>
      </c>
      <c r="D21" s="114"/>
      <c r="E21" s="114"/>
      <c r="F21" s="114"/>
      <c r="G21" s="114"/>
      <c r="H21" s="114"/>
      <c r="I21" s="114"/>
      <c r="J21" s="114"/>
      <c r="K21" s="114"/>
      <c r="L21" s="216">
        <v>45.728100529387063</v>
      </c>
      <c r="M21" s="217">
        <v>55.233882765510884</v>
      </c>
      <c r="N21" s="114"/>
      <c r="O21" s="114"/>
      <c r="P21" s="114"/>
      <c r="Q21" s="114"/>
      <c r="R21" s="114"/>
      <c r="S21" s="114"/>
    </row>
    <row r="22" spans="2:19">
      <c r="B22" s="216">
        <f t="shared" si="0"/>
        <v>66.340879944190149</v>
      </c>
      <c r="C22" s="217">
        <v>65.233882765510884</v>
      </c>
      <c r="D22" s="114"/>
      <c r="E22" s="114"/>
      <c r="F22" s="114"/>
      <c r="G22" s="211"/>
      <c r="H22" s="114"/>
      <c r="I22" s="114"/>
      <c r="J22" s="114"/>
      <c r="K22" s="114"/>
      <c r="L22" s="216">
        <v>50.728100529387063</v>
      </c>
      <c r="M22" s="217">
        <v>50.233882765510884</v>
      </c>
      <c r="N22" s="114"/>
      <c r="O22" s="114"/>
      <c r="P22" s="114"/>
      <c r="Q22" s="211"/>
      <c r="R22" s="114"/>
      <c r="S22" s="114"/>
    </row>
    <row r="23" spans="2:19">
      <c r="B23" s="216">
        <f t="shared" si="0"/>
        <v>71.340879944190149</v>
      </c>
      <c r="C23" s="217">
        <v>70.233882765510884</v>
      </c>
      <c r="D23" s="114"/>
      <c r="E23" s="114"/>
      <c r="F23" s="114"/>
      <c r="G23" s="114"/>
      <c r="H23" s="114"/>
      <c r="I23" s="114"/>
      <c r="J23" s="114"/>
      <c r="K23" s="114"/>
      <c r="L23" s="216">
        <v>55.728100529387063</v>
      </c>
      <c r="M23" s="217">
        <v>45.233882765510884</v>
      </c>
      <c r="N23" s="114"/>
      <c r="O23" s="114"/>
      <c r="P23" s="114"/>
      <c r="Q23" s="114"/>
      <c r="R23" s="114"/>
      <c r="S23" s="114"/>
    </row>
    <row r="24" spans="2:19">
      <c r="B24" s="114"/>
      <c r="C24" s="114"/>
      <c r="D24" s="114"/>
      <c r="E24" s="114"/>
      <c r="F24" s="114"/>
      <c r="G24" s="114"/>
      <c r="H24" s="114"/>
      <c r="I24" s="114"/>
      <c r="J24" s="114"/>
      <c r="K24" s="114"/>
    </row>
    <row r="25" spans="2:19">
      <c r="B25" s="114"/>
      <c r="C25" s="114"/>
      <c r="D25" s="114"/>
      <c r="E25" s="114"/>
      <c r="F25" s="114"/>
      <c r="G25" s="114"/>
      <c r="H25" s="114"/>
      <c r="I25" s="114"/>
      <c r="J25" s="114"/>
      <c r="K25" s="114"/>
    </row>
    <row r="26" spans="2:19">
      <c r="B26" s="115" t="s">
        <v>104</v>
      </c>
      <c r="C26" s="128" t="s">
        <v>159</v>
      </c>
      <c r="D26" s="116"/>
      <c r="E26" s="116"/>
      <c r="F26" s="116"/>
      <c r="G26" s="116"/>
      <c r="H26" s="116"/>
      <c r="I26" s="116"/>
      <c r="J26" s="116"/>
      <c r="K26" s="114"/>
    </row>
    <row r="27" spans="2:19">
      <c r="B27" s="116"/>
      <c r="C27" s="116"/>
      <c r="D27" s="116"/>
      <c r="E27" s="116"/>
      <c r="F27" s="116"/>
      <c r="G27" s="116"/>
      <c r="H27" s="116"/>
      <c r="I27" s="116"/>
      <c r="J27" s="116"/>
      <c r="K27" s="114"/>
    </row>
    <row r="28" spans="2:19">
      <c r="B28" s="129"/>
      <c r="C28" s="130"/>
      <c r="D28" s="438" t="str">
        <f>L14</f>
        <v>Account Payable Days</v>
      </c>
      <c r="E28" s="438"/>
      <c r="F28" s="438"/>
      <c r="G28" s="438"/>
      <c r="H28" s="438"/>
      <c r="I28" s="438"/>
      <c r="J28" s="438"/>
      <c r="K28" s="438"/>
    </row>
    <row r="29" spans="2:19">
      <c r="B29" s="131"/>
      <c r="C29" s="156">
        <f>C10</f>
        <v>60.233882765510884</v>
      </c>
      <c r="D29" s="220">
        <f>L16</f>
        <v>21</v>
      </c>
      <c r="E29" s="220">
        <f>L17</f>
        <v>26</v>
      </c>
      <c r="F29" s="220">
        <f>L18</f>
        <v>31</v>
      </c>
      <c r="G29" s="220">
        <f>L19</f>
        <v>36</v>
      </c>
      <c r="H29" s="221">
        <f>L20</f>
        <v>40.728100529387063</v>
      </c>
      <c r="I29" s="220">
        <f>L21</f>
        <v>45.728100529387063</v>
      </c>
      <c r="J29" s="220">
        <f>L22</f>
        <v>50.728100529387063</v>
      </c>
      <c r="K29" s="211">
        <f>L23</f>
        <v>55.728100529387063</v>
      </c>
    </row>
    <row r="30" spans="2:19">
      <c r="B30" s="131"/>
      <c r="C30" s="231">
        <f>B16</f>
        <v>35</v>
      </c>
      <c r="D30" s="223">
        <f t="dataTable" ref="D30:K37" dt2D="1" dtr="1" r1="C7" r2="C8" ca="1"/>
        <v>53.621103350707799</v>
      </c>
      <c r="E30" s="224">
        <v>48.621103350707799</v>
      </c>
      <c r="F30" s="224">
        <v>43.621103350707799</v>
      </c>
      <c r="G30" s="224">
        <v>38.621103350707799</v>
      </c>
      <c r="H30" s="224">
        <v>33.893002821320735</v>
      </c>
      <c r="I30" s="224">
        <v>28.893002821320735</v>
      </c>
      <c r="J30" s="224">
        <v>23.893002821320735</v>
      </c>
      <c r="K30" s="225">
        <v>18.893002821320735</v>
      </c>
    </row>
    <row r="31" spans="2:19">
      <c r="B31" s="131"/>
      <c r="C31" s="231">
        <f t="shared" ref="C31:C37" si="1">B17</f>
        <v>40</v>
      </c>
      <c r="D31" s="226">
        <v>58.621103350707799</v>
      </c>
      <c r="E31" s="227">
        <v>53.621103350707799</v>
      </c>
      <c r="F31" s="227">
        <v>48.621103350707799</v>
      </c>
      <c r="G31" s="227">
        <v>43.621103350707799</v>
      </c>
      <c r="H31" s="227">
        <v>38.893002821320735</v>
      </c>
      <c r="I31" s="227">
        <v>33.893002821320735</v>
      </c>
      <c r="J31" s="227">
        <v>28.893002821320735</v>
      </c>
      <c r="K31" s="228">
        <v>23.893002821320735</v>
      </c>
    </row>
    <row r="32" spans="2:19">
      <c r="B32" s="131"/>
      <c r="C32" s="231">
        <f t="shared" si="1"/>
        <v>45</v>
      </c>
      <c r="D32" s="226">
        <v>63.621103350707799</v>
      </c>
      <c r="E32" s="227">
        <v>58.621103350707799</v>
      </c>
      <c r="F32" s="227">
        <v>53.621103350707799</v>
      </c>
      <c r="G32" s="227">
        <v>48.621103350707799</v>
      </c>
      <c r="H32" s="227">
        <v>43.893002821320735</v>
      </c>
      <c r="I32" s="227">
        <v>38.893002821320735</v>
      </c>
      <c r="J32" s="227">
        <v>33.893002821320735</v>
      </c>
      <c r="K32" s="228">
        <v>28.893002821320735</v>
      </c>
    </row>
    <row r="33" spans="2:11">
      <c r="B33" s="131"/>
      <c r="C33" s="231">
        <f t="shared" si="1"/>
        <v>50</v>
      </c>
      <c r="D33" s="226">
        <v>68.621103350707799</v>
      </c>
      <c r="E33" s="227">
        <v>63.621103350707799</v>
      </c>
      <c r="F33" s="227">
        <v>58.621103350707799</v>
      </c>
      <c r="G33" s="227">
        <v>53.621103350707799</v>
      </c>
      <c r="H33" s="227">
        <v>48.893002821320735</v>
      </c>
      <c r="I33" s="227">
        <v>43.893002821320735</v>
      </c>
      <c r="J33" s="227">
        <v>38.893002821320735</v>
      </c>
      <c r="K33" s="228">
        <v>33.893002821320735</v>
      </c>
    </row>
    <row r="34" spans="2:11">
      <c r="B34" s="138" t="str">
        <f>B14</f>
        <v>Inventory Turnover Days</v>
      </c>
      <c r="C34" s="231">
        <f t="shared" si="1"/>
        <v>55</v>
      </c>
      <c r="D34" s="226">
        <v>73.621103350707799</v>
      </c>
      <c r="E34" s="227">
        <v>68.621103350707799</v>
      </c>
      <c r="F34" s="227">
        <v>63.621103350707799</v>
      </c>
      <c r="G34" s="227">
        <v>58.621103350707799</v>
      </c>
      <c r="H34" s="227">
        <v>53.893002821320735</v>
      </c>
      <c r="I34" s="227">
        <v>48.893002821320735</v>
      </c>
      <c r="J34" s="227">
        <v>43.893002821320735</v>
      </c>
      <c r="K34" s="228">
        <v>38.893002821320735</v>
      </c>
    </row>
    <row r="35" spans="2:11">
      <c r="B35" s="131"/>
      <c r="C35" s="229">
        <f t="shared" si="1"/>
        <v>61.340879944190149</v>
      </c>
      <c r="D35" s="226">
        <v>79.961983294897948</v>
      </c>
      <c r="E35" s="227">
        <v>74.961983294897948</v>
      </c>
      <c r="F35" s="227">
        <v>69.961983294897948</v>
      </c>
      <c r="G35" s="227">
        <v>64.961983294897948</v>
      </c>
      <c r="H35" s="230">
        <v>60.233882765510884</v>
      </c>
      <c r="I35" s="227">
        <v>55.233882765510884</v>
      </c>
      <c r="J35" s="227">
        <v>50.233882765510884</v>
      </c>
      <c r="K35" s="228">
        <v>45.233882765510884</v>
      </c>
    </row>
    <row r="36" spans="2:11">
      <c r="B36" s="131"/>
      <c r="C36" s="222">
        <f t="shared" si="1"/>
        <v>66.340879944190149</v>
      </c>
      <c r="D36" s="226">
        <v>84.961983294897948</v>
      </c>
      <c r="E36" s="227">
        <v>79.961983294897948</v>
      </c>
      <c r="F36" s="227">
        <v>74.961983294897948</v>
      </c>
      <c r="G36" s="227">
        <v>69.961983294897948</v>
      </c>
      <c r="H36" s="227">
        <v>65.233882765510884</v>
      </c>
      <c r="I36" s="227">
        <v>60.233882765510884</v>
      </c>
      <c r="J36" s="227">
        <v>55.233882765510884</v>
      </c>
      <c r="K36" s="228">
        <v>50.233882765510884</v>
      </c>
    </row>
    <row r="37" spans="2:11">
      <c r="B37" s="139"/>
      <c r="C37" s="232">
        <f t="shared" si="1"/>
        <v>71.340879944190149</v>
      </c>
      <c r="D37" s="233">
        <v>89.961983294897948</v>
      </c>
      <c r="E37" s="234">
        <v>84.961983294897948</v>
      </c>
      <c r="F37" s="234">
        <v>79.961983294897948</v>
      </c>
      <c r="G37" s="234">
        <v>74.961983294897948</v>
      </c>
      <c r="H37" s="234">
        <v>70.233882765510884</v>
      </c>
      <c r="I37" s="234">
        <v>65.233882765510884</v>
      </c>
      <c r="J37" s="234">
        <v>60.233882765510884</v>
      </c>
      <c r="K37" s="235">
        <v>55.233882765510884</v>
      </c>
    </row>
    <row r="38" spans="2:11">
      <c r="B38" s="114"/>
      <c r="C38" s="114"/>
      <c r="D38" s="114"/>
      <c r="E38" s="114"/>
      <c r="F38" s="114"/>
      <c r="G38" s="114"/>
      <c r="H38" s="114"/>
      <c r="I38" s="114"/>
      <c r="J38" s="114"/>
      <c r="K38" s="114"/>
    </row>
    <row r="39" spans="2:11">
      <c r="B39" s="140" t="s">
        <v>68</v>
      </c>
      <c r="C39" s="114"/>
      <c r="D39" s="114"/>
      <c r="E39" s="114"/>
      <c r="F39" s="114"/>
      <c r="G39" s="114"/>
      <c r="H39" s="114"/>
      <c r="I39" s="114"/>
      <c r="J39" s="114"/>
      <c r="K39" s="114"/>
    </row>
    <row r="40" spans="2:11">
      <c r="B40" s="168" t="s">
        <v>160</v>
      </c>
      <c r="C40" s="114"/>
      <c r="D40" s="114"/>
      <c r="E40" s="114"/>
      <c r="F40" s="114"/>
      <c r="G40" s="114"/>
      <c r="H40" s="114"/>
      <c r="I40" s="114"/>
      <c r="J40" s="114"/>
      <c r="K40" s="114"/>
    </row>
  </sheetData>
  <mergeCells count="3">
    <mergeCell ref="B2:K2"/>
    <mergeCell ref="B4:E4"/>
    <mergeCell ref="D28:K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355AF-8638-45DA-AD3D-C5D7EAC92358}">
  <sheetPr codeName="Sheet29"/>
  <dimension ref="B1:K16"/>
  <sheetViews>
    <sheetView showGridLines="0" workbookViewId="0">
      <selection activeCell="K6" sqref="K6"/>
    </sheetView>
  </sheetViews>
  <sheetFormatPr defaultRowHeight="13.2"/>
  <cols>
    <col min="1" max="1" width="1.88671875" style="236" customWidth="1"/>
    <col min="2" max="2" width="36.21875" style="236" customWidth="1"/>
    <col min="3" max="5" width="18.77734375" style="236" customWidth="1"/>
    <col min="6" max="9" width="18.77734375" style="236" hidden="1" customWidth="1"/>
    <col min="10" max="11" width="18.77734375" style="236" customWidth="1"/>
    <col min="12" max="16384" width="8.88671875" style="236"/>
  </cols>
  <sheetData>
    <row r="1" spans="2:11" ht="13.8" thickBot="1"/>
    <row r="2" spans="2:11" ht="14.4">
      <c r="B2" s="237"/>
      <c r="C2" s="238" t="s">
        <v>161</v>
      </c>
      <c r="D2" s="237"/>
      <c r="E2" s="237"/>
      <c r="F2" s="451" t="s">
        <v>161</v>
      </c>
      <c r="G2" s="452"/>
      <c r="H2" s="452"/>
      <c r="I2" s="453"/>
    </row>
    <row r="3" spans="2:11" ht="57.6">
      <c r="B3" s="239" t="s">
        <v>162</v>
      </c>
      <c r="C3" s="239" t="s">
        <v>163</v>
      </c>
      <c r="D3" s="240" t="s">
        <v>164</v>
      </c>
      <c r="E3" s="240" t="s">
        <v>165</v>
      </c>
      <c r="F3" s="240" t="s">
        <v>166</v>
      </c>
      <c r="G3" s="240" t="s">
        <v>167</v>
      </c>
      <c r="H3" s="240" t="s">
        <v>168</v>
      </c>
      <c r="I3" s="240" t="s">
        <v>169</v>
      </c>
      <c r="J3" s="240" t="s">
        <v>170</v>
      </c>
      <c r="K3" s="240" t="s">
        <v>171</v>
      </c>
    </row>
    <row r="4" spans="2:11" ht="14.4">
      <c r="B4" s="241"/>
      <c r="C4" s="241"/>
      <c r="D4" s="242"/>
      <c r="E4" s="242"/>
      <c r="F4" s="242"/>
      <c r="G4" s="242"/>
      <c r="H4" s="242"/>
      <c r="I4" s="242"/>
    </row>
    <row r="5" spans="2:11" ht="14.4">
      <c r="B5" s="353" t="s">
        <v>174</v>
      </c>
      <c r="C5" s="354">
        <v>45</v>
      </c>
      <c r="D5" s="357">
        <v>1703.97</v>
      </c>
      <c r="E5" s="358">
        <v>66356940</v>
      </c>
      <c r="F5" s="355">
        <f>D10*E10/1000000000</f>
        <v>0</v>
      </c>
      <c r="G5" s="356"/>
      <c r="H5" s="356"/>
      <c r="I5" s="356">
        <v>308.23</v>
      </c>
      <c r="J5" s="354">
        <v>1726</v>
      </c>
      <c r="K5" s="354">
        <v>1725</v>
      </c>
    </row>
    <row r="6" spans="2:11" ht="14.4">
      <c r="B6" s="237" t="s">
        <v>173</v>
      </c>
      <c r="C6" s="243"/>
      <c r="D6" s="244"/>
      <c r="E6" s="244"/>
      <c r="F6" s="243">
        <f t="shared" ref="F6:F9" si="0">D6*E6/1000000000</f>
        <v>0</v>
      </c>
      <c r="G6" s="237"/>
      <c r="H6" s="237"/>
      <c r="I6" s="245">
        <f>N6*E6/10^9</f>
        <v>0</v>
      </c>
      <c r="J6" s="246"/>
      <c r="K6" s="246"/>
    </row>
    <row r="7" spans="2:11" ht="14.4">
      <c r="B7" s="352" t="s">
        <v>172</v>
      </c>
      <c r="C7" s="243"/>
      <c r="D7" s="237"/>
      <c r="E7" s="243"/>
      <c r="F7" s="243">
        <f t="shared" si="0"/>
        <v>0</v>
      </c>
      <c r="G7" s="243"/>
      <c r="H7" s="237"/>
      <c r="I7" s="245">
        <v>133.29</v>
      </c>
      <c r="J7" s="246"/>
    </row>
    <row r="8" spans="2:11" ht="14.4">
      <c r="B8" s="237" t="s">
        <v>175</v>
      </c>
      <c r="C8" s="237"/>
      <c r="D8" s="237"/>
      <c r="E8" s="243"/>
      <c r="F8" s="243">
        <f t="shared" si="0"/>
        <v>0</v>
      </c>
      <c r="G8" s="237"/>
      <c r="H8" s="237"/>
      <c r="I8" s="245">
        <f>(195.51*E8)/10^9</f>
        <v>0</v>
      </c>
      <c r="J8" s="246"/>
      <c r="K8" s="246"/>
    </row>
    <row r="9" spans="2:11" ht="14.4">
      <c r="B9" s="237" t="s">
        <v>176</v>
      </c>
      <c r="C9" s="237"/>
      <c r="D9" s="243"/>
      <c r="E9" s="245"/>
      <c r="F9" s="243">
        <f t="shared" si="0"/>
        <v>0</v>
      </c>
      <c r="G9" s="237"/>
      <c r="H9" s="237"/>
      <c r="I9" s="245">
        <f>(N9*E9)/10^9</f>
        <v>0</v>
      </c>
      <c r="J9" s="246"/>
      <c r="K9" s="246"/>
    </row>
    <row r="10" spans="2:11" ht="14.4">
      <c r="B10" s="247" t="s">
        <v>177</v>
      </c>
      <c r="C10" s="248"/>
      <c r="D10" s="248"/>
      <c r="E10" s="248"/>
      <c r="F10" s="243" t="e">
        <f>#REF!*#REF!/1000000000</f>
        <v>#REF!</v>
      </c>
      <c r="G10" s="237"/>
      <c r="H10" s="237"/>
      <c r="I10" s="237">
        <v>48.42</v>
      </c>
      <c r="J10" s="246"/>
      <c r="K10" s="246"/>
    </row>
    <row r="11" spans="2:11" ht="14.4">
      <c r="B11" s="237"/>
      <c r="C11" s="237"/>
      <c r="D11" s="237"/>
      <c r="E11" s="237"/>
      <c r="F11" s="237"/>
      <c r="G11" s="237"/>
      <c r="H11" s="237"/>
      <c r="I11" s="237"/>
    </row>
    <row r="12" spans="2:11" ht="14.4">
      <c r="B12" s="237"/>
      <c r="C12" s="237"/>
      <c r="D12" s="237"/>
      <c r="E12" s="237"/>
      <c r="F12" s="237"/>
      <c r="G12" s="237"/>
      <c r="H12" s="237"/>
      <c r="I12" s="237"/>
    </row>
    <row r="13" spans="2:11" ht="14.4">
      <c r="B13" s="249" t="s">
        <v>68</v>
      </c>
      <c r="C13" s="237"/>
      <c r="D13" s="237"/>
      <c r="E13" s="237"/>
      <c r="F13" s="237"/>
      <c r="G13" s="237"/>
      <c r="H13" s="237"/>
      <c r="I13" s="237"/>
    </row>
    <row r="14" spans="2:11" ht="14.4">
      <c r="B14" s="416" t="s">
        <v>178</v>
      </c>
      <c r="C14" s="416"/>
      <c r="D14" s="416"/>
      <c r="E14" s="416"/>
      <c r="F14" s="416"/>
      <c r="G14" s="237"/>
      <c r="H14" s="237"/>
      <c r="I14" s="237"/>
    </row>
    <row r="15" spans="2:11" ht="14.4">
      <c r="B15" s="416"/>
      <c r="C15" s="416"/>
      <c r="D15" s="416"/>
      <c r="E15" s="416"/>
      <c r="F15" s="416"/>
      <c r="G15" s="237"/>
      <c r="H15" s="237"/>
      <c r="I15" s="237"/>
    </row>
    <row r="16" spans="2:11" ht="14.4">
      <c r="B16" s="416"/>
      <c r="C16" s="416"/>
      <c r="D16" s="416"/>
      <c r="E16" s="416"/>
      <c r="F16" s="416"/>
      <c r="G16" s="237"/>
      <c r="H16" s="237"/>
      <c r="I16" s="237"/>
    </row>
  </sheetData>
  <mergeCells count="2">
    <mergeCell ref="F2:I2"/>
    <mergeCell ref="B14:F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97E62-0787-49EF-990E-56FCCAE9872B}">
  <sheetPr codeName="Sheet30"/>
  <dimension ref="B1:W131"/>
  <sheetViews>
    <sheetView showGridLines="0" zoomScale="98" zoomScaleNormal="98" workbookViewId="0">
      <selection activeCell="F1" sqref="F1"/>
    </sheetView>
  </sheetViews>
  <sheetFormatPr defaultRowHeight="14.4"/>
  <cols>
    <col min="1" max="1" width="1.88671875" style="250" customWidth="1"/>
    <col min="2" max="2" width="8.88671875" style="250"/>
    <col min="3" max="3" width="12.5546875" style="250" customWidth="1"/>
    <col min="4" max="4" width="8.88671875" style="250"/>
    <col min="5" max="5" width="22.6640625" style="250" customWidth="1"/>
    <col min="6" max="9" width="14.6640625" style="250" bestFit="1" customWidth="1"/>
    <col min="10" max="10" width="18.33203125" style="250" customWidth="1"/>
    <col min="11" max="11" width="14.6640625" style="250" bestFit="1" customWidth="1"/>
    <col min="12" max="12" width="13.44140625" style="250" customWidth="1"/>
    <col min="13" max="13" width="10.88671875" style="250" customWidth="1"/>
    <col min="14" max="16" width="8.88671875" style="250"/>
    <col min="17" max="17" width="21.6640625" style="250" customWidth="1"/>
    <col min="18" max="16384" width="8.88671875" style="250"/>
  </cols>
  <sheetData>
    <row r="1" spans="2:15" ht="10.8" customHeight="1">
      <c r="B1" s="342"/>
      <c r="C1" s="342"/>
      <c r="D1" s="342"/>
      <c r="E1" s="342"/>
      <c r="F1" s="342"/>
      <c r="G1" s="342"/>
      <c r="H1" s="342"/>
      <c r="I1" s="342"/>
      <c r="J1" s="342"/>
      <c r="K1" s="342"/>
    </row>
    <row r="3" spans="2:15" ht="18">
      <c r="B3" s="454" t="str">
        <f>BS!B2</f>
        <v>Ismail Industries Limited</v>
      </c>
      <c r="C3" s="454"/>
      <c r="D3" s="454"/>
      <c r="E3" s="454"/>
    </row>
    <row r="4" spans="2:15" ht="15.6">
      <c r="B4" s="455" t="s">
        <v>310</v>
      </c>
      <c r="C4" s="455"/>
    </row>
    <row r="6" spans="2:15" ht="15.6">
      <c r="B6" s="363" t="str">
        <f>"PKR "&amp;'Raw Data for Dupont'!D5</f>
        <v>PKR 1703.97</v>
      </c>
    </row>
    <row r="7" spans="2:15" ht="15" thickBot="1">
      <c r="B7" s="359" t="s">
        <v>313</v>
      </c>
      <c r="C7" s="253"/>
      <c r="D7" s="253"/>
      <c r="E7" s="253"/>
      <c r="F7" s="253"/>
      <c r="G7" s="253"/>
      <c r="H7" s="253"/>
      <c r="I7" s="253"/>
    </row>
    <row r="8" spans="2:15" ht="3.6" customHeight="1"/>
    <row r="9" spans="2:15" ht="15.6">
      <c r="B9" s="360" t="s">
        <v>179</v>
      </c>
      <c r="C9" s="361"/>
      <c r="D9" s="361"/>
      <c r="L9"/>
      <c r="M9"/>
    </row>
    <row r="10" spans="2:15" ht="14.4" customHeight="1">
      <c r="B10" s="456" t="s">
        <v>311</v>
      </c>
      <c r="C10" s="456"/>
      <c r="D10" s="456"/>
      <c r="E10" s="456"/>
      <c r="F10" s="456"/>
      <c r="G10" s="456"/>
      <c r="H10" s="456"/>
      <c r="I10" s="456"/>
      <c r="J10" s="456"/>
      <c r="K10" s="255"/>
      <c r="L10" s="255"/>
      <c r="M10" s="255"/>
      <c r="N10" s="255"/>
      <c r="O10" s="255"/>
    </row>
    <row r="11" spans="2:15">
      <c r="B11" s="456"/>
      <c r="C11" s="456"/>
      <c r="D11" s="456"/>
      <c r="E11" s="456"/>
      <c r="F11" s="456"/>
      <c r="G11" s="456"/>
      <c r="H11" s="456"/>
      <c r="I11" s="456"/>
      <c r="J11" s="456"/>
      <c r="K11" s="255"/>
      <c r="L11" s="255"/>
      <c r="M11" s="255"/>
      <c r="N11" s="255"/>
      <c r="O11" s="255"/>
    </row>
    <row r="12" spans="2:15">
      <c r="B12" s="456"/>
      <c r="C12" s="456"/>
      <c r="D12" s="456"/>
      <c r="E12" s="456"/>
      <c r="F12" s="456"/>
      <c r="G12" s="456"/>
      <c r="H12" s="456"/>
      <c r="I12" s="456"/>
      <c r="J12" s="456"/>
      <c r="K12" s="255"/>
      <c r="L12" s="256"/>
      <c r="M12" s="255"/>
      <c r="N12" s="255"/>
      <c r="O12" s="255"/>
    </row>
    <row r="13" spans="2:15">
      <c r="B13" s="456"/>
      <c r="C13" s="456"/>
      <c r="D13" s="456"/>
      <c r="E13" s="456"/>
      <c r="F13" s="456"/>
      <c r="G13" s="456"/>
      <c r="H13" s="456"/>
      <c r="I13" s="456"/>
      <c r="J13" s="456"/>
      <c r="K13" s="255"/>
      <c r="L13" s="255"/>
      <c r="M13" s="255"/>
      <c r="N13" s="255"/>
      <c r="O13" s="255"/>
    </row>
    <row r="14" spans="2:15">
      <c r="B14" s="456"/>
      <c r="C14" s="456"/>
      <c r="D14" s="456"/>
      <c r="E14" s="456"/>
      <c r="F14" s="456"/>
      <c r="G14" s="456"/>
      <c r="H14" s="456"/>
      <c r="I14" s="456"/>
      <c r="J14" s="456"/>
      <c r="K14" s="255"/>
      <c r="L14" s="255"/>
      <c r="M14" s="255"/>
      <c r="N14" s="255"/>
      <c r="O14" s="255"/>
    </row>
    <row r="15" spans="2:15">
      <c r="B15" s="254"/>
      <c r="C15" s="254"/>
      <c r="D15" s="254"/>
      <c r="E15" s="254"/>
      <c r="F15" s="254"/>
      <c r="G15" s="254"/>
      <c r="H15" s="254"/>
      <c r="I15" s="254"/>
      <c r="J15" s="254"/>
      <c r="K15" s="255"/>
      <c r="L15" s="255"/>
      <c r="M15" s="255"/>
      <c r="N15" s="255"/>
      <c r="O15" s="255"/>
    </row>
    <row r="16" spans="2:15" ht="3.6" customHeight="1">
      <c r="C16" s="257"/>
      <c r="D16" s="257"/>
      <c r="E16" s="257"/>
      <c r="F16" s="257"/>
      <c r="G16" s="257"/>
      <c r="H16" s="257"/>
      <c r="I16" s="257"/>
      <c r="J16" s="257"/>
      <c r="K16" s="257"/>
      <c r="L16" s="257"/>
      <c r="M16" s="257"/>
      <c r="N16" s="257"/>
      <c r="O16" s="257"/>
    </row>
    <row r="17" spans="2:4" ht="17.399999999999999">
      <c r="B17" s="460" t="s">
        <v>180</v>
      </c>
      <c r="C17" s="460"/>
      <c r="D17" s="460"/>
    </row>
    <row r="18" spans="2:4" ht="9" customHeight="1"/>
    <row r="43" spans="2:10" ht="15.6" hidden="1">
      <c r="B43" s="258" t="s">
        <v>181</v>
      </c>
    </row>
    <row r="44" spans="2:10" ht="14.4" hidden="1" customHeight="1">
      <c r="B44" s="457" t="s">
        <v>182</v>
      </c>
      <c r="C44" s="457"/>
      <c r="D44" s="457"/>
      <c r="E44" s="457"/>
      <c r="F44" s="457"/>
      <c r="G44" s="457"/>
      <c r="H44" s="457"/>
      <c r="I44" s="457"/>
      <c r="J44" s="260"/>
    </row>
    <row r="45" spans="2:10" hidden="1">
      <c r="B45" s="457"/>
      <c r="C45" s="457"/>
      <c r="D45" s="457"/>
      <c r="E45" s="457"/>
      <c r="F45" s="457"/>
      <c r="G45" s="457"/>
      <c r="H45" s="457"/>
      <c r="I45" s="457"/>
      <c r="J45" s="260"/>
    </row>
    <row r="46" spans="2:10" hidden="1">
      <c r="B46" s="457"/>
      <c r="C46" s="457"/>
      <c r="D46" s="457"/>
      <c r="E46" s="457"/>
      <c r="F46" s="457"/>
      <c r="G46" s="457"/>
      <c r="H46" s="457"/>
      <c r="I46" s="457"/>
      <c r="J46" s="260"/>
    </row>
    <row r="47" spans="2:10" hidden="1">
      <c r="B47" s="457"/>
      <c r="C47" s="457"/>
      <c r="D47" s="457"/>
      <c r="E47" s="457"/>
      <c r="F47" s="457"/>
      <c r="G47" s="457"/>
      <c r="H47" s="457"/>
      <c r="I47" s="457"/>
      <c r="J47" s="260"/>
    </row>
    <row r="48" spans="2:10" hidden="1">
      <c r="B48" s="457"/>
      <c r="C48" s="457"/>
      <c r="D48" s="457"/>
      <c r="E48" s="457"/>
      <c r="F48" s="457"/>
      <c r="G48" s="457"/>
      <c r="H48" s="457"/>
      <c r="I48" s="457"/>
      <c r="J48" s="260"/>
    </row>
    <row r="49" spans="2:23" hidden="1">
      <c r="B49" s="457"/>
      <c r="C49" s="457"/>
      <c r="D49" s="457"/>
      <c r="E49" s="457"/>
      <c r="F49" s="457"/>
      <c r="G49" s="457"/>
      <c r="H49" s="457"/>
      <c r="I49" s="457"/>
      <c r="J49" s="260"/>
    </row>
    <row r="50" spans="2:23" hidden="1">
      <c r="B50" s="457"/>
      <c r="C50" s="457"/>
      <c r="D50" s="457"/>
      <c r="E50" s="457"/>
      <c r="F50" s="457"/>
      <c r="G50" s="457"/>
      <c r="H50" s="457"/>
      <c r="I50" s="457"/>
      <c r="J50" s="260"/>
    </row>
    <row r="51" spans="2:23" hidden="1">
      <c r="B51" s="457"/>
      <c r="C51" s="457"/>
      <c r="D51" s="457"/>
      <c r="E51" s="457"/>
      <c r="F51" s="457"/>
      <c r="G51" s="457"/>
      <c r="H51" s="457"/>
      <c r="I51" s="457"/>
      <c r="J51" s="260"/>
    </row>
    <row r="52" spans="2:23" hidden="1">
      <c r="B52" s="457"/>
      <c r="C52" s="457"/>
      <c r="D52" s="457"/>
      <c r="E52" s="457"/>
      <c r="F52" s="457"/>
      <c r="G52" s="457"/>
      <c r="H52" s="457"/>
      <c r="I52" s="457"/>
      <c r="J52" s="260"/>
    </row>
    <row r="53" spans="2:23" hidden="1">
      <c r="B53" s="457"/>
      <c r="C53" s="457"/>
      <c r="D53" s="457"/>
      <c r="E53" s="457"/>
      <c r="F53" s="457"/>
      <c r="G53" s="457"/>
      <c r="H53" s="457"/>
      <c r="I53" s="457"/>
      <c r="J53" s="260"/>
    </row>
    <row r="54" spans="2:23" hidden="1">
      <c r="B54" s="457"/>
      <c r="C54" s="457"/>
      <c r="D54" s="457"/>
      <c r="E54" s="457"/>
      <c r="F54" s="457"/>
      <c r="G54" s="457"/>
      <c r="H54" s="457"/>
      <c r="I54" s="457"/>
      <c r="J54" s="260"/>
    </row>
    <row r="55" spans="2:23">
      <c r="B55" s="259"/>
      <c r="C55" s="259"/>
      <c r="D55" s="259"/>
      <c r="E55" s="259"/>
      <c r="F55" s="259"/>
      <c r="G55" s="259"/>
      <c r="H55" s="259"/>
      <c r="I55" s="259"/>
    </row>
    <row r="56" spans="2:23" ht="11.4" customHeight="1">
      <c r="B56" s="343"/>
      <c r="C56" s="343"/>
      <c r="D56" s="343"/>
      <c r="E56" s="343"/>
      <c r="F56" s="343"/>
      <c r="G56" s="343"/>
      <c r="H56" s="343"/>
      <c r="I56" s="343"/>
      <c r="J56" s="342"/>
      <c r="K56" s="342"/>
    </row>
    <row r="58" spans="2:23" ht="17.399999999999999">
      <c r="B58" s="344" t="s">
        <v>183</v>
      </c>
      <c r="C58" s="345"/>
      <c r="D58" s="345"/>
      <c r="E58" s="345"/>
      <c r="F58" s="345"/>
    </row>
    <row r="59" spans="2:23" ht="15.6">
      <c r="B59" s="252"/>
    </row>
    <row r="60" spans="2:23">
      <c r="B60" s="458" t="s">
        <v>184</v>
      </c>
      <c r="C60" s="458"/>
      <c r="D60" s="458"/>
      <c r="E60" s="458"/>
      <c r="F60" s="458"/>
      <c r="G60" s="458"/>
      <c r="H60" s="458"/>
      <c r="I60" s="458"/>
      <c r="J60" s="458"/>
      <c r="K60" s="458"/>
      <c r="L60" s="346" t="s">
        <v>185</v>
      </c>
      <c r="M60" s="346" t="s">
        <v>26</v>
      </c>
      <c r="R60" s="365">
        <v>2024</v>
      </c>
      <c r="S60" s="365">
        <f>R60-1</f>
        <v>2023</v>
      </c>
      <c r="T60" s="365">
        <f t="shared" ref="T60:W60" si="0">S60-1</f>
        <v>2022</v>
      </c>
      <c r="U60" s="365">
        <f t="shared" si="0"/>
        <v>2021</v>
      </c>
      <c r="V60" s="365">
        <f t="shared" si="0"/>
        <v>2020</v>
      </c>
      <c r="W60" s="365">
        <f t="shared" si="0"/>
        <v>2019</v>
      </c>
    </row>
    <row r="61" spans="2:23">
      <c r="F61" s="261">
        <v>45627</v>
      </c>
      <c r="G61" s="261">
        <v>45261</v>
      </c>
      <c r="H61" s="261">
        <v>44896</v>
      </c>
      <c r="I61" s="261">
        <v>44531</v>
      </c>
      <c r="J61" s="261">
        <v>44167</v>
      </c>
      <c r="K61" s="261">
        <v>43801</v>
      </c>
    </row>
    <row r="62" spans="2:23">
      <c r="B62" s="250" t="s">
        <v>83</v>
      </c>
      <c r="F62" s="262">
        <f>Pnl!C17</f>
        <v>6132050</v>
      </c>
      <c r="G62" s="262">
        <f>Pnl!D17</f>
        <v>6381685</v>
      </c>
      <c r="H62" s="262">
        <f>Pnl!E17</f>
        <v>2551021</v>
      </c>
      <c r="I62" s="262">
        <f>Pnl!F17</f>
        <v>1776666</v>
      </c>
      <c r="J62" s="262">
        <f>Pnl!G17</f>
        <v>931965</v>
      </c>
      <c r="K62" s="262">
        <f>Pnl!H17</f>
        <v>966597.84200000018</v>
      </c>
      <c r="L62" s="262"/>
      <c r="M62" s="262"/>
      <c r="Q62" s="364" t="s">
        <v>314</v>
      </c>
      <c r="R62" s="264">
        <f>F71</f>
        <v>5.6315709390680015E-2</v>
      </c>
      <c r="S62" s="264">
        <f t="shared" ref="S62:W62" si="1">G71</f>
        <v>7.1780303277415122E-2</v>
      </c>
      <c r="T62" s="264">
        <f t="shared" si="1"/>
        <v>4.6163386387855859E-2</v>
      </c>
      <c r="U62" s="264">
        <f t="shared" si="1"/>
        <v>4.7621888851005795E-2</v>
      </c>
      <c r="V62" s="264">
        <f t="shared" si="1"/>
        <v>2.8055793267759584E-2</v>
      </c>
      <c r="W62" s="264">
        <f t="shared" si="1"/>
        <v>3.2122608926681756E-2</v>
      </c>
    </row>
    <row r="63" spans="2:23">
      <c r="B63" s="250" t="s">
        <v>186</v>
      </c>
      <c r="F63" s="263">
        <f>BS!C42</f>
        <v>20962309.5</v>
      </c>
      <c r="G63" s="263">
        <f>BS!D42</f>
        <v>15147657</v>
      </c>
      <c r="H63" s="263">
        <f>BS!E42</f>
        <v>11927159</v>
      </c>
      <c r="I63" s="263">
        <f>BS!F42</f>
        <v>10587261</v>
      </c>
      <c r="J63" s="263">
        <f>BS!G42</f>
        <v>8637015.8300000001</v>
      </c>
      <c r="K63" s="263">
        <f>BS!H42</f>
        <v>3687123.33</v>
      </c>
      <c r="L63" s="262"/>
      <c r="M63" s="262"/>
      <c r="Q63" s="364" t="s">
        <v>315</v>
      </c>
      <c r="R63" s="366">
        <f>F75</f>
        <v>1.3281151824095125</v>
      </c>
      <c r="S63" s="366">
        <f t="shared" ref="S63:W63" si="2">G75</f>
        <v>1.4293582179576283</v>
      </c>
      <c r="T63" s="366">
        <f t="shared" si="2"/>
        <v>1.1969741888972496</v>
      </c>
      <c r="U63" s="366">
        <f t="shared" si="2"/>
        <v>0.95054141309942541</v>
      </c>
      <c r="V63" s="366">
        <f t="shared" si="2"/>
        <v>1.0304644240915379</v>
      </c>
      <c r="W63" s="366">
        <f t="shared" si="2"/>
        <v>2.2318895908182577</v>
      </c>
    </row>
    <row r="64" spans="2:23">
      <c r="B64" s="346" t="s">
        <v>187</v>
      </c>
      <c r="C64" s="346"/>
      <c r="D64" s="346"/>
      <c r="E64" s="346"/>
      <c r="F64" s="347">
        <f>F62/F63</f>
        <v>0.29252740495983992</v>
      </c>
      <c r="G64" s="347">
        <f t="shared" ref="G64:K64" si="3">G62/G63</f>
        <v>0.42129848860454128</v>
      </c>
      <c r="H64" s="347">
        <f t="shared" si="3"/>
        <v>0.21388337323246887</v>
      </c>
      <c r="I64" s="347">
        <f t="shared" si="3"/>
        <v>0.16781167480427658</v>
      </c>
      <c r="J64" s="347">
        <f t="shared" si="3"/>
        <v>0.10790358826979249</v>
      </c>
      <c r="K64" s="347">
        <f t="shared" si="3"/>
        <v>0.2621550068953078</v>
      </c>
      <c r="L64" s="347">
        <f>AVERAGE(F64:K64)</f>
        <v>0.2442632561277045</v>
      </c>
      <c r="M64" s="347">
        <f>MEDIAN(F64:K64)</f>
        <v>0.23801919006388833</v>
      </c>
      <c r="Q64" s="364" t="s">
        <v>316</v>
      </c>
      <c r="R64" s="366">
        <f>F79</f>
        <v>3.9111210527637712</v>
      </c>
      <c r="S64" s="366">
        <f t="shared" ref="S64:W64" si="4">G79</f>
        <v>4.1062324358149906</v>
      </c>
      <c r="T64" s="366">
        <f t="shared" si="4"/>
        <v>3.8707451623643148</v>
      </c>
      <c r="U64" s="366">
        <f t="shared" si="4"/>
        <v>3.7071871563381689</v>
      </c>
      <c r="V64" s="366">
        <f t="shared" si="4"/>
        <v>3.7323325441907866</v>
      </c>
      <c r="W64" s="366">
        <f t="shared" si="4"/>
        <v>3.6565762954829073</v>
      </c>
    </row>
    <row r="65" spans="2:23" ht="24.6" customHeight="1"/>
    <row r="66" spans="2:23">
      <c r="B66" s="458" t="s">
        <v>188</v>
      </c>
      <c r="C66" s="458"/>
      <c r="D66" s="458"/>
      <c r="E66" s="458"/>
      <c r="F66" s="458"/>
      <c r="G66" s="458"/>
      <c r="H66" s="458"/>
      <c r="I66" s="458"/>
      <c r="J66" s="458"/>
      <c r="K66" s="458"/>
      <c r="Q66" s="364" t="s">
        <v>187</v>
      </c>
      <c r="R66" s="264">
        <f>R62*R63*R64</f>
        <v>0.29252740495983998</v>
      </c>
      <c r="S66" s="264">
        <f t="shared" ref="S66:W66" si="5">S62*S63*S64</f>
        <v>0.42129848860454122</v>
      </c>
      <c r="T66" s="264">
        <f t="shared" si="5"/>
        <v>0.21388337323246884</v>
      </c>
      <c r="U66" s="264">
        <f t="shared" si="5"/>
        <v>0.16781167480427656</v>
      </c>
      <c r="V66" s="264">
        <f t="shared" si="5"/>
        <v>0.10790358826979246</v>
      </c>
      <c r="W66" s="264">
        <f t="shared" si="5"/>
        <v>0.2621550068953078</v>
      </c>
    </row>
    <row r="67" spans="2:23">
      <c r="F67" s="261">
        <f>F61</f>
        <v>45627</v>
      </c>
      <c r="G67" s="261">
        <f t="shared" ref="G67:K67" si="6">G61</f>
        <v>45261</v>
      </c>
      <c r="H67" s="261">
        <f t="shared" si="6"/>
        <v>44896</v>
      </c>
      <c r="I67" s="261">
        <f t="shared" si="6"/>
        <v>44531</v>
      </c>
      <c r="J67" s="261">
        <f t="shared" si="6"/>
        <v>44167</v>
      </c>
      <c r="K67" s="261">
        <f t="shared" si="6"/>
        <v>43801</v>
      </c>
    </row>
    <row r="69" spans="2:23">
      <c r="B69" s="250" t="str">
        <f>B62</f>
        <v>Net Profit</v>
      </c>
      <c r="F69" s="262">
        <f>F62</f>
        <v>6132050</v>
      </c>
      <c r="G69" s="262">
        <f t="shared" ref="G69:K69" si="7">G62</f>
        <v>6381685</v>
      </c>
      <c r="H69" s="262">
        <f t="shared" si="7"/>
        <v>2551021</v>
      </c>
      <c r="I69" s="262">
        <f t="shared" si="7"/>
        <v>1776666</v>
      </c>
      <c r="J69" s="262">
        <f t="shared" si="7"/>
        <v>931965</v>
      </c>
      <c r="K69" s="262">
        <f t="shared" si="7"/>
        <v>966597.84200000018</v>
      </c>
    </row>
    <row r="70" spans="2:23">
      <c r="B70" s="250" t="s">
        <v>189</v>
      </c>
      <c r="F70" s="263">
        <f>Pnl!C9</f>
        <v>108887024</v>
      </c>
      <c r="G70" s="263">
        <f>Pnl!D9</f>
        <v>88905796</v>
      </c>
      <c r="H70" s="263">
        <f>Pnl!E9</f>
        <v>55260699</v>
      </c>
      <c r="I70" s="263">
        <f>Pnl!F9</f>
        <v>37307760</v>
      </c>
      <c r="J70" s="263">
        <f>Pnl!G9</f>
        <v>33218273</v>
      </c>
      <c r="K70" s="263">
        <f>Pnl!H9</f>
        <v>30090888.452</v>
      </c>
    </row>
    <row r="71" spans="2:23">
      <c r="B71" s="346" t="s">
        <v>190</v>
      </c>
      <c r="C71" s="346"/>
      <c r="D71" s="346"/>
      <c r="E71" s="346"/>
      <c r="F71" s="347">
        <f>F69/F70</f>
        <v>5.6315709390680015E-2</v>
      </c>
      <c r="G71" s="347">
        <f t="shared" ref="G71:K71" si="8">G69/G70</f>
        <v>7.1780303277415122E-2</v>
      </c>
      <c r="H71" s="347">
        <f t="shared" si="8"/>
        <v>4.6163386387855859E-2</v>
      </c>
      <c r="I71" s="347">
        <f t="shared" si="8"/>
        <v>4.7621888851005795E-2</v>
      </c>
      <c r="J71" s="347">
        <f t="shared" si="8"/>
        <v>2.8055793267759584E-2</v>
      </c>
      <c r="K71" s="347">
        <f t="shared" si="8"/>
        <v>3.2122608926681756E-2</v>
      </c>
      <c r="L71" s="347">
        <f>AVERAGE(F71:K71)</f>
        <v>4.7009948350233026E-2</v>
      </c>
      <c r="M71" s="347">
        <f>MEDIAN(F71:K71)</f>
        <v>4.6892637619430827E-2</v>
      </c>
      <c r="N71" s="264"/>
      <c r="O71" s="264"/>
    </row>
    <row r="72" spans="2:23" ht="27.6" customHeight="1"/>
    <row r="73" spans="2:23">
      <c r="B73" s="250" t="str">
        <f>B70</f>
        <v>Revenue</v>
      </c>
      <c r="F73" s="262">
        <f>F70</f>
        <v>108887024</v>
      </c>
      <c r="G73" s="262">
        <f t="shared" ref="G73:K73" si="9">G70</f>
        <v>88905796</v>
      </c>
      <c r="H73" s="262">
        <f t="shared" si="9"/>
        <v>55260699</v>
      </c>
      <c r="I73" s="262">
        <f t="shared" si="9"/>
        <v>37307760</v>
      </c>
      <c r="J73" s="262">
        <f t="shared" si="9"/>
        <v>33218273</v>
      </c>
      <c r="K73" s="262">
        <f t="shared" si="9"/>
        <v>30090888.452</v>
      </c>
    </row>
    <row r="74" spans="2:23">
      <c r="B74" s="250" t="s">
        <v>191</v>
      </c>
      <c r="F74" s="263">
        <f>BS!C38</f>
        <v>81986130</v>
      </c>
      <c r="G74" s="263">
        <f>BS!D38</f>
        <v>62199800.5</v>
      </c>
      <c r="H74" s="263">
        <f>BS!E38</f>
        <v>46166993</v>
      </c>
      <c r="I74" s="263">
        <f>BS!F38</f>
        <v>39248958</v>
      </c>
      <c r="J74" s="263">
        <f>BS!G38</f>
        <v>32236215.267000001</v>
      </c>
      <c r="K74" s="263">
        <f>BS!H38</f>
        <v>13482247.767000001</v>
      </c>
    </row>
    <row r="75" spans="2:23">
      <c r="B75" s="346" t="s">
        <v>192</v>
      </c>
      <c r="C75" s="346"/>
      <c r="D75" s="346"/>
      <c r="E75" s="346"/>
      <c r="F75" s="350">
        <f>F73/F74</f>
        <v>1.3281151824095125</v>
      </c>
      <c r="G75" s="350">
        <f t="shared" ref="G75:K75" si="10">G73/G74</f>
        <v>1.4293582179576283</v>
      </c>
      <c r="H75" s="350">
        <f t="shared" si="10"/>
        <v>1.1969741888972496</v>
      </c>
      <c r="I75" s="350">
        <f t="shared" si="10"/>
        <v>0.95054141309942541</v>
      </c>
      <c r="J75" s="350">
        <f t="shared" si="10"/>
        <v>1.0304644240915379</v>
      </c>
      <c r="K75" s="350">
        <f t="shared" si="10"/>
        <v>2.2318895908182577</v>
      </c>
      <c r="L75" s="350">
        <f>AVERAGE(F75:K75)</f>
        <v>1.3612238362122684</v>
      </c>
      <c r="M75" s="350">
        <f>MEDIAN(F75:K75)</f>
        <v>1.2625446856533811</v>
      </c>
      <c r="N75" s="265"/>
      <c r="O75" s="265"/>
    </row>
    <row r="76" spans="2:23" ht="24.6" customHeight="1"/>
    <row r="77" spans="2:23">
      <c r="B77" s="250" t="str">
        <f>B74</f>
        <v>Average Total Assets</v>
      </c>
      <c r="F77" s="262">
        <f>F74</f>
        <v>81986130</v>
      </c>
      <c r="G77" s="262">
        <f t="shared" ref="G77:K77" si="11">G74</f>
        <v>62199800.5</v>
      </c>
      <c r="H77" s="262">
        <f t="shared" si="11"/>
        <v>46166993</v>
      </c>
      <c r="I77" s="262">
        <f t="shared" si="11"/>
        <v>39248958</v>
      </c>
      <c r="J77" s="262">
        <f t="shared" si="11"/>
        <v>32236215.267000001</v>
      </c>
      <c r="K77" s="262">
        <f t="shared" si="11"/>
        <v>13482247.767000001</v>
      </c>
    </row>
    <row r="78" spans="2:23">
      <c r="B78" s="250" t="str">
        <f>B63</f>
        <v>Average Sharehoder's Equity</v>
      </c>
      <c r="F78" s="263">
        <f>F63</f>
        <v>20962309.5</v>
      </c>
      <c r="G78" s="263">
        <f t="shared" ref="G78:K78" si="12">G63</f>
        <v>15147657</v>
      </c>
      <c r="H78" s="263">
        <f t="shared" si="12"/>
        <v>11927159</v>
      </c>
      <c r="I78" s="263">
        <f t="shared" si="12"/>
        <v>10587261</v>
      </c>
      <c r="J78" s="263">
        <f t="shared" si="12"/>
        <v>8637015.8300000001</v>
      </c>
      <c r="K78" s="263">
        <f t="shared" si="12"/>
        <v>3687123.33</v>
      </c>
    </row>
    <row r="79" spans="2:23">
      <c r="B79" s="348" t="s">
        <v>193</v>
      </c>
      <c r="C79" s="348"/>
      <c r="D79" s="348"/>
      <c r="E79" s="348"/>
      <c r="F79" s="349">
        <f>F77/F78</f>
        <v>3.9111210527637712</v>
      </c>
      <c r="G79" s="349">
        <f t="shared" ref="G79:K79" si="13">G77/G78</f>
        <v>4.1062324358149906</v>
      </c>
      <c r="H79" s="349">
        <f t="shared" si="13"/>
        <v>3.8707451623643148</v>
      </c>
      <c r="I79" s="349">
        <f t="shared" si="13"/>
        <v>3.7071871563381689</v>
      </c>
      <c r="J79" s="349">
        <f t="shared" si="13"/>
        <v>3.7323325441907866</v>
      </c>
      <c r="K79" s="349">
        <f t="shared" si="13"/>
        <v>3.6565762954829073</v>
      </c>
      <c r="L79" s="349">
        <f>AVERAGE(F79:K79)</f>
        <v>3.8306991078258235</v>
      </c>
      <c r="M79" s="349">
        <f>MEDIAN(F79:K79)</f>
        <v>3.8015388532775507</v>
      </c>
      <c r="N79" s="265"/>
      <c r="O79" s="265"/>
    </row>
    <row r="80" spans="2:23" ht="24" customHeight="1"/>
    <row r="81" spans="2:15">
      <c r="B81" s="348" t="s">
        <v>194</v>
      </c>
      <c r="C81" s="348"/>
      <c r="D81" s="348"/>
      <c r="E81" s="348"/>
      <c r="F81" s="351">
        <f>F71*F75*F79</f>
        <v>0.29252740495983998</v>
      </c>
      <c r="G81" s="351">
        <f t="shared" ref="G81:K81" si="14">G71*G75*G79</f>
        <v>0.42129848860454122</v>
      </c>
      <c r="H81" s="351">
        <f t="shared" si="14"/>
        <v>0.21388337323246884</v>
      </c>
      <c r="I81" s="351">
        <f t="shared" si="14"/>
        <v>0.16781167480427656</v>
      </c>
      <c r="J81" s="351">
        <f t="shared" si="14"/>
        <v>0.10790358826979246</v>
      </c>
      <c r="K81" s="351">
        <f t="shared" si="14"/>
        <v>0.2621550068953078</v>
      </c>
      <c r="L81" s="351">
        <f>AVERAGE(F81:K81)</f>
        <v>0.2442632561277045</v>
      </c>
      <c r="M81" s="351">
        <f>MEDIAN(F81:K81)</f>
        <v>0.23801919006388833</v>
      </c>
      <c r="N81" s="264"/>
      <c r="O81" s="264"/>
    </row>
    <row r="84" spans="2:15">
      <c r="B84" s="458" t="s">
        <v>195</v>
      </c>
      <c r="C84" s="458"/>
      <c r="D84" s="458"/>
      <c r="E84" s="458"/>
      <c r="F84" s="458"/>
      <c r="G84" s="458"/>
      <c r="H84" s="458"/>
      <c r="I84" s="458"/>
      <c r="J84" s="458"/>
      <c r="K84" s="458"/>
    </row>
    <row r="85" spans="2:15">
      <c r="F85" s="261">
        <f>F61</f>
        <v>45627</v>
      </c>
      <c r="G85" s="261">
        <f t="shared" ref="G85:K85" si="15">G61</f>
        <v>45261</v>
      </c>
      <c r="H85" s="261">
        <f t="shared" si="15"/>
        <v>44896</v>
      </c>
      <c r="I85" s="261">
        <f t="shared" si="15"/>
        <v>44531</v>
      </c>
      <c r="J85" s="261">
        <f t="shared" si="15"/>
        <v>44167</v>
      </c>
      <c r="K85" s="261">
        <f t="shared" si="15"/>
        <v>43801</v>
      </c>
    </row>
    <row r="86" spans="2:15">
      <c r="B86" s="250" t="str">
        <f>B69</f>
        <v>Net Profit</v>
      </c>
      <c r="F86" s="262">
        <f>F69</f>
        <v>6132050</v>
      </c>
      <c r="G86" s="262">
        <f t="shared" ref="G86:K86" si="16">G69</f>
        <v>6381685</v>
      </c>
      <c r="H86" s="262">
        <f t="shared" si="16"/>
        <v>2551021</v>
      </c>
      <c r="I86" s="262">
        <f t="shared" si="16"/>
        <v>1776666</v>
      </c>
      <c r="J86" s="262">
        <f t="shared" si="16"/>
        <v>931965</v>
      </c>
      <c r="K86" s="262">
        <f t="shared" si="16"/>
        <v>966597.84200000018</v>
      </c>
    </row>
    <row r="87" spans="2:15">
      <c r="B87" s="250" t="str">
        <f>B74</f>
        <v>Average Total Assets</v>
      </c>
      <c r="F87" s="263">
        <f>F77</f>
        <v>81986130</v>
      </c>
      <c r="G87" s="263">
        <f t="shared" ref="G87:K87" si="17">G77</f>
        <v>62199800.5</v>
      </c>
      <c r="H87" s="263">
        <f t="shared" si="17"/>
        <v>46166993</v>
      </c>
      <c r="I87" s="263">
        <f t="shared" si="17"/>
        <v>39248958</v>
      </c>
      <c r="J87" s="263">
        <f t="shared" si="17"/>
        <v>32236215.267000001</v>
      </c>
      <c r="K87" s="263">
        <f t="shared" si="17"/>
        <v>13482247.767000001</v>
      </c>
    </row>
    <row r="88" spans="2:15">
      <c r="B88" s="348" t="s">
        <v>196</v>
      </c>
      <c r="C88" s="348"/>
      <c r="D88" s="348"/>
      <c r="E88" s="348"/>
      <c r="F88" s="351">
        <f>F86/F87</f>
        <v>7.479374864992408E-2</v>
      </c>
      <c r="G88" s="351">
        <f t="shared" ref="G88:K88" si="18">G86/G87</f>
        <v>0.10259976637706418</v>
      </c>
      <c r="H88" s="351">
        <f t="shared" si="18"/>
        <v>5.5256381978354099E-2</v>
      </c>
      <c r="I88" s="351">
        <f t="shared" si="18"/>
        <v>4.5266577522898824E-2</v>
      </c>
      <c r="J88" s="351">
        <f t="shared" si="18"/>
        <v>2.8910496852093129E-2</v>
      </c>
      <c r="K88" s="351">
        <f t="shared" si="18"/>
        <v>7.1694116493386653E-2</v>
      </c>
    </row>
    <row r="90" spans="2:15">
      <c r="B90" s="458" t="s">
        <v>197</v>
      </c>
      <c r="C90" s="458"/>
      <c r="D90" s="458"/>
      <c r="E90" s="458"/>
      <c r="F90" s="458"/>
      <c r="G90" s="458"/>
      <c r="H90" s="458"/>
      <c r="I90" s="458"/>
      <c r="J90" s="458"/>
      <c r="K90" s="458"/>
    </row>
    <row r="92" spans="2:15">
      <c r="F92" s="261">
        <f>F61</f>
        <v>45627</v>
      </c>
      <c r="G92" s="261">
        <f t="shared" ref="G92:K92" si="19">G61</f>
        <v>45261</v>
      </c>
      <c r="H92" s="261">
        <f t="shared" si="19"/>
        <v>44896</v>
      </c>
      <c r="I92" s="261">
        <f t="shared" si="19"/>
        <v>44531</v>
      </c>
      <c r="J92" s="261">
        <f t="shared" si="19"/>
        <v>44167</v>
      </c>
      <c r="K92" s="261">
        <f t="shared" si="19"/>
        <v>43801</v>
      </c>
    </row>
    <row r="94" spans="2:15">
      <c r="B94" s="250" t="str">
        <f>B69</f>
        <v>Net Profit</v>
      </c>
      <c r="F94" s="262">
        <f>F69</f>
        <v>6132050</v>
      </c>
      <c r="G94" s="262">
        <f t="shared" ref="G94:K95" si="20">G69</f>
        <v>6381685</v>
      </c>
      <c r="H94" s="262">
        <f t="shared" si="20"/>
        <v>2551021</v>
      </c>
      <c r="I94" s="262">
        <f t="shared" si="20"/>
        <v>1776666</v>
      </c>
      <c r="J94" s="262">
        <f t="shared" si="20"/>
        <v>931965</v>
      </c>
      <c r="K94" s="262">
        <f t="shared" si="20"/>
        <v>966597.84200000018</v>
      </c>
    </row>
    <row r="95" spans="2:15">
      <c r="B95" s="250" t="str">
        <f>B70</f>
        <v>Revenue</v>
      </c>
      <c r="F95" s="263">
        <f>F70</f>
        <v>108887024</v>
      </c>
      <c r="G95" s="263">
        <f t="shared" si="20"/>
        <v>88905796</v>
      </c>
      <c r="H95" s="263">
        <f t="shared" si="20"/>
        <v>55260699</v>
      </c>
      <c r="I95" s="263">
        <f t="shared" si="20"/>
        <v>37307760</v>
      </c>
      <c r="J95" s="263">
        <f t="shared" si="20"/>
        <v>33218273</v>
      </c>
      <c r="K95" s="263">
        <f t="shared" si="20"/>
        <v>30090888.452</v>
      </c>
    </row>
    <row r="96" spans="2:15">
      <c r="B96" s="346" t="s">
        <v>190</v>
      </c>
      <c r="C96" s="346"/>
      <c r="D96" s="346"/>
      <c r="E96" s="346"/>
      <c r="F96" s="347">
        <f>F94/F95</f>
        <v>5.6315709390680015E-2</v>
      </c>
      <c r="G96" s="347">
        <f t="shared" ref="G96:K96" si="21">G94/G95</f>
        <v>7.1780303277415122E-2</v>
      </c>
      <c r="H96" s="347">
        <f t="shared" si="21"/>
        <v>4.6163386387855859E-2</v>
      </c>
      <c r="I96" s="347">
        <f t="shared" si="21"/>
        <v>4.7621888851005795E-2</v>
      </c>
      <c r="J96" s="347">
        <f t="shared" si="21"/>
        <v>2.8055793267759584E-2</v>
      </c>
      <c r="K96" s="347">
        <f t="shared" si="21"/>
        <v>3.2122608926681756E-2</v>
      </c>
    </row>
    <row r="98" spans="2:11">
      <c r="B98" s="250" t="str">
        <f>B95</f>
        <v>Revenue</v>
      </c>
      <c r="F98" s="262">
        <f>F95</f>
        <v>108887024</v>
      </c>
      <c r="G98" s="262">
        <f t="shared" ref="G98:K98" si="22">G95</f>
        <v>88905796</v>
      </c>
      <c r="H98" s="262">
        <f t="shared" si="22"/>
        <v>55260699</v>
      </c>
      <c r="I98" s="262">
        <f t="shared" si="22"/>
        <v>37307760</v>
      </c>
      <c r="J98" s="262">
        <f t="shared" si="22"/>
        <v>33218273</v>
      </c>
      <c r="K98" s="262">
        <f t="shared" si="22"/>
        <v>30090888.452</v>
      </c>
    </row>
    <row r="99" spans="2:11">
      <c r="B99" s="250" t="s">
        <v>191</v>
      </c>
      <c r="F99" s="263">
        <f>F87</f>
        <v>81986130</v>
      </c>
      <c r="G99" s="263">
        <f t="shared" ref="G99:K99" si="23">G87</f>
        <v>62199800.5</v>
      </c>
      <c r="H99" s="263">
        <f t="shared" si="23"/>
        <v>46166993</v>
      </c>
      <c r="I99" s="263">
        <f t="shared" si="23"/>
        <v>39248958</v>
      </c>
      <c r="J99" s="263">
        <f t="shared" si="23"/>
        <v>32236215.267000001</v>
      </c>
      <c r="K99" s="263">
        <f t="shared" si="23"/>
        <v>13482247.767000001</v>
      </c>
    </row>
    <row r="100" spans="2:11">
      <c r="B100" s="348" t="s">
        <v>192</v>
      </c>
      <c r="C100" s="348"/>
      <c r="D100" s="348"/>
      <c r="E100" s="348"/>
      <c r="F100" s="349">
        <f>F98/F99</f>
        <v>1.3281151824095125</v>
      </c>
      <c r="G100" s="349">
        <f t="shared" ref="G100:K100" si="24">G98/G99</f>
        <v>1.4293582179576283</v>
      </c>
      <c r="H100" s="349">
        <f t="shared" si="24"/>
        <v>1.1969741888972496</v>
      </c>
      <c r="I100" s="349">
        <f t="shared" si="24"/>
        <v>0.95054141309942541</v>
      </c>
      <c r="J100" s="349">
        <f t="shared" si="24"/>
        <v>1.0304644240915379</v>
      </c>
      <c r="K100" s="349">
        <f t="shared" si="24"/>
        <v>2.2318895908182577</v>
      </c>
    </row>
    <row r="102" spans="2:11">
      <c r="B102" s="348" t="s">
        <v>198</v>
      </c>
      <c r="C102" s="348"/>
      <c r="D102" s="348"/>
      <c r="E102" s="348"/>
      <c r="F102" s="351">
        <f>F96*F100</f>
        <v>7.479374864992408E-2</v>
      </c>
      <c r="G102" s="351">
        <f t="shared" ref="G102:K102" si="25">G96*G100</f>
        <v>0.10259976637706418</v>
      </c>
      <c r="H102" s="351">
        <f t="shared" si="25"/>
        <v>5.5256381978354099E-2</v>
      </c>
      <c r="I102" s="351">
        <f t="shared" si="25"/>
        <v>4.5266577522898824E-2</v>
      </c>
      <c r="J102" s="351">
        <f t="shared" si="25"/>
        <v>2.8910496852093126E-2</v>
      </c>
      <c r="K102" s="351">
        <f t="shared" si="25"/>
        <v>7.1694116493386653E-2</v>
      </c>
    </row>
    <row r="105" spans="2:11" ht="17.399999999999999">
      <c r="B105" s="459" t="s">
        <v>199</v>
      </c>
      <c r="C105" s="459"/>
    </row>
    <row r="106" spans="2:11" ht="8.4" customHeight="1"/>
    <row r="107" spans="2:11" ht="14.4" customHeight="1">
      <c r="B107" s="461" t="s">
        <v>317</v>
      </c>
      <c r="C107" s="461"/>
      <c r="D107" s="461"/>
      <c r="E107" s="461"/>
      <c r="F107" s="461"/>
      <c r="G107" s="461"/>
      <c r="H107" s="461"/>
      <c r="I107" s="461"/>
      <c r="J107" s="461"/>
      <c r="K107" s="461"/>
    </row>
    <row r="108" spans="2:11">
      <c r="B108" s="461"/>
      <c r="C108" s="461"/>
      <c r="D108" s="461"/>
      <c r="E108" s="461"/>
      <c r="F108" s="461"/>
      <c r="G108" s="461"/>
      <c r="H108" s="461"/>
      <c r="I108" s="461"/>
      <c r="J108" s="461"/>
      <c r="K108" s="461"/>
    </row>
    <row r="109" spans="2:11">
      <c r="B109" s="461"/>
      <c r="C109" s="461"/>
      <c r="D109" s="461"/>
      <c r="E109" s="461"/>
      <c r="F109" s="461"/>
      <c r="G109" s="461"/>
      <c r="H109" s="461"/>
      <c r="I109" s="461"/>
      <c r="J109" s="461"/>
      <c r="K109" s="461"/>
    </row>
    <row r="110" spans="2:11">
      <c r="B110" s="461"/>
      <c r="C110" s="461"/>
      <c r="D110" s="461"/>
      <c r="E110" s="461"/>
      <c r="F110" s="461"/>
      <c r="G110" s="461"/>
      <c r="H110" s="461"/>
      <c r="I110" s="461"/>
      <c r="J110" s="461"/>
      <c r="K110" s="461"/>
    </row>
    <row r="111" spans="2:11">
      <c r="B111" s="461"/>
      <c r="C111" s="461"/>
      <c r="D111" s="461"/>
      <c r="E111" s="461"/>
      <c r="F111" s="461"/>
      <c r="G111" s="461"/>
      <c r="H111" s="461"/>
      <c r="I111" s="461"/>
      <c r="J111" s="461"/>
      <c r="K111" s="461"/>
    </row>
    <row r="112" spans="2:11">
      <c r="B112" s="461"/>
      <c r="C112" s="461"/>
      <c r="D112" s="461"/>
      <c r="E112" s="461"/>
      <c r="F112" s="461"/>
      <c r="G112" s="461"/>
      <c r="H112" s="461"/>
      <c r="I112" s="461"/>
      <c r="J112" s="461"/>
      <c r="K112" s="461"/>
    </row>
    <row r="113" spans="2:11">
      <c r="B113" s="461"/>
      <c r="C113" s="461"/>
      <c r="D113" s="461"/>
      <c r="E113" s="461"/>
      <c r="F113" s="461"/>
      <c r="G113" s="461"/>
      <c r="H113" s="461"/>
      <c r="I113" s="461"/>
      <c r="J113" s="461"/>
      <c r="K113" s="461"/>
    </row>
    <row r="114" spans="2:11">
      <c r="B114" s="461"/>
      <c r="C114" s="461"/>
      <c r="D114" s="461"/>
      <c r="E114" s="461"/>
      <c r="F114" s="461"/>
      <c r="G114" s="461"/>
      <c r="H114" s="461"/>
      <c r="I114" s="461"/>
      <c r="J114" s="461"/>
      <c r="K114" s="461"/>
    </row>
    <row r="115" spans="2:11">
      <c r="B115" s="461"/>
      <c r="C115" s="461"/>
      <c r="D115" s="461"/>
      <c r="E115" s="461"/>
      <c r="F115" s="461"/>
      <c r="G115" s="461"/>
      <c r="H115" s="461"/>
      <c r="I115" s="461"/>
      <c r="J115" s="461"/>
      <c r="K115" s="461"/>
    </row>
    <row r="116" spans="2:11">
      <c r="B116" s="461"/>
      <c r="C116" s="461"/>
      <c r="D116" s="461"/>
      <c r="E116" s="461"/>
      <c r="F116" s="461"/>
      <c r="G116" s="461"/>
      <c r="H116" s="461"/>
      <c r="I116" s="461"/>
      <c r="J116" s="461"/>
      <c r="K116" s="461"/>
    </row>
    <row r="117" spans="2:11">
      <c r="B117" s="461"/>
      <c r="C117" s="461"/>
      <c r="D117" s="461"/>
      <c r="E117" s="461"/>
      <c r="F117" s="461"/>
      <c r="G117" s="461"/>
      <c r="H117" s="461"/>
      <c r="I117" s="461"/>
      <c r="J117" s="461"/>
      <c r="K117" s="461"/>
    </row>
    <row r="118" spans="2:11">
      <c r="B118" s="461"/>
      <c r="C118" s="461"/>
      <c r="D118" s="461"/>
      <c r="E118" s="461"/>
      <c r="F118" s="461"/>
      <c r="G118" s="461"/>
      <c r="H118" s="461"/>
      <c r="I118" s="461"/>
      <c r="J118" s="461"/>
      <c r="K118" s="461"/>
    </row>
    <row r="119" spans="2:11">
      <c r="B119" s="461"/>
      <c r="C119" s="461"/>
      <c r="D119" s="461"/>
      <c r="E119" s="461"/>
      <c r="F119" s="461"/>
      <c r="G119" s="461"/>
      <c r="H119" s="461"/>
      <c r="I119" s="461"/>
      <c r="J119" s="461"/>
      <c r="K119" s="461"/>
    </row>
    <row r="120" spans="2:11">
      <c r="B120" s="461"/>
      <c r="C120" s="461"/>
      <c r="D120" s="461"/>
      <c r="E120" s="461"/>
      <c r="F120" s="461"/>
      <c r="G120" s="461"/>
      <c r="H120" s="461"/>
      <c r="I120" s="461"/>
      <c r="J120" s="461"/>
      <c r="K120" s="461"/>
    </row>
    <row r="121" spans="2:11">
      <c r="B121" s="461"/>
      <c r="C121" s="461"/>
      <c r="D121" s="461"/>
      <c r="E121" s="461"/>
      <c r="F121" s="461"/>
      <c r="G121" s="461"/>
      <c r="H121" s="461"/>
      <c r="I121" s="461"/>
      <c r="J121" s="461"/>
      <c r="K121" s="461"/>
    </row>
    <row r="122" spans="2:11">
      <c r="B122" s="461"/>
      <c r="C122" s="461"/>
      <c r="D122" s="461"/>
      <c r="E122" s="461"/>
      <c r="F122" s="461"/>
      <c r="G122" s="461"/>
      <c r="H122" s="461"/>
      <c r="I122" s="461"/>
      <c r="J122" s="461"/>
      <c r="K122" s="461"/>
    </row>
    <row r="123" spans="2:11">
      <c r="B123" s="461"/>
      <c r="C123" s="461"/>
      <c r="D123" s="461"/>
      <c r="E123" s="461"/>
      <c r="F123" s="461"/>
      <c r="G123" s="461"/>
      <c r="H123" s="461"/>
      <c r="I123" s="461"/>
      <c r="J123" s="461"/>
      <c r="K123" s="461"/>
    </row>
    <row r="124" spans="2:11">
      <c r="B124" s="461"/>
      <c r="C124" s="461"/>
      <c r="D124" s="461"/>
      <c r="E124" s="461"/>
      <c r="F124" s="461"/>
      <c r="G124" s="461"/>
      <c r="H124" s="461"/>
      <c r="I124" s="461"/>
      <c r="J124" s="461"/>
      <c r="K124" s="461"/>
    </row>
    <row r="125" spans="2:11">
      <c r="B125" s="461"/>
      <c r="C125" s="461"/>
      <c r="D125" s="461"/>
      <c r="E125" s="461"/>
      <c r="F125" s="461"/>
      <c r="G125" s="461"/>
      <c r="H125" s="461"/>
      <c r="I125" s="461"/>
      <c r="J125" s="461"/>
      <c r="K125" s="461"/>
    </row>
    <row r="126" spans="2:11">
      <c r="B126" s="461"/>
      <c r="C126" s="461"/>
      <c r="D126" s="461"/>
      <c r="E126" s="461"/>
      <c r="F126" s="461"/>
      <c r="G126" s="461"/>
      <c r="H126" s="461"/>
      <c r="I126" s="461"/>
      <c r="J126" s="461"/>
      <c r="K126" s="461"/>
    </row>
    <row r="127" spans="2:11">
      <c r="B127" s="461"/>
      <c r="C127" s="461"/>
      <c r="D127" s="461"/>
      <c r="E127" s="461"/>
      <c r="F127" s="461"/>
      <c r="G127" s="461"/>
      <c r="H127" s="461"/>
      <c r="I127" s="461"/>
      <c r="J127" s="461"/>
      <c r="K127" s="461"/>
    </row>
    <row r="128" spans="2:11">
      <c r="B128" s="461"/>
      <c r="C128" s="461"/>
      <c r="D128" s="461"/>
      <c r="E128" s="461"/>
      <c r="F128" s="461"/>
      <c r="G128" s="461"/>
      <c r="H128" s="461"/>
      <c r="I128" s="461"/>
      <c r="J128" s="461"/>
      <c r="K128" s="461"/>
    </row>
    <row r="129" spans="2:11">
      <c r="B129" s="461"/>
      <c r="C129" s="461"/>
      <c r="D129" s="461"/>
      <c r="E129" s="461"/>
      <c r="F129" s="461"/>
      <c r="G129" s="461"/>
      <c r="H129" s="461"/>
      <c r="I129" s="461"/>
      <c r="J129" s="461"/>
      <c r="K129" s="461"/>
    </row>
    <row r="130" spans="2:11">
      <c r="B130" s="461"/>
      <c r="C130" s="461"/>
      <c r="D130" s="461"/>
      <c r="E130" s="461"/>
      <c r="F130" s="461"/>
      <c r="G130" s="461"/>
      <c r="H130" s="461"/>
      <c r="I130" s="461"/>
      <c r="J130" s="461"/>
      <c r="K130" s="461"/>
    </row>
    <row r="131" spans="2:11">
      <c r="B131" s="461"/>
      <c r="C131" s="461"/>
      <c r="D131" s="461"/>
      <c r="E131" s="461"/>
      <c r="F131" s="461"/>
      <c r="G131" s="461"/>
      <c r="H131" s="461"/>
      <c r="I131" s="461"/>
      <c r="J131" s="461"/>
      <c r="K131" s="461"/>
    </row>
  </sheetData>
  <mergeCells count="11">
    <mergeCell ref="B105:C105"/>
    <mergeCell ref="B17:D17"/>
    <mergeCell ref="B107:K131"/>
    <mergeCell ref="B84:K84"/>
    <mergeCell ref="B90:K90"/>
    <mergeCell ref="B66:K66"/>
    <mergeCell ref="B3:E3"/>
    <mergeCell ref="B4:C4"/>
    <mergeCell ref="B10:J14"/>
    <mergeCell ref="B44:I54"/>
    <mergeCell ref="B60:K60"/>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78E22-F3A8-4712-8D7B-A750FF33A20B}">
  <sheetPr codeName="Sheet31"/>
  <dimension ref="B2:P32"/>
  <sheetViews>
    <sheetView showGridLines="0" topLeftCell="A2" workbookViewId="0">
      <selection activeCell="E4" sqref="E4:K11"/>
    </sheetView>
  </sheetViews>
  <sheetFormatPr defaultRowHeight="14.4"/>
  <cols>
    <col min="1" max="4" width="8.88671875" style="376"/>
    <col min="5" max="5" width="5" style="376" customWidth="1"/>
    <col min="6" max="6" width="14.6640625" style="376" bestFit="1" customWidth="1"/>
    <col min="7" max="11" width="13.6640625" style="376" bestFit="1" customWidth="1"/>
    <col min="12" max="16384" width="8.88671875" style="376"/>
  </cols>
  <sheetData>
    <row r="2" spans="2:16" ht="12" customHeight="1">
      <c r="B2" s="462" t="str">
        <f>"One Page Company Profile"&amp;" - "&amp;BS!$B$2</f>
        <v>One Page Company Profile - Ismail Industries Limited</v>
      </c>
      <c r="C2" s="462"/>
      <c r="D2" s="462"/>
      <c r="E2" s="462"/>
      <c r="F2" s="462"/>
      <c r="G2" s="462"/>
      <c r="H2" s="462"/>
      <c r="I2" s="462"/>
      <c r="J2" s="462"/>
      <c r="K2" s="462"/>
      <c r="L2" s="392"/>
      <c r="M2" s="392"/>
      <c r="N2" s="392"/>
      <c r="O2" s="392"/>
      <c r="P2" s="392"/>
    </row>
    <row r="3" spans="2:16" ht="6" hidden="1" customHeight="1"/>
    <row r="4" spans="2:16" ht="14.4" customHeight="1">
      <c r="E4" s="463" t="s">
        <v>322</v>
      </c>
      <c r="F4" s="463"/>
      <c r="G4" s="463"/>
      <c r="H4" s="463"/>
      <c r="I4" s="463"/>
      <c r="J4" s="463"/>
      <c r="K4" s="463"/>
      <c r="L4" s="388"/>
      <c r="M4" s="388"/>
      <c r="N4" s="388"/>
      <c r="O4" s="388"/>
    </row>
    <row r="5" spans="2:16">
      <c r="E5" s="463"/>
      <c r="F5" s="463"/>
      <c r="G5" s="463"/>
      <c r="H5" s="463"/>
      <c r="I5" s="463"/>
      <c r="J5" s="463"/>
      <c r="K5" s="463"/>
      <c r="L5" s="388"/>
      <c r="M5" s="388"/>
      <c r="N5" s="388"/>
      <c r="O5" s="388"/>
    </row>
    <row r="6" spans="2:16">
      <c r="E6" s="463"/>
      <c r="F6" s="463"/>
      <c r="G6" s="463"/>
      <c r="H6" s="463"/>
      <c r="I6" s="463"/>
      <c r="J6" s="463"/>
      <c r="K6" s="463"/>
      <c r="L6" s="388"/>
      <c r="M6" s="388"/>
      <c r="N6" s="388"/>
      <c r="O6" s="388"/>
    </row>
    <row r="7" spans="2:16">
      <c r="E7" s="463"/>
      <c r="F7" s="463"/>
      <c r="G7" s="463"/>
      <c r="H7" s="463"/>
      <c r="I7" s="463"/>
      <c r="J7" s="463"/>
      <c r="K7" s="463"/>
      <c r="L7" s="388"/>
      <c r="M7" s="388"/>
      <c r="N7" s="388"/>
      <c r="O7" s="388"/>
    </row>
    <row r="8" spans="2:16">
      <c r="E8" s="463"/>
      <c r="F8" s="463"/>
      <c r="G8" s="463"/>
      <c r="H8" s="463"/>
      <c r="I8" s="463"/>
      <c r="J8" s="463"/>
      <c r="K8" s="463"/>
      <c r="L8" s="388"/>
      <c r="M8" s="388"/>
      <c r="N8" s="388"/>
      <c r="O8" s="388"/>
    </row>
    <row r="9" spans="2:16" ht="21.6" customHeight="1">
      <c r="E9" s="463"/>
      <c r="F9" s="463"/>
      <c r="G9" s="463"/>
      <c r="H9" s="463"/>
      <c r="I9" s="463"/>
      <c r="J9" s="463"/>
      <c r="K9" s="463"/>
      <c r="L9" s="388"/>
      <c r="M9" s="388"/>
      <c r="N9" s="388"/>
      <c r="O9" s="388"/>
    </row>
    <row r="10" spans="2:16">
      <c r="E10" s="463"/>
      <c r="F10" s="463"/>
      <c r="G10" s="463"/>
      <c r="H10" s="463"/>
      <c r="I10" s="463"/>
      <c r="J10" s="463"/>
      <c r="K10" s="463"/>
    </row>
    <row r="11" spans="2:16">
      <c r="E11" s="463"/>
      <c r="F11" s="463"/>
      <c r="G11" s="463"/>
      <c r="H11" s="463"/>
      <c r="I11" s="463"/>
      <c r="J11" s="463"/>
      <c r="K11" s="463"/>
    </row>
    <row r="13" spans="2:16">
      <c r="B13" s="377" t="s">
        <v>323</v>
      </c>
      <c r="C13" s="378"/>
      <c r="D13" s="378"/>
      <c r="E13" s="378"/>
      <c r="F13" s="377">
        <f>'[2]Raw Data for Relative Valuation'!C20</f>
        <v>2024</v>
      </c>
      <c r="G13" s="377">
        <f>'[2]Raw Data for Relative Valuation'!D20</f>
        <v>2023</v>
      </c>
      <c r="H13" s="377">
        <f>'[2]Raw Data for Relative Valuation'!E20</f>
        <v>2022</v>
      </c>
      <c r="I13" s="377">
        <f>'[2]Raw Data for Relative Valuation'!F20</f>
        <v>2021</v>
      </c>
      <c r="J13" s="377">
        <f>'[2]Raw Data for Relative Valuation'!G20</f>
        <v>2020</v>
      </c>
      <c r="K13" s="377">
        <f>'[2]Raw Data for Relative Valuation'!H20</f>
        <v>2019</v>
      </c>
      <c r="L13" s="379"/>
    </row>
    <row r="15" spans="2:16">
      <c r="B15" s="376" t="s">
        <v>324</v>
      </c>
      <c r="F15" s="387">
        <f>Pnl!C$9</f>
        <v>108887024</v>
      </c>
      <c r="G15" s="387">
        <f>Pnl!D$9</f>
        <v>88905796</v>
      </c>
      <c r="H15" s="387">
        <f>Pnl!E$9</f>
        <v>55260699</v>
      </c>
      <c r="I15" s="387">
        <f>Pnl!F$9</f>
        <v>37307760</v>
      </c>
      <c r="J15" s="387">
        <f>Pnl!G$9</f>
        <v>33218273</v>
      </c>
      <c r="K15" s="387">
        <f>Pnl!H$9</f>
        <v>30090888.452</v>
      </c>
    </row>
    <row r="16" spans="2:16">
      <c r="B16" s="380" t="s">
        <v>123</v>
      </c>
      <c r="F16" s="381">
        <f>(F15-G15)/G15</f>
        <v>0.2247460671742931</v>
      </c>
      <c r="G16" s="381">
        <f t="shared" ref="G16:J16" si="0">(G15-H15)/H15</f>
        <v>0.60884313099260656</v>
      </c>
      <c r="H16" s="381">
        <f t="shared" si="0"/>
        <v>0.48121192481135294</v>
      </c>
      <c r="I16" s="381">
        <f t="shared" si="0"/>
        <v>0.12310956081311031</v>
      </c>
      <c r="J16" s="381">
        <f t="shared" si="0"/>
        <v>0.10393127982873293</v>
      </c>
      <c r="K16" s="382" t="s">
        <v>22</v>
      </c>
    </row>
    <row r="17" spans="2:11">
      <c r="B17" s="376" t="s">
        <v>325</v>
      </c>
      <c r="F17" s="383">
        <f>'Ratio Analysis-Profitability'!C$6</f>
        <v>0.22061131912283691</v>
      </c>
      <c r="G17" s="383">
        <f>'Ratio Analysis-Profitability'!D$6</f>
        <v>0.20732170262555211</v>
      </c>
      <c r="H17" s="383">
        <f>'Ratio Analysis-Profitability'!E$6</f>
        <v>0.17816453968488527</v>
      </c>
      <c r="I17" s="383">
        <f>'Ratio Analysis-Profitability'!F$6</f>
        <v>0.19282261920844349</v>
      </c>
      <c r="J17" s="383">
        <f>'Ratio Analysis-Profitability'!G$6</f>
        <v>0.20704339445942901</v>
      </c>
      <c r="K17" s="383">
        <f>'Ratio Analysis-Profitability'!H$6</f>
        <v>0.21116086848468169</v>
      </c>
    </row>
    <row r="18" spans="2:11">
      <c r="B18" s="376" t="s">
        <v>284</v>
      </c>
      <c r="F18" s="383">
        <f>'Ratio Analysis-Profitability'!C$12</f>
        <v>0.16589999999999999</v>
      </c>
      <c r="G18" s="383">
        <f>'Ratio Analysis-Profitability'!D$12</f>
        <v>0.16120000000000001</v>
      </c>
      <c r="H18" s="383">
        <f>'Ratio Analysis-Profitability'!E$12</f>
        <v>0.12659999999999999</v>
      </c>
      <c r="I18" s="383">
        <f>'Ratio Analysis-Profitability'!F$12</f>
        <v>0.1241</v>
      </c>
      <c r="J18" s="383">
        <f>'Ratio Analysis-Profitability'!G$12</f>
        <v>0.1139</v>
      </c>
      <c r="K18" s="383">
        <f>'Ratio Analysis-Profitability'!H$12</f>
        <v>0.1132</v>
      </c>
    </row>
    <row r="19" spans="2:11">
      <c r="B19" s="376" t="s">
        <v>248</v>
      </c>
      <c r="F19" s="384">
        <f>'Ratio Analysis-Profitability'!C$13</f>
        <v>0.12839999999999999</v>
      </c>
      <c r="G19" s="384">
        <f>'Ratio Analysis-Profitability'!D$13</f>
        <v>0.1162</v>
      </c>
      <c r="H19" s="384">
        <f>'Ratio Analysis-Profitability'!E$13</f>
        <v>7.6799999999999993E-2</v>
      </c>
      <c r="I19" s="384">
        <f>'Ratio Analysis-Profitability'!F$13</f>
        <v>6.1800000000000001E-2</v>
      </c>
      <c r="J19" s="384">
        <f>'Ratio Analysis-Profitability'!G$13</f>
        <v>5.4600000000000003E-2</v>
      </c>
      <c r="K19" s="384">
        <f>'Ratio Analysis-Profitability'!H$13</f>
        <v>5.8200000000000002E-2</v>
      </c>
    </row>
    <row r="20" spans="2:11">
      <c r="B20" s="376" t="s">
        <v>30</v>
      </c>
      <c r="F20" s="384">
        <f>'Ratio Analysis-Profitability'!C$8</f>
        <v>5.6315709390680015E-2</v>
      </c>
      <c r="G20" s="384">
        <f>'Ratio Analysis-Profitability'!D$8</f>
        <v>7.1780303277415122E-2</v>
      </c>
      <c r="H20" s="384">
        <f>'Ratio Analysis-Profitability'!E$8</f>
        <v>4.6163386387855859E-2</v>
      </c>
      <c r="I20" s="384">
        <f>'Ratio Analysis-Profitability'!F$8</f>
        <v>4.7621888851005795E-2</v>
      </c>
      <c r="J20" s="384">
        <f>'Ratio Analysis-Profitability'!G$8</f>
        <v>2.8055793267759584E-2</v>
      </c>
      <c r="K20" s="384">
        <f>'Ratio Analysis-Profitability'!H$8</f>
        <v>3.2122608926681756E-2</v>
      </c>
    </row>
    <row r="21" spans="2:11">
      <c r="B21" s="376" t="s">
        <v>86</v>
      </c>
      <c r="F21" s="385">
        <f>Pnl!C$21</f>
        <v>92.410077981293284</v>
      </c>
      <c r="G21" s="385">
        <f>Pnl!D$21</f>
        <v>96.172080870516325</v>
      </c>
      <c r="H21" s="385">
        <f>Pnl!E$21</f>
        <v>38.44392161543314</v>
      </c>
      <c r="I21" s="385">
        <f>Pnl!F$21</f>
        <v>26.774381097139198</v>
      </c>
      <c r="J21" s="385">
        <f>Pnl!G$21</f>
        <v>14.485864987445241</v>
      </c>
      <c r="K21" s="385">
        <f>Pnl!H$21</f>
        <v>15.149308507595441</v>
      </c>
    </row>
    <row r="22" spans="2:11">
      <c r="B22" s="376" t="s">
        <v>102</v>
      </c>
      <c r="F22" s="381">
        <f>(F21-G21)/G21</f>
        <v>-3.9117411780744425E-2</v>
      </c>
      <c r="G22" s="381">
        <f t="shared" ref="G22:J22" si="1">(G21-H21)/H21</f>
        <v>1.5016199396241738</v>
      </c>
      <c r="H22" s="381">
        <f t="shared" si="1"/>
        <v>0.43584725547739422</v>
      </c>
      <c r="I22" s="381">
        <f t="shared" si="1"/>
        <v>0.84831082716457007</v>
      </c>
      <c r="J22" s="381">
        <f t="shared" si="1"/>
        <v>-4.3793650371405882E-2</v>
      </c>
      <c r="K22" s="381">
        <f>IFERROR((K21-L21)/L21,0)</f>
        <v>0</v>
      </c>
    </row>
    <row r="23" spans="2:11">
      <c r="B23" s="376" t="s">
        <v>18</v>
      </c>
      <c r="F23" s="385">
        <f>Pnl!C$37</f>
        <v>10</v>
      </c>
      <c r="G23" s="385">
        <f>Pnl!D$37</f>
        <v>12</v>
      </c>
      <c r="H23" s="385">
        <f>Pnl!E$37</f>
        <v>4</v>
      </c>
      <c r="I23" s="385">
        <f>Pnl!F$37</f>
        <v>15</v>
      </c>
      <c r="J23" s="385">
        <f>Pnl!G$37</f>
        <v>3</v>
      </c>
      <c r="K23" s="385">
        <f>Pnl!H$37</f>
        <v>3.5</v>
      </c>
    </row>
    <row r="25" spans="2:11">
      <c r="B25" s="377" t="s">
        <v>326</v>
      </c>
      <c r="C25" s="378"/>
      <c r="D25" s="378"/>
      <c r="E25" s="378"/>
      <c r="F25" s="377">
        <f t="shared" ref="F25:K25" si="2">F13</f>
        <v>2024</v>
      </c>
      <c r="G25" s="377">
        <f t="shared" si="2"/>
        <v>2023</v>
      </c>
      <c r="H25" s="377">
        <f t="shared" si="2"/>
        <v>2022</v>
      </c>
      <c r="I25" s="377">
        <f t="shared" si="2"/>
        <v>2021</v>
      </c>
      <c r="J25" s="377">
        <f t="shared" si="2"/>
        <v>2020</v>
      </c>
      <c r="K25" s="377">
        <f t="shared" si="2"/>
        <v>2019</v>
      </c>
    </row>
    <row r="27" spans="2:11">
      <c r="B27" s="376" t="s">
        <v>89</v>
      </c>
      <c r="F27" s="385">
        <f>'Ratio Analysis-Investment'!C$7</f>
        <v>13.348652300128016</v>
      </c>
      <c r="G27" s="385">
        <f>'Ratio Analysis-Investment'!D$7</f>
        <v>5.0177764235934559</v>
      </c>
      <c r="H27" s="385">
        <f>'Ratio Analysis-Investment'!E$7</f>
        <v>12.253692656861704</v>
      </c>
      <c r="I27" s="385">
        <f>'Ratio Analysis-Investment'!F$7</f>
        <v>14.366718640644894</v>
      </c>
      <c r="J27" s="385">
        <f>'Ratio Analysis-Investment'!G$7</f>
        <v>24.338208336579164</v>
      </c>
      <c r="K27" s="385">
        <f>'Ratio Analysis-Investment'!H$7</f>
        <v>19.810145119794296</v>
      </c>
    </row>
    <row r="28" spans="2:11">
      <c r="B28" s="376" t="s">
        <v>327</v>
      </c>
      <c r="F28" s="376">
        <f>'[2]Raw Data for Relative Valuation'!C21</f>
        <v>6.14</v>
      </c>
      <c r="G28" s="376">
        <f>'[2]Raw Data for Relative Valuation'!D21</f>
        <v>4.41</v>
      </c>
      <c r="H28" s="376">
        <f>'[2]Raw Data for Relative Valuation'!E21</f>
        <v>8.24</v>
      </c>
      <c r="I28" s="376">
        <f>'[2]Raw Data for Relative Valuation'!F21</f>
        <v>10.07</v>
      </c>
      <c r="J28" s="376">
        <f>'[2]Raw Data for Relative Valuation'!G21</f>
        <v>12.51</v>
      </c>
      <c r="K28" s="376">
        <f>'[2]Raw Data for Relative Valuation'!H21</f>
        <v>8.2739999999999991</v>
      </c>
    </row>
    <row r="29" spans="2:11">
      <c r="B29" s="376" t="s">
        <v>328</v>
      </c>
      <c r="F29" s="376">
        <f>'[2]Raw Data for Relative Valuation'!C22</f>
        <v>1570.87</v>
      </c>
      <c r="G29" s="376">
        <f>'[2]Raw Data for Relative Valuation'!D22</f>
        <v>846.3</v>
      </c>
      <c r="H29" s="376">
        <f>'[2]Raw Data for Relative Valuation'!E22</f>
        <v>799.73</v>
      </c>
      <c r="I29" s="376">
        <f>'[2]Raw Data for Relative Valuation'!F22</f>
        <v>611.59</v>
      </c>
      <c r="J29" s="376">
        <f>'[2]Raw Data for Relative Valuation'!G22</f>
        <v>588</v>
      </c>
      <c r="K29" s="376">
        <f>'[2]Raw Data for Relative Valuation'!H22</f>
        <v>883.298</v>
      </c>
    </row>
    <row r="30" spans="2:11">
      <c r="B30" s="376" t="s">
        <v>329</v>
      </c>
      <c r="F30" s="376">
        <f>'[2]Raw Data for Relative Valuation'!C23</f>
        <v>0.96</v>
      </c>
      <c r="G30" s="376">
        <f>'[2]Raw Data for Relative Valuation'!D23</f>
        <v>0.63</v>
      </c>
      <c r="H30" s="376">
        <f>'[2]Raw Data for Relative Valuation'!E23</f>
        <v>0.96</v>
      </c>
      <c r="I30" s="376">
        <f>'[2]Raw Data for Relative Valuation'!F23</f>
        <v>1.0900000000000001</v>
      </c>
      <c r="J30" s="376">
        <f>'[2]Raw Data for Relative Valuation'!G23</f>
        <v>1.17</v>
      </c>
      <c r="K30" s="376">
        <f>'[2]Raw Data for Relative Valuation'!H23</f>
        <v>0.96199999999999997</v>
      </c>
    </row>
    <row r="31" spans="2:11">
      <c r="B31" s="376" t="s">
        <v>330</v>
      </c>
      <c r="F31" s="386">
        <f>'Ratio Analysis-Solvency'!C$9</f>
        <v>2.4876815893139401</v>
      </c>
      <c r="G31" s="386">
        <f>'Ratio Analysis-Solvency'!D$9</f>
        <v>2.6622099125110994</v>
      </c>
      <c r="H31" s="386">
        <f>'Ratio Analysis-Solvency'!E$9</f>
        <v>2.6814088640949172</v>
      </c>
      <c r="I31" s="386">
        <f>'Ratio Analysis-Solvency'!F$9</f>
        <v>2.0598263178999208</v>
      </c>
      <c r="J31" s="386">
        <f>'Ratio Analysis-Solvency'!G$9</f>
        <v>2.2097449591076979</v>
      </c>
      <c r="K31" s="386">
        <f>'Ratio Analysis-Solvency'!H$9</f>
        <v>0</v>
      </c>
    </row>
    <row r="32" spans="2:11">
      <c r="B32" s="376" t="s">
        <v>331</v>
      </c>
      <c r="F32" s="386">
        <f>'Ratio Analysis-Profitability'!C$14</f>
        <v>0.29491505243736216</v>
      </c>
      <c r="G32" s="386">
        <f>'Ratio Analysis-Profitability'!D$14</f>
        <v>0.23812280484307036</v>
      </c>
      <c r="H32" s="386">
        <f>'Ratio Analysis-Profitability'!E$14</f>
        <v>0.12256038674126958</v>
      </c>
      <c r="I32" s="386">
        <f>'Ratio Analysis-Profitability'!F$14</f>
        <v>8.7111975687123394E-2</v>
      </c>
      <c r="J32" s="386">
        <f>'Ratio Analysis-Profitability'!G$14</f>
        <v>7.0957800130437218E-2</v>
      </c>
      <c r="K32" s="386">
        <f>'Ratio Analysis-Profitability'!H$14</f>
        <v>0.13726869917443327</v>
      </c>
    </row>
  </sheetData>
  <mergeCells count="2">
    <mergeCell ref="B2:K2"/>
    <mergeCell ref="E4:K1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7820-8C02-43DB-9572-0927D90BB935}">
  <sheetPr codeName="Sheet32"/>
  <dimension ref="B3:P3"/>
  <sheetViews>
    <sheetView showGridLines="0" workbookViewId="0">
      <selection activeCell="B3" sqref="B3:P3"/>
    </sheetView>
  </sheetViews>
  <sheetFormatPr defaultRowHeight="14.4"/>
  <cols>
    <col min="1" max="16384" width="8.88671875" style="376"/>
  </cols>
  <sheetData>
    <row r="3" spans="2:16">
      <c r="B3" s="462" t="str">
        <f>"Key Brands and Associated Companies"&amp;" - "&amp;BS!$B$2</f>
        <v>Key Brands and Associated Companies - Ismail Industries Limited</v>
      </c>
      <c r="C3" s="462"/>
      <c r="D3" s="462"/>
      <c r="E3" s="462"/>
      <c r="F3" s="462"/>
      <c r="G3" s="462"/>
      <c r="H3" s="462"/>
      <c r="I3" s="462"/>
      <c r="J3" s="462"/>
      <c r="K3" s="462"/>
      <c r="L3" s="462"/>
      <c r="M3" s="462"/>
      <c r="N3" s="462"/>
      <c r="O3" s="462"/>
      <c r="P3" s="462"/>
    </row>
  </sheetData>
  <mergeCells count="1">
    <mergeCell ref="B3:P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1354A-110C-4F00-A7F0-2210D53FD704}">
  <sheetPr codeName="Sheet33"/>
  <dimension ref="B2:P36"/>
  <sheetViews>
    <sheetView showGridLines="0" workbookViewId="0">
      <selection activeCell="B2" sqref="B2:P2"/>
    </sheetView>
  </sheetViews>
  <sheetFormatPr defaultRowHeight="14.4"/>
  <cols>
    <col min="1" max="16384" width="8.88671875" style="376"/>
  </cols>
  <sheetData>
    <row r="2" spans="2:16">
      <c r="B2" s="462" t="str">
        <f>"SWOT Analysis"&amp;" - "&amp;BS!$B$2</f>
        <v>SWOT Analysis - Ismail Industries Limited</v>
      </c>
      <c r="C2" s="462"/>
      <c r="D2" s="462"/>
      <c r="E2" s="462"/>
      <c r="F2" s="462"/>
      <c r="G2" s="462"/>
      <c r="H2" s="462"/>
      <c r="I2" s="462"/>
      <c r="J2" s="462"/>
      <c r="K2" s="462"/>
      <c r="L2" s="462"/>
      <c r="M2" s="462"/>
      <c r="N2" s="462"/>
      <c r="O2" s="462"/>
      <c r="P2" s="462"/>
    </row>
    <row r="4" spans="2:16" ht="14.4" customHeight="1">
      <c r="B4" s="424" t="s">
        <v>333</v>
      </c>
      <c r="C4" s="424"/>
      <c r="D4" s="424"/>
      <c r="E4" s="424"/>
      <c r="F4" s="424"/>
      <c r="G4" s="424"/>
      <c r="H4" s="424"/>
      <c r="I4" s="424"/>
      <c r="J4" s="424"/>
      <c r="K4" s="424"/>
      <c r="L4" s="424"/>
      <c r="M4" s="424"/>
      <c r="N4" s="424"/>
      <c r="O4" s="424"/>
      <c r="P4" s="424"/>
    </row>
    <row r="5" spans="2:16">
      <c r="B5" s="424"/>
      <c r="C5" s="424"/>
      <c r="D5" s="424"/>
      <c r="E5" s="424"/>
      <c r="F5" s="424"/>
      <c r="G5" s="424"/>
      <c r="H5" s="424"/>
      <c r="I5" s="424"/>
      <c r="J5" s="424"/>
      <c r="K5" s="424"/>
      <c r="L5" s="424"/>
      <c r="M5" s="424"/>
      <c r="N5" s="424"/>
      <c r="O5" s="424"/>
      <c r="P5" s="424"/>
    </row>
    <row r="6" spans="2:16">
      <c r="B6" s="424"/>
      <c r="C6" s="424"/>
      <c r="D6" s="424"/>
      <c r="E6" s="424"/>
      <c r="F6" s="424"/>
      <c r="G6" s="424"/>
      <c r="H6" s="424"/>
      <c r="I6" s="424"/>
      <c r="J6" s="424"/>
      <c r="K6" s="424"/>
      <c r="L6" s="424"/>
      <c r="M6" s="424"/>
      <c r="N6" s="424"/>
      <c r="O6" s="424"/>
      <c r="P6" s="424"/>
    </row>
    <row r="7" spans="2:16">
      <c r="B7" s="424"/>
      <c r="C7" s="424"/>
      <c r="D7" s="424"/>
      <c r="E7" s="424"/>
      <c r="F7" s="424"/>
      <c r="G7" s="424"/>
      <c r="H7" s="424"/>
      <c r="I7" s="424"/>
      <c r="J7" s="424"/>
      <c r="K7" s="424"/>
      <c r="L7" s="424"/>
      <c r="M7" s="424"/>
      <c r="N7" s="424"/>
      <c r="O7" s="424"/>
      <c r="P7" s="424"/>
    </row>
    <row r="8" spans="2:16">
      <c r="B8" s="424"/>
      <c r="C8" s="424"/>
      <c r="D8" s="424"/>
      <c r="E8" s="424"/>
      <c r="F8" s="424"/>
      <c r="G8" s="424"/>
      <c r="H8" s="424"/>
      <c r="I8" s="424"/>
      <c r="J8" s="424"/>
      <c r="K8" s="424"/>
      <c r="L8" s="424"/>
      <c r="M8" s="424"/>
      <c r="N8" s="424"/>
      <c r="O8" s="424"/>
      <c r="P8" s="424"/>
    </row>
    <row r="9" spans="2:16">
      <c r="B9" s="424"/>
      <c r="C9" s="424"/>
      <c r="D9" s="424"/>
      <c r="E9" s="424"/>
      <c r="F9" s="424"/>
      <c r="G9" s="424"/>
      <c r="H9" s="424"/>
      <c r="I9" s="424"/>
      <c r="J9" s="424"/>
      <c r="K9" s="424"/>
      <c r="L9" s="424"/>
      <c r="M9" s="424"/>
      <c r="N9" s="424"/>
      <c r="O9" s="424"/>
      <c r="P9" s="424"/>
    </row>
    <row r="10" spans="2:16">
      <c r="B10" s="424"/>
      <c r="C10" s="424"/>
      <c r="D10" s="424"/>
      <c r="E10" s="424"/>
      <c r="F10" s="424"/>
      <c r="G10" s="424"/>
      <c r="H10" s="424"/>
      <c r="I10" s="424"/>
      <c r="J10" s="424"/>
      <c r="K10" s="424"/>
      <c r="L10" s="424"/>
      <c r="M10" s="424"/>
      <c r="N10" s="424"/>
      <c r="O10" s="424"/>
      <c r="P10" s="424"/>
    </row>
    <row r="11" spans="2:16">
      <c r="B11" s="424"/>
      <c r="C11" s="424"/>
      <c r="D11" s="424"/>
      <c r="E11" s="424"/>
      <c r="F11" s="424"/>
      <c r="G11" s="424"/>
      <c r="H11" s="424"/>
      <c r="I11" s="424"/>
      <c r="J11" s="424"/>
      <c r="K11" s="424"/>
      <c r="L11" s="424"/>
      <c r="M11" s="424"/>
      <c r="N11" s="424"/>
      <c r="O11" s="424"/>
      <c r="P11" s="424"/>
    </row>
    <row r="12" spans="2:16">
      <c r="B12" s="424"/>
      <c r="C12" s="424"/>
      <c r="D12" s="424"/>
      <c r="E12" s="424"/>
      <c r="F12" s="424"/>
      <c r="G12" s="424"/>
      <c r="H12" s="424"/>
      <c r="I12" s="424"/>
      <c r="J12" s="424"/>
      <c r="K12" s="424"/>
      <c r="L12" s="424"/>
      <c r="M12" s="424"/>
      <c r="N12" s="424"/>
      <c r="O12" s="424"/>
      <c r="P12" s="424"/>
    </row>
    <row r="13" spans="2:16">
      <c r="B13" s="424"/>
      <c r="C13" s="424"/>
      <c r="D13" s="424"/>
      <c r="E13" s="424"/>
      <c r="F13" s="424"/>
      <c r="G13" s="424"/>
      <c r="H13" s="424"/>
      <c r="I13" s="424"/>
      <c r="J13" s="424"/>
      <c r="K13" s="424"/>
      <c r="L13" s="424"/>
      <c r="M13" s="424"/>
      <c r="N13" s="424"/>
      <c r="O13" s="424"/>
      <c r="P13" s="424"/>
    </row>
    <row r="14" spans="2:16">
      <c r="B14" s="424"/>
      <c r="C14" s="424"/>
      <c r="D14" s="424"/>
      <c r="E14" s="424"/>
      <c r="F14" s="424"/>
      <c r="G14" s="424"/>
      <c r="H14" s="424"/>
      <c r="I14" s="424"/>
      <c r="J14" s="424"/>
      <c r="K14" s="424"/>
      <c r="L14" s="424"/>
      <c r="M14" s="424"/>
      <c r="N14" s="424"/>
      <c r="O14" s="424"/>
      <c r="P14" s="424"/>
    </row>
    <row r="15" spans="2:16">
      <c r="B15" s="424"/>
      <c r="C15" s="424"/>
      <c r="D15" s="424"/>
      <c r="E15" s="424"/>
      <c r="F15" s="424"/>
      <c r="G15" s="424"/>
      <c r="H15" s="424"/>
      <c r="I15" s="424"/>
      <c r="J15" s="424"/>
      <c r="K15" s="424"/>
      <c r="L15" s="424"/>
      <c r="M15" s="424"/>
      <c r="N15" s="424"/>
      <c r="O15" s="424"/>
      <c r="P15" s="424"/>
    </row>
    <row r="16" spans="2:16">
      <c r="B16" s="424"/>
      <c r="C16" s="424"/>
      <c r="D16" s="424"/>
      <c r="E16" s="424"/>
      <c r="F16" s="424"/>
      <c r="G16" s="424"/>
      <c r="H16" s="424"/>
      <c r="I16" s="424"/>
      <c r="J16" s="424"/>
      <c r="K16" s="424"/>
      <c r="L16" s="424"/>
      <c r="M16" s="424"/>
      <c r="N16" s="424"/>
      <c r="O16" s="424"/>
      <c r="P16" s="424"/>
    </row>
    <row r="17" spans="2:16">
      <c r="B17" s="424"/>
      <c r="C17" s="424"/>
      <c r="D17" s="424"/>
      <c r="E17" s="424"/>
      <c r="F17" s="424"/>
      <c r="G17" s="424"/>
      <c r="H17" s="424"/>
      <c r="I17" s="424"/>
      <c r="J17" s="424"/>
      <c r="K17" s="424"/>
      <c r="L17" s="424"/>
      <c r="M17" s="424"/>
      <c r="N17" s="424"/>
      <c r="O17" s="424"/>
      <c r="P17" s="424"/>
    </row>
    <row r="18" spans="2:16">
      <c r="B18" s="424"/>
      <c r="C18" s="424"/>
      <c r="D18" s="424"/>
      <c r="E18" s="424"/>
      <c r="F18" s="424"/>
      <c r="G18" s="424"/>
      <c r="H18" s="424"/>
      <c r="I18" s="424"/>
      <c r="J18" s="424"/>
      <c r="K18" s="424"/>
      <c r="L18" s="424"/>
      <c r="M18" s="424"/>
      <c r="N18" s="424"/>
      <c r="O18" s="424"/>
      <c r="P18" s="424"/>
    </row>
    <row r="19" spans="2:16">
      <c r="B19" s="424"/>
      <c r="C19" s="424"/>
      <c r="D19" s="424"/>
      <c r="E19" s="424"/>
      <c r="F19" s="424"/>
      <c r="G19" s="424"/>
      <c r="H19" s="424"/>
      <c r="I19" s="424"/>
      <c r="J19" s="424"/>
      <c r="K19" s="424"/>
      <c r="L19" s="424"/>
      <c r="M19" s="424"/>
      <c r="N19" s="424"/>
      <c r="O19" s="424"/>
      <c r="P19" s="424"/>
    </row>
    <row r="20" spans="2:16">
      <c r="B20" s="424"/>
      <c r="C20" s="424"/>
      <c r="D20" s="424"/>
      <c r="E20" s="424"/>
      <c r="F20" s="424"/>
      <c r="G20" s="424"/>
      <c r="H20" s="424"/>
      <c r="I20" s="424"/>
      <c r="J20" s="424"/>
      <c r="K20" s="424"/>
      <c r="L20" s="424"/>
      <c r="M20" s="424"/>
      <c r="N20" s="424"/>
      <c r="O20" s="424"/>
      <c r="P20" s="424"/>
    </row>
    <row r="21" spans="2:16">
      <c r="B21" s="424"/>
      <c r="C21" s="424"/>
      <c r="D21" s="424"/>
      <c r="E21" s="424"/>
      <c r="F21" s="424"/>
      <c r="G21" s="424"/>
      <c r="H21" s="424"/>
      <c r="I21" s="424"/>
      <c r="J21" s="424"/>
      <c r="K21" s="424"/>
      <c r="L21" s="424"/>
      <c r="M21" s="424"/>
      <c r="N21" s="424"/>
      <c r="O21" s="424"/>
      <c r="P21" s="424"/>
    </row>
    <row r="22" spans="2:16">
      <c r="B22" s="424"/>
      <c r="C22" s="424"/>
      <c r="D22" s="424"/>
      <c r="E22" s="424"/>
      <c r="F22" s="424"/>
      <c r="G22" s="424"/>
      <c r="H22" s="424"/>
      <c r="I22" s="424"/>
      <c r="J22" s="424"/>
      <c r="K22" s="424"/>
      <c r="L22" s="424"/>
      <c r="M22" s="424"/>
      <c r="N22" s="424"/>
      <c r="O22" s="424"/>
      <c r="P22" s="424"/>
    </row>
    <row r="23" spans="2:16">
      <c r="B23" s="424"/>
      <c r="C23" s="424"/>
      <c r="D23" s="424"/>
      <c r="E23" s="424"/>
      <c r="F23" s="424"/>
      <c r="G23" s="424"/>
      <c r="H23" s="424"/>
      <c r="I23" s="424"/>
      <c r="J23" s="424"/>
      <c r="K23" s="424"/>
      <c r="L23" s="424"/>
      <c r="M23" s="424"/>
      <c r="N23" s="424"/>
      <c r="O23" s="424"/>
      <c r="P23" s="424"/>
    </row>
    <row r="24" spans="2:16">
      <c r="B24" s="424"/>
      <c r="C24" s="424"/>
      <c r="D24" s="424"/>
      <c r="E24" s="424"/>
      <c r="F24" s="424"/>
      <c r="G24" s="424"/>
      <c r="H24" s="424"/>
      <c r="I24" s="424"/>
      <c r="J24" s="424"/>
      <c r="K24" s="424"/>
      <c r="L24" s="424"/>
      <c r="M24" s="424"/>
      <c r="N24" s="424"/>
      <c r="O24" s="424"/>
      <c r="P24" s="424"/>
    </row>
    <row r="25" spans="2:16">
      <c r="B25" s="424"/>
      <c r="C25" s="424"/>
      <c r="D25" s="424"/>
      <c r="E25" s="424"/>
      <c r="F25" s="424"/>
      <c r="G25" s="424"/>
      <c r="H25" s="424"/>
      <c r="I25" s="424"/>
      <c r="J25" s="424"/>
      <c r="K25" s="424"/>
      <c r="L25" s="424"/>
      <c r="M25" s="424"/>
      <c r="N25" s="424"/>
      <c r="O25" s="424"/>
      <c r="P25" s="424"/>
    </row>
    <row r="26" spans="2:16">
      <c r="B26" s="424"/>
      <c r="C26" s="424"/>
      <c r="D26" s="424"/>
      <c r="E26" s="424"/>
      <c r="F26" s="424"/>
      <c r="G26" s="424"/>
      <c r="H26" s="424"/>
      <c r="I26" s="424"/>
      <c r="J26" s="424"/>
      <c r="K26" s="424"/>
      <c r="L26" s="424"/>
      <c r="M26" s="424"/>
      <c r="N26" s="424"/>
      <c r="O26" s="424"/>
      <c r="P26" s="424"/>
    </row>
    <row r="27" spans="2:16">
      <c r="B27" s="424"/>
      <c r="C27" s="424"/>
      <c r="D27" s="424"/>
      <c r="E27" s="424"/>
      <c r="F27" s="424"/>
      <c r="G27" s="424"/>
      <c r="H27" s="424"/>
      <c r="I27" s="424"/>
      <c r="J27" s="424"/>
      <c r="K27" s="424"/>
      <c r="L27" s="424"/>
      <c r="M27" s="424"/>
      <c r="N27" s="424"/>
      <c r="O27" s="424"/>
      <c r="P27" s="424"/>
    </row>
    <row r="28" spans="2:16">
      <c r="B28" s="73"/>
      <c r="C28" s="73"/>
      <c r="D28" s="73"/>
      <c r="E28" s="73"/>
      <c r="F28" s="73"/>
      <c r="G28" s="73"/>
      <c r="H28" s="73"/>
      <c r="I28" s="73"/>
      <c r="J28" s="73"/>
      <c r="K28" s="73"/>
      <c r="L28" s="73"/>
      <c r="M28" s="73"/>
      <c r="N28" s="73"/>
      <c r="O28" s="73"/>
      <c r="P28" s="73"/>
    </row>
    <row r="29" spans="2:16">
      <c r="B29" s="73"/>
      <c r="C29" s="73"/>
      <c r="D29" s="73"/>
      <c r="E29" s="73"/>
      <c r="F29" s="73"/>
      <c r="G29" s="73"/>
      <c r="H29" s="73"/>
      <c r="I29" s="73"/>
      <c r="J29" s="73"/>
      <c r="K29" s="73"/>
      <c r="L29" s="73"/>
      <c r="M29" s="73"/>
      <c r="N29" s="73"/>
      <c r="O29" s="73"/>
      <c r="P29" s="73"/>
    </row>
    <row r="30" spans="2:16">
      <c r="B30" s="73"/>
      <c r="C30" s="73"/>
      <c r="D30" s="73"/>
      <c r="E30" s="73"/>
      <c r="F30" s="73"/>
      <c r="G30" s="73"/>
      <c r="H30" s="73"/>
      <c r="I30" s="73"/>
      <c r="J30" s="73"/>
      <c r="K30" s="73"/>
      <c r="L30" s="73"/>
      <c r="M30" s="73"/>
      <c r="N30" s="73"/>
      <c r="O30" s="73"/>
      <c r="P30" s="73"/>
    </row>
    <row r="31" spans="2:16">
      <c r="B31" s="73"/>
      <c r="C31" s="73"/>
      <c r="D31" s="73"/>
      <c r="E31" s="73"/>
      <c r="F31" s="73"/>
      <c r="G31" s="73"/>
      <c r="H31" s="73"/>
      <c r="I31" s="73"/>
      <c r="J31" s="73"/>
      <c r="K31" s="73"/>
      <c r="L31" s="73"/>
      <c r="M31" s="73"/>
      <c r="N31" s="73"/>
      <c r="O31" s="73"/>
      <c r="P31" s="73"/>
    </row>
    <row r="32" spans="2:16">
      <c r="B32" s="73"/>
      <c r="C32" s="73"/>
      <c r="D32" s="73"/>
      <c r="E32" s="73"/>
      <c r="F32" s="73"/>
      <c r="G32" s="73"/>
      <c r="H32" s="73"/>
      <c r="I32" s="73"/>
      <c r="J32" s="73"/>
      <c r="K32" s="73"/>
      <c r="L32" s="73"/>
      <c r="M32" s="73"/>
      <c r="N32" s="73"/>
      <c r="O32" s="73"/>
      <c r="P32" s="73"/>
    </row>
    <row r="33" spans="2:16">
      <c r="B33" s="73"/>
      <c r="C33" s="73"/>
      <c r="D33" s="73"/>
      <c r="E33" s="73"/>
      <c r="F33" s="73"/>
      <c r="G33" s="73"/>
      <c r="H33" s="73"/>
      <c r="I33" s="73"/>
      <c r="J33" s="73"/>
      <c r="K33" s="73"/>
      <c r="L33" s="73"/>
      <c r="M33" s="73"/>
      <c r="N33" s="73"/>
      <c r="O33" s="73"/>
      <c r="P33" s="73"/>
    </row>
    <row r="34" spans="2:16">
      <c r="B34" s="73"/>
      <c r="C34" s="73"/>
      <c r="D34" s="73"/>
      <c r="E34" s="73"/>
      <c r="F34" s="73"/>
      <c r="G34" s="73"/>
      <c r="H34" s="73"/>
      <c r="I34" s="73"/>
      <c r="J34" s="73"/>
      <c r="K34" s="73"/>
      <c r="L34" s="73"/>
      <c r="M34" s="73"/>
      <c r="N34" s="73"/>
      <c r="O34" s="73"/>
      <c r="P34" s="73"/>
    </row>
    <row r="35" spans="2:16">
      <c r="B35" s="73"/>
      <c r="C35" s="73"/>
      <c r="D35" s="73"/>
      <c r="E35" s="73"/>
      <c r="F35" s="73"/>
      <c r="G35" s="73"/>
      <c r="H35" s="73"/>
      <c r="I35" s="73"/>
      <c r="J35" s="73"/>
      <c r="K35" s="73"/>
      <c r="L35" s="73"/>
      <c r="M35" s="73"/>
      <c r="N35" s="73"/>
      <c r="O35" s="73"/>
      <c r="P35" s="73"/>
    </row>
    <row r="36" spans="2:16">
      <c r="B36" s="73"/>
      <c r="C36" s="73"/>
      <c r="D36" s="73"/>
      <c r="E36" s="73"/>
      <c r="F36" s="73"/>
      <c r="G36" s="73"/>
      <c r="H36" s="73"/>
      <c r="I36" s="73"/>
      <c r="J36" s="73"/>
      <c r="K36" s="73"/>
      <c r="L36" s="73"/>
      <c r="M36" s="73"/>
      <c r="N36" s="73"/>
      <c r="O36" s="73"/>
      <c r="P36" s="73"/>
    </row>
  </sheetData>
  <mergeCells count="2">
    <mergeCell ref="B2:P2"/>
    <mergeCell ref="B4:P2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F2F52-F7BD-4F01-9ADA-350D2C60C1E2}">
  <sheetPr codeName="Sheet34"/>
  <dimension ref="B2:P32"/>
  <sheetViews>
    <sheetView showGridLines="0" workbookViewId="0">
      <selection activeCell="B2" sqref="B2:P2"/>
    </sheetView>
  </sheetViews>
  <sheetFormatPr defaultRowHeight="13.2"/>
  <sheetData>
    <row r="2" spans="2:16" ht="14.4">
      <c r="B2" s="462" t="str">
        <f>"BCG Matrix Analysis"&amp;" - "&amp;BS!$B$2</f>
        <v>BCG Matrix Analysis - Ismail Industries Limited</v>
      </c>
      <c r="C2" s="462"/>
      <c r="D2" s="462"/>
      <c r="E2" s="462"/>
      <c r="F2" s="462"/>
      <c r="G2" s="462"/>
      <c r="H2" s="462"/>
      <c r="I2" s="462"/>
      <c r="J2" s="462"/>
      <c r="K2" s="462"/>
      <c r="L2" s="462"/>
      <c r="M2" s="462"/>
      <c r="N2" s="462"/>
      <c r="O2" s="462"/>
      <c r="P2" s="462"/>
    </row>
    <row r="4" spans="2:16">
      <c r="B4" s="464" t="s">
        <v>334</v>
      </c>
      <c r="C4" s="464"/>
      <c r="D4" s="464"/>
      <c r="E4" s="464"/>
      <c r="F4" s="464"/>
      <c r="G4" s="464"/>
      <c r="H4" s="464"/>
      <c r="I4" s="464"/>
      <c r="J4" s="464"/>
      <c r="K4" s="464"/>
      <c r="L4" s="464"/>
      <c r="M4" s="464"/>
      <c r="N4" s="464"/>
      <c r="O4" s="464"/>
      <c r="P4" s="464"/>
    </row>
    <row r="5" spans="2:16">
      <c r="B5" s="464"/>
      <c r="C5" s="464"/>
      <c r="D5" s="464"/>
      <c r="E5" s="464"/>
      <c r="F5" s="464"/>
      <c r="G5" s="464"/>
      <c r="H5" s="464"/>
      <c r="I5" s="464"/>
      <c r="J5" s="464"/>
      <c r="K5" s="464"/>
      <c r="L5" s="464"/>
      <c r="M5" s="464"/>
      <c r="N5" s="464"/>
      <c r="O5" s="464"/>
      <c r="P5" s="464"/>
    </row>
    <row r="6" spans="2:16">
      <c r="B6" s="464"/>
      <c r="C6" s="464"/>
      <c r="D6" s="464"/>
      <c r="E6" s="464"/>
      <c r="F6" s="464"/>
      <c r="G6" s="464"/>
      <c r="H6" s="464"/>
      <c r="I6" s="464"/>
      <c r="J6" s="464"/>
      <c r="K6" s="464"/>
      <c r="L6" s="464"/>
      <c r="M6" s="464"/>
      <c r="N6" s="464"/>
      <c r="O6" s="464"/>
      <c r="P6" s="464"/>
    </row>
    <row r="7" spans="2:16">
      <c r="B7" s="464"/>
      <c r="C7" s="464"/>
      <c r="D7" s="464"/>
      <c r="E7" s="464"/>
      <c r="F7" s="464"/>
      <c r="G7" s="464"/>
      <c r="H7" s="464"/>
      <c r="I7" s="464"/>
      <c r="J7" s="464"/>
      <c r="K7" s="464"/>
      <c r="L7" s="464"/>
      <c r="M7" s="464"/>
      <c r="N7" s="464"/>
      <c r="O7" s="464"/>
      <c r="P7" s="464"/>
    </row>
    <row r="8" spans="2:16">
      <c r="B8" s="464"/>
      <c r="C8" s="464"/>
      <c r="D8" s="464"/>
      <c r="E8" s="464"/>
      <c r="F8" s="464"/>
      <c r="G8" s="464"/>
      <c r="H8" s="464"/>
      <c r="I8" s="464"/>
      <c r="J8" s="464"/>
      <c r="K8" s="464"/>
      <c r="L8" s="464"/>
      <c r="M8" s="464"/>
      <c r="N8" s="464"/>
      <c r="O8" s="464"/>
      <c r="P8" s="464"/>
    </row>
    <row r="9" spans="2:16">
      <c r="B9" s="464"/>
      <c r="C9" s="464"/>
      <c r="D9" s="464"/>
      <c r="E9" s="464"/>
      <c r="F9" s="464"/>
      <c r="G9" s="464"/>
      <c r="H9" s="464"/>
      <c r="I9" s="464"/>
      <c r="J9" s="464"/>
      <c r="K9" s="464"/>
      <c r="L9" s="464"/>
      <c r="M9" s="464"/>
      <c r="N9" s="464"/>
      <c r="O9" s="464"/>
      <c r="P9" s="464"/>
    </row>
    <row r="10" spans="2:16">
      <c r="B10" s="464"/>
      <c r="C10" s="464"/>
      <c r="D10" s="464"/>
      <c r="E10" s="464"/>
      <c r="F10" s="464"/>
      <c r="G10" s="464"/>
      <c r="H10" s="464"/>
      <c r="I10" s="464"/>
      <c r="J10" s="464"/>
      <c r="K10" s="464"/>
      <c r="L10" s="464"/>
      <c r="M10" s="464"/>
      <c r="N10" s="464"/>
      <c r="O10" s="464"/>
      <c r="P10" s="464"/>
    </row>
    <row r="11" spans="2:16">
      <c r="B11" s="464"/>
      <c r="C11" s="464"/>
      <c r="D11" s="464"/>
      <c r="E11" s="464"/>
      <c r="F11" s="464"/>
      <c r="G11" s="464"/>
      <c r="H11" s="464"/>
      <c r="I11" s="464"/>
      <c r="J11" s="464"/>
      <c r="K11" s="464"/>
      <c r="L11" s="464"/>
      <c r="M11" s="464"/>
      <c r="N11" s="464"/>
      <c r="O11" s="464"/>
      <c r="P11" s="464"/>
    </row>
    <row r="12" spans="2:16">
      <c r="B12" s="464"/>
      <c r="C12" s="464"/>
      <c r="D12" s="464"/>
      <c r="E12" s="464"/>
      <c r="F12" s="464"/>
      <c r="G12" s="464"/>
      <c r="H12" s="464"/>
      <c r="I12" s="464"/>
      <c r="J12" s="464"/>
      <c r="K12" s="464"/>
      <c r="L12" s="464"/>
      <c r="M12" s="464"/>
      <c r="N12" s="464"/>
      <c r="O12" s="464"/>
      <c r="P12" s="464"/>
    </row>
    <row r="13" spans="2:16">
      <c r="B13" s="464"/>
      <c r="C13" s="464"/>
      <c r="D13" s="464"/>
      <c r="E13" s="464"/>
      <c r="F13" s="464"/>
      <c r="G13" s="464"/>
      <c r="H13" s="464"/>
      <c r="I13" s="464"/>
      <c r="J13" s="464"/>
      <c r="K13" s="464"/>
      <c r="L13" s="464"/>
      <c r="M13" s="464"/>
      <c r="N13" s="464"/>
      <c r="O13" s="464"/>
      <c r="P13" s="464"/>
    </row>
    <row r="14" spans="2:16">
      <c r="B14" s="464"/>
      <c r="C14" s="464"/>
      <c r="D14" s="464"/>
      <c r="E14" s="464"/>
      <c r="F14" s="464"/>
      <c r="G14" s="464"/>
      <c r="H14" s="464"/>
      <c r="I14" s="464"/>
      <c r="J14" s="464"/>
      <c r="K14" s="464"/>
      <c r="L14" s="464"/>
      <c r="M14" s="464"/>
      <c r="N14" s="464"/>
      <c r="O14" s="464"/>
      <c r="P14" s="464"/>
    </row>
    <row r="15" spans="2:16">
      <c r="B15" s="464"/>
      <c r="C15" s="464"/>
      <c r="D15" s="464"/>
      <c r="E15" s="464"/>
      <c r="F15" s="464"/>
      <c r="G15" s="464"/>
      <c r="H15" s="464"/>
      <c r="I15" s="464"/>
      <c r="J15" s="464"/>
      <c r="K15" s="464"/>
      <c r="L15" s="464"/>
      <c r="M15" s="464"/>
      <c r="N15" s="464"/>
      <c r="O15" s="464"/>
      <c r="P15" s="464"/>
    </row>
    <row r="16" spans="2:16">
      <c r="B16" s="464"/>
      <c r="C16" s="464"/>
      <c r="D16" s="464"/>
      <c r="E16" s="464"/>
      <c r="F16" s="464"/>
      <c r="G16" s="464"/>
      <c r="H16" s="464"/>
      <c r="I16" s="464"/>
      <c r="J16" s="464"/>
      <c r="K16" s="464"/>
      <c r="L16" s="464"/>
      <c r="M16" s="464"/>
      <c r="N16" s="464"/>
      <c r="O16" s="464"/>
      <c r="P16" s="464"/>
    </row>
    <row r="17" spans="2:16">
      <c r="B17" s="464"/>
      <c r="C17" s="464"/>
      <c r="D17" s="464"/>
      <c r="E17" s="464"/>
      <c r="F17" s="464"/>
      <c r="G17" s="464"/>
      <c r="H17" s="464"/>
      <c r="I17" s="464"/>
      <c r="J17" s="464"/>
      <c r="K17" s="464"/>
      <c r="L17" s="464"/>
      <c r="M17" s="464"/>
      <c r="N17" s="464"/>
      <c r="O17" s="464"/>
      <c r="P17" s="464"/>
    </row>
    <row r="18" spans="2:16">
      <c r="B18" s="464"/>
      <c r="C18" s="464"/>
      <c r="D18" s="464"/>
      <c r="E18" s="464"/>
      <c r="F18" s="464"/>
      <c r="G18" s="464"/>
      <c r="H18" s="464"/>
      <c r="I18" s="464"/>
      <c r="J18" s="464"/>
      <c r="K18" s="464"/>
      <c r="L18" s="464"/>
      <c r="M18" s="464"/>
      <c r="N18" s="464"/>
      <c r="O18" s="464"/>
      <c r="P18" s="464"/>
    </row>
    <row r="19" spans="2:16">
      <c r="B19" s="464"/>
      <c r="C19" s="464"/>
      <c r="D19" s="464"/>
      <c r="E19" s="464"/>
      <c r="F19" s="464"/>
      <c r="G19" s="464"/>
      <c r="H19" s="464"/>
      <c r="I19" s="464"/>
      <c r="J19" s="464"/>
      <c r="K19" s="464"/>
      <c r="L19" s="464"/>
      <c r="M19" s="464"/>
      <c r="N19" s="464"/>
      <c r="O19" s="464"/>
      <c r="P19" s="464"/>
    </row>
    <row r="20" spans="2:16">
      <c r="B20" s="464"/>
      <c r="C20" s="464"/>
      <c r="D20" s="464"/>
      <c r="E20" s="464"/>
      <c r="F20" s="464"/>
      <c r="G20" s="464"/>
      <c r="H20" s="464"/>
      <c r="I20" s="464"/>
      <c r="J20" s="464"/>
      <c r="K20" s="464"/>
      <c r="L20" s="464"/>
      <c r="M20" s="464"/>
      <c r="N20" s="464"/>
      <c r="O20" s="464"/>
      <c r="P20" s="464"/>
    </row>
    <row r="21" spans="2:16">
      <c r="B21" s="464"/>
      <c r="C21" s="464"/>
      <c r="D21" s="464"/>
      <c r="E21" s="464"/>
      <c r="F21" s="464"/>
      <c r="G21" s="464"/>
      <c r="H21" s="464"/>
      <c r="I21" s="464"/>
      <c r="J21" s="464"/>
      <c r="K21" s="464"/>
      <c r="L21" s="464"/>
      <c r="M21" s="464"/>
      <c r="N21" s="464"/>
      <c r="O21" s="464"/>
      <c r="P21" s="464"/>
    </row>
    <row r="22" spans="2:16">
      <c r="B22" s="464"/>
      <c r="C22" s="464"/>
      <c r="D22" s="464"/>
      <c r="E22" s="464"/>
      <c r="F22" s="464"/>
      <c r="G22" s="464"/>
      <c r="H22" s="464"/>
      <c r="I22" s="464"/>
      <c r="J22" s="464"/>
      <c r="K22" s="464"/>
      <c r="L22" s="464"/>
      <c r="M22" s="464"/>
      <c r="N22" s="464"/>
      <c r="O22" s="464"/>
      <c r="P22" s="464"/>
    </row>
    <row r="23" spans="2:16">
      <c r="B23" s="464"/>
      <c r="C23" s="464"/>
      <c r="D23" s="464"/>
      <c r="E23" s="464"/>
      <c r="F23" s="464"/>
      <c r="G23" s="464"/>
      <c r="H23" s="464"/>
      <c r="I23" s="464"/>
      <c r="J23" s="464"/>
      <c r="K23" s="464"/>
      <c r="L23" s="464"/>
      <c r="M23" s="464"/>
      <c r="N23" s="464"/>
      <c r="O23" s="464"/>
      <c r="P23" s="464"/>
    </row>
    <row r="24" spans="2:16">
      <c r="B24" s="464"/>
      <c r="C24" s="464"/>
      <c r="D24" s="464"/>
      <c r="E24" s="464"/>
      <c r="F24" s="464"/>
      <c r="G24" s="464"/>
      <c r="H24" s="464"/>
      <c r="I24" s="464"/>
      <c r="J24" s="464"/>
      <c r="K24" s="464"/>
      <c r="L24" s="464"/>
      <c r="M24" s="464"/>
      <c r="N24" s="464"/>
      <c r="O24" s="464"/>
      <c r="P24" s="464"/>
    </row>
    <row r="25" spans="2:16">
      <c r="B25" s="464"/>
      <c r="C25" s="464"/>
      <c r="D25" s="464"/>
      <c r="E25" s="464"/>
      <c r="F25" s="464"/>
      <c r="G25" s="464"/>
      <c r="H25" s="464"/>
      <c r="I25" s="464"/>
      <c r="J25" s="464"/>
      <c r="K25" s="464"/>
      <c r="L25" s="464"/>
      <c r="M25" s="464"/>
      <c r="N25" s="464"/>
      <c r="O25" s="464"/>
      <c r="P25" s="464"/>
    </row>
    <row r="26" spans="2:16">
      <c r="B26" s="464"/>
      <c r="C26" s="464"/>
      <c r="D26" s="464"/>
      <c r="E26" s="464"/>
      <c r="F26" s="464"/>
      <c r="G26" s="464"/>
      <c r="H26" s="464"/>
      <c r="I26" s="464"/>
      <c r="J26" s="464"/>
      <c r="K26" s="464"/>
      <c r="L26" s="464"/>
      <c r="M26" s="464"/>
      <c r="N26" s="464"/>
      <c r="O26" s="464"/>
      <c r="P26" s="464"/>
    </row>
    <row r="27" spans="2:16">
      <c r="B27" s="464"/>
      <c r="C27" s="464"/>
      <c r="D27" s="464"/>
      <c r="E27" s="464"/>
      <c r="F27" s="464"/>
      <c r="G27" s="464"/>
      <c r="H27" s="464"/>
      <c r="I27" s="464"/>
      <c r="J27" s="464"/>
      <c r="K27" s="464"/>
      <c r="L27" s="464"/>
      <c r="M27" s="464"/>
      <c r="N27" s="464"/>
      <c r="O27" s="464"/>
      <c r="P27" s="464"/>
    </row>
    <row r="28" spans="2:16">
      <c r="B28" s="464"/>
      <c r="C28" s="464"/>
      <c r="D28" s="464"/>
      <c r="E28" s="464"/>
      <c r="F28" s="464"/>
      <c r="G28" s="464"/>
      <c r="H28" s="464"/>
      <c r="I28" s="464"/>
      <c r="J28" s="464"/>
      <c r="K28" s="464"/>
      <c r="L28" s="464"/>
      <c r="M28" s="464"/>
      <c r="N28" s="464"/>
      <c r="O28" s="464"/>
      <c r="P28" s="464"/>
    </row>
    <row r="29" spans="2:16">
      <c r="B29" s="464"/>
      <c r="C29" s="464"/>
      <c r="D29" s="464"/>
      <c r="E29" s="464"/>
      <c r="F29" s="464"/>
      <c r="G29" s="464"/>
      <c r="H29" s="464"/>
      <c r="I29" s="464"/>
      <c r="J29" s="464"/>
      <c r="K29" s="464"/>
      <c r="L29" s="464"/>
      <c r="M29" s="464"/>
      <c r="N29" s="464"/>
      <c r="O29" s="464"/>
      <c r="P29" s="464"/>
    </row>
    <row r="30" spans="2:16">
      <c r="B30" s="464"/>
      <c r="C30" s="464"/>
      <c r="D30" s="464"/>
      <c r="E30" s="464"/>
      <c r="F30" s="464"/>
      <c r="G30" s="464"/>
      <c r="H30" s="464"/>
      <c r="I30" s="464"/>
      <c r="J30" s="464"/>
      <c r="K30" s="464"/>
      <c r="L30" s="464"/>
      <c r="M30" s="464"/>
      <c r="N30" s="464"/>
      <c r="O30" s="464"/>
      <c r="P30" s="464"/>
    </row>
    <row r="31" spans="2:16">
      <c r="B31" s="464"/>
      <c r="C31" s="464"/>
      <c r="D31" s="464"/>
      <c r="E31" s="464"/>
      <c r="F31" s="464"/>
      <c r="G31" s="464"/>
      <c r="H31" s="464"/>
      <c r="I31" s="464"/>
      <c r="J31" s="464"/>
      <c r="K31" s="464"/>
      <c r="L31" s="464"/>
      <c r="M31" s="464"/>
      <c r="N31" s="464"/>
      <c r="O31" s="464"/>
      <c r="P31" s="464"/>
    </row>
    <row r="32" spans="2:16">
      <c r="B32" s="464"/>
      <c r="C32" s="464"/>
      <c r="D32" s="464"/>
      <c r="E32" s="464"/>
      <c r="F32" s="464"/>
      <c r="G32" s="464"/>
      <c r="H32" s="464"/>
      <c r="I32" s="464"/>
      <c r="J32" s="464"/>
      <c r="K32" s="464"/>
      <c r="L32" s="464"/>
      <c r="M32" s="464"/>
      <c r="N32" s="464"/>
      <c r="O32" s="464"/>
      <c r="P32" s="464"/>
    </row>
  </sheetData>
  <mergeCells count="2">
    <mergeCell ref="B4:P32"/>
    <mergeCell ref="B2:P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E3CE7-7FF3-48B5-923F-3517B8E64325}">
  <sheetPr codeName="Sheet35"/>
  <dimension ref="B2:P39"/>
  <sheetViews>
    <sheetView showGridLines="0" topLeftCell="A16" workbookViewId="0">
      <selection activeCell="B39" sqref="B39"/>
    </sheetView>
  </sheetViews>
  <sheetFormatPr defaultRowHeight="13.2"/>
  <sheetData>
    <row r="2" spans="2:16" ht="14.4">
      <c r="B2" s="462" t="str">
        <f>"Moat Analysis"&amp;" - "&amp;BS!$B$2</f>
        <v>Moat Analysis - Ismail Industries Limited</v>
      </c>
      <c r="C2" s="462"/>
      <c r="D2" s="462"/>
      <c r="E2" s="462"/>
      <c r="F2" s="462"/>
      <c r="G2" s="462"/>
      <c r="H2" s="462"/>
      <c r="I2" s="462"/>
      <c r="J2" s="462"/>
      <c r="K2" s="462"/>
      <c r="L2" s="462"/>
      <c r="M2" s="462"/>
      <c r="N2" s="462"/>
      <c r="O2" s="462"/>
      <c r="P2" s="462"/>
    </row>
    <row r="4" spans="2:16" ht="13.2" customHeight="1">
      <c r="B4" s="424" t="s">
        <v>332</v>
      </c>
      <c r="C4" s="424"/>
      <c r="D4" s="424"/>
      <c r="E4" s="424"/>
      <c r="F4" s="424"/>
      <c r="G4" s="424"/>
      <c r="H4" s="424"/>
      <c r="I4" s="424"/>
      <c r="J4" s="424"/>
      <c r="K4" s="424"/>
      <c r="L4" s="424"/>
      <c r="M4" s="424"/>
      <c r="N4" s="424"/>
      <c r="O4" s="424"/>
      <c r="P4" s="424"/>
    </row>
    <row r="5" spans="2:16" ht="13.2" customHeight="1">
      <c r="B5" s="424"/>
      <c r="C5" s="424"/>
      <c r="D5" s="424"/>
      <c r="E5" s="424"/>
      <c r="F5" s="424"/>
      <c r="G5" s="424"/>
      <c r="H5" s="424"/>
      <c r="I5" s="424"/>
      <c r="J5" s="424"/>
      <c r="K5" s="424"/>
      <c r="L5" s="424"/>
      <c r="M5" s="424"/>
      <c r="N5" s="424"/>
      <c r="O5" s="424"/>
      <c r="P5" s="424"/>
    </row>
    <row r="6" spans="2:16" ht="13.2" customHeight="1">
      <c r="B6" s="424"/>
      <c r="C6" s="424"/>
      <c r="D6" s="424"/>
      <c r="E6" s="424"/>
      <c r="F6" s="424"/>
      <c r="G6" s="424"/>
      <c r="H6" s="424"/>
      <c r="I6" s="424"/>
      <c r="J6" s="424"/>
      <c r="K6" s="424"/>
      <c r="L6" s="424"/>
      <c r="M6" s="424"/>
      <c r="N6" s="424"/>
      <c r="O6" s="424"/>
      <c r="P6" s="424"/>
    </row>
    <row r="7" spans="2:16" ht="13.2" customHeight="1">
      <c r="B7" s="424"/>
      <c r="C7" s="424"/>
      <c r="D7" s="424"/>
      <c r="E7" s="424"/>
      <c r="F7" s="424"/>
      <c r="G7" s="424"/>
      <c r="H7" s="424"/>
      <c r="I7" s="424"/>
      <c r="J7" s="424"/>
      <c r="K7" s="424"/>
      <c r="L7" s="424"/>
      <c r="M7" s="424"/>
      <c r="N7" s="424"/>
      <c r="O7" s="424"/>
      <c r="P7" s="424"/>
    </row>
    <row r="8" spans="2:16" ht="13.2" customHeight="1">
      <c r="B8" s="424"/>
      <c r="C8" s="424"/>
      <c r="D8" s="424"/>
      <c r="E8" s="424"/>
      <c r="F8" s="424"/>
      <c r="G8" s="424"/>
      <c r="H8" s="424"/>
      <c r="I8" s="424"/>
      <c r="J8" s="424"/>
      <c r="K8" s="424"/>
      <c r="L8" s="424"/>
      <c r="M8" s="424"/>
      <c r="N8" s="424"/>
      <c r="O8" s="424"/>
      <c r="P8" s="424"/>
    </row>
    <row r="9" spans="2:16" ht="13.2" customHeight="1">
      <c r="B9" s="424"/>
      <c r="C9" s="424"/>
      <c r="D9" s="424"/>
      <c r="E9" s="424"/>
      <c r="F9" s="424"/>
      <c r="G9" s="424"/>
      <c r="H9" s="424"/>
      <c r="I9" s="424"/>
      <c r="J9" s="424"/>
      <c r="K9" s="424"/>
      <c r="L9" s="424"/>
      <c r="M9" s="424"/>
      <c r="N9" s="424"/>
      <c r="O9" s="424"/>
      <c r="P9" s="424"/>
    </row>
    <row r="10" spans="2:16" ht="13.2" customHeight="1">
      <c r="B10" s="424"/>
      <c r="C10" s="424"/>
      <c r="D10" s="424"/>
      <c r="E10" s="424"/>
      <c r="F10" s="424"/>
      <c r="G10" s="424"/>
      <c r="H10" s="424"/>
      <c r="I10" s="424"/>
      <c r="J10" s="424"/>
      <c r="K10" s="424"/>
      <c r="L10" s="424"/>
      <c r="M10" s="424"/>
      <c r="N10" s="424"/>
      <c r="O10" s="424"/>
      <c r="P10" s="424"/>
    </row>
    <row r="11" spans="2:16" ht="13.2" customHeight="1">
      <c r="B11" s="424"/>
      <c r="C11" s="424"/>
      <c r="D11" s="424"/>
      <c r="E11" s="424"/>
      <c r="F11" s="424"/>
      <c r="G11" s="424"/>
      <c r="H11" s="424"/>
      <c r="I11" s="424"/>
      <c r="J11" s="424"/>
      <c r="K11" s="424"/>
      <c r="L11" s="424"/>
      <c r="M11" s="424"/>
      <c r="N11" s="424"/>
      <c r="O11" s="424"/>
      <c r="P11" s="424"/>
    </row>
    <row r="12" spans="2:16" ht="13.2" customHeight="1">
      <c r="B12" s="424"/>
      <c r="C12" s="424"/>
      <c r="D12" s="424"/>
      <c r="E12" s="424"/>
      <c r="F12" s="424"/>
      <c r="G12" s="424"/>
      <c r="H12" s="424"/>
      <c r="I12" s="424"/>
      <c r="J12" s="424"/>
      <c r="K12" s="424"/>
      <c r="L12" s="424"/>
      <c r="M12" s="424"/>
      <c r="N12" s="424"/>
      <c r="O12" s="424"/>
      <c r="P12" s="424"/>
    </row>
    <row r="13" spans="2:16" ht="13.2" customHeight="1">
      <c r="B13" s="424"/>
      <c r="C13" s="424"/>
      <c r="D13" s="424"/>
      <c r="E13" s="424"/>
      <c r="F13" s="424"/>
      <c r="G13" s="424"/>
      <c r="H13" s="424"/>
      <c r="I13" s="424"/>
      <c r="J13" s="424"/>
      <c r="K13" s="424"/>
      <c r="L13" s="424"/>
      <c r="M13" s="424"/>
      <c r="N13" s="424"/>
      <c r="O13" s="424"/>
      <c r="P13" s="424"/>
    </row>
    <row r="14" spans="2:16" ht="13.2" customHeight="1">
      <c r="B14" s="424"/>
      <c r="C14" s="424"/>
      <c r="D14" s="424"/>
      <c r="E14" s="424"/>
      <c r="F14" s="424"/>
      <c r="G14" s="424"/>
      <c r="H14" s="424"/>
      <c r="I14" s="424"/>
      <c r="J14" s="424"/>
      <c r="K14" s="424"/>
      <c r="L14" s="424"/>
      <c r="M14" s="424"/>
      <c r="N14" s="424"/>
      <c r="O14" s="424"/>
      <c r="P14" s="424"/>
    </row>
    <row r="15" spans="2:16" ht="13.2" customHeight="1">
      <c r="B15" s="424"/>
      <c r="C15" s="424"/>
      <c r="D15" s="424"/>
      <c r="E15" s="424"/>
      <c r="F15" s="424"/>
      <c r="G15" s="424"/>
      <c r="H15" s="424"/>
      <c r="I15" s="424"/>
      <c r="J15" s="424"/>
      <c r="K15" s="424"/>
      <c r="L15" s="424"/>
      <c r="M15" s="424"/>
      <c r="N15" s="424"/>
      <c r="O15" s="424"/>
      <c r="P15" s="424"/>
    </row>
    <row r="16" spans="2:16" ht="13.2" customHeight="1">
      <c r="B16" s="424"/>
      <c r="C16" s="424"/>
      <c r="D16" s="424"/>
      <c r="E16" s="424"/>
      <c r="F16" s="424"/>
      <c r="G16" s="424"/>
      <c r="H16" s="424"/>
      <c r="I16" s="424"/>
      <c r="J16" s="424"/>
      <c r="K16" s="424"/>
      <c r="L16" s="424"/>
      <c r="M16" s="424"/>
      <c r="N16" s="424"/>
      <c r="O16" s="424"/>
      <c r="P16" s="424"/>
    </row>
    <row r="17" spans="2:16" ht="13.2" customHeight="1">
      <c r="B17" s="424"/>
      <c r="C17" s="424"/>
      <c r="D17" s="424"/>
      <c r="E17" s="424"/>
      <c r="F17" s="424"/>
      <c r="G17" s="424"/>
      <c r="H17" s="424"/>
      <c r="I17" s="424"/>
      <c r="J17" s="424"/>
      <c r="K17" s="424"/>
      <c r="L17" s="424"/>
      <c r="M17" s="424"/>
      <c r="N17" s="424"/>
      <c r="O17" s="424"/>
      <c r="P17" s="424"/>
    </row>
    <row r="18" spans="2:16" ht="13.2" customHeight="1">
      <c r="B18" s="424"/>
      <c r="C18" s="424"/>
      <c r="D18" s="424"/>
      <c r="E18" s="424"/>
      <c r="F18" s="424"/>
      <c r="G18" s="424"/>
      <c r="H18" s="424"/>
      <c r="I18" s="424"/>
      <c r="J18" s="424"/>
      <c r="K18" s="424"/>
      <c r="L18" s="424"/>
      <c r="M18" s="424"/>
      <c r="N18" s="424"/>
      <c r="O18" s="424"/>
      <c r="P18" s="424"/>
    </row>
    <row r="19" spans="2:16" ht="13.2" customHeight="1">
      <c r="B19" s="424"/>
      <c r="C19" s="424"/>
      <c r="D19" s="424"/>
      <c r="E19" s="424"/>
      <c r="F19" s="424"/>
      <c r="G19" s="424"/>
      <c r="H19" s="424"/>
      <c r="I19" s="424"/>
      <c r="J19" s="424"/>
      <c r="K19" s="424"/>
      <c r="L19" s="424"/>
      <c r="M19" s="424"/>
      <c r="N19" s="424"/>
      <c r="O19" s="424"/>
      <c r="P19" s="424"/>
    </row>
    <row r="20" spans="2:16" ht="13.2" customHeight="1">
      <c r="B20" s="424"/>
      <c r="C20" s="424"/>
      <c r="D20" s="424"/>
      <c r="E20" s="424"/>
      <c r="F20" s="424"/>
      <c r="G20" s="424"/>
      <c r="H20" s="424"/>
      <c r="I20" s="424"/>
      <c r="J20" s="424"/>
      <c r="K20" s="424"/>
      <c r="L20" s="424"/>
      <c r="M20" s="424"/>
      <c r="N20" s="424"/>
      <c r="O20" s="424"/>
      <c r="P20" s="424"/>
    </row>
    <row r="21" spans="2:16" ht="13.2" customHeight="1">
      <c r="B21" s="424"/>
      <c r="C21" s="424"/>
      <c r="D21" s="424"/>
      <c r="E21" s="424"/>
      <c r="F21" s="424"/>
      <c r="G21" s="424"/>
      <c r="H21" s="424"/>
      <c r="I21" s="424"/>
      <c r="J21" s="424"/>
      <c r="K21" s="424"/>
      <c r="L21" s="424"/>
      <c r="M21" s="424"/>
      <c r="N21" s="424"/>
      <c r="O21" s="424"/>
      <c r="P21" s="424"/>
    </row>
    <row r="22" spans="2:16" ht="13.2" customHeight="1">
      <c r="B22" s="424"/>
      <c r="C22" s="424"/>
      <c r="D22" s="424"/>
      <c r="E22" s="424"/>
      <c r="F22" s="424"/>
      <c r="G22" s="424"/>
      <c r="H22" s="424"/>
      <c r="I22" s="424"/>
      <c r="J22" s="424"/>
      <c r="K22" s="424"/>
      <c r="L22" s="424"/>
      <c r="M22" s="424"/>
      <c r="N22" s="424"/>
      <c r="O22" s="424"/>
      <c r="P22" s="424"/>
    </row>
    <row r="23" spans="2:16" ht="13.2" customHeight="1">
      <c r="B23" s="424"/>
      <c r="C23" s="424"/>
      <c r="D23" s="424"/>
      <c r="E23" s="424"/>
      <c r="F23" s="424"/>
      <c r="G23" s="424"/>
      <c r="H23" s="424"/>
      <c r="I23" s="424"/>
      <c r="J23" s="424"/>
      <c r="K23" s="424"/>
      <c r="L23" s="424"/>
      <c r="M23" s="424"/>
      <c r="N23" s="424"/>
      <c r="O23" s="424"/>
      <c r="P23" s="424"/>
    </row>
    <row r="24" spans="2:16" ht="13.2" customHeight="1">
      <c r="B24" s="424"/>
      <c r="C24" s="424"/>
      <c r="D24" s="424"/>
      <c r="E24" s="424"/>
      <c r="F24" s="424"/>
      <c r="G24" s="424"/>
      <c r="H24" s="424"/>
      <c r="I24" s="424"/>
      <c r="J24" s="424"/>
      <c r="K24" s="424"/>
      <c r="L24" s="424"/>
      <c r="M24" s="424"/>
      <c r="N24" s="424"/>
      <c r="O24" s="424"/>
      <c r="P24" s="424"/>
    </row>
    <row r="25" spans="2:16" ht="13.2" customHeight="1">
      <c r="B25" s="424"/>
      <c r="C25" s="424"/>
      <c r="D25" s="424"/>
      <c r="E25" s="424"/>
      <c r="F25" s="424"/>
      <c r="G25" s="424"/>
      <c r="H25" s="424"/>
      <c r="I25" s="424"/>
      <c r="J25" s="424"/>
      <c r="K25" s="424"/>
      <c r="L25" s="424"/>
      <c r="M25" s="424"/>
      <c r="N25" s="424"/>
      <c r="O25" s="424"/>
      <c r="P25" s="424"/>
    </row>
    <row r="26" spans="2:16" ht="13.2" customHeight="1">
      <c r="B26" s="424"/>
      <c r="C26" s="424"/>
      <c r="D26" s="424"/>
      <c r="E26" s="424"/>
      <c r="F26" s="424"/>
      <c r="G26" s="424"/>
      <c r="H26" s="424"/>
      <c r="I26" s="424"/>
      <c r="J26" s="424"/>
      <c r="K26" s="424"/>
      <c r="L26" s="424"/>
      <c r="M26" s="424"/>
      <c r="N26" s="424"/>
      <c r="O26" s="424"/>
      <c r="P26" s="424"/>
    </row>
    <row r="27" spans="2:16" ht="13.2" customHeight="1">
      <c r="B27" s="424"/>
      <c r="C27" s="424"/>
      <c r="D27" s="424"/>
      <c r="E27" s="424"/>
      <c r="F27" s="424"/>
      <c r="G27" s="424"/>
      <c r="H27" s="424"/>
      <c r="I27" s="424"/>
      <c r="J27" s="424"/>
      <c r="K27" s="424"/>
      <c r="L27" s="424"/>
      <c r="M27" s="424"/>
      <c r="N27" s="424"/>
      <c r="O27" s="424"/>
      <c r="P27" s="424"/>
    </row>
    <row r="28" spans="2:16" ht="13.2" customHeight="1">
      <c r="B28" s="424"/>
      <c r="C28" s="424"/>
      <c r="D28" s="424"/>
      <c r="E28" s="424"/>
      <c r="F28" s="424"/>
      <c r="G28" s="424"/>
      <c r="H28" s="424"/>
      <c r="I28" s="424"/>
      <c r="J28" s="424"/>
      <c r="K28" s="424"/>
      <c r="L28" s="424"/>
      <c r="M28" s="424"/>
      <c r="N28" s="424"/>
      <c r="O28" s="424"/>
      <c r="P28" s="424"/>
    </row>
    <row r="29" spans="2:16" ht="13.2" customHeight="1">
      <c r="B29" s="424"/>
      <c r="C29" s="424"/>
      <c r="D29" s="424"/>
      <c r="E29" s="424"/>
      <c r="F29" s="424"/>
      <c r="G29" s="424"/>
      <c r="H29" s="424"/>
      <c r="I29" s="424"/>
      <c r="J29" s="424"/>
      <c r="K29" s="424"/>
      <c r="L29" s="424"/>
      <c r="M29" s="424"/>
      <c r="N29" s="424"/>
      <c r="O29" s="424"/>
      <c r="P29" s="424"/>
    </row>
    <row r="30" spans="2:16" ht="13.2" customHeight="1">
      <c r="B30" s="424"/>
      <c r="C30" s="424"/>
      <c r="D30" s="424"/>
      <c r="E30" s="424"/>
      <c r="F30" s="424"/>
      <c r="G30" s="424"/>
      <c r="H30" s="424"/>
      <c r="I30" s="424"/>
      <c r="J30" s="424"/>
      <c r="K30" s="424"/>
      <c r="L30" s="424"/>
      <c r="M30" s="424"/>
      <c r="N30" s="424"/>
      <c r="O30" s="424"/>
      <c r="P30" s="424"/>
    </row>
    <row r="31" spans="2:16" ht="13.2" customHeight="1">
      <c r="B31" s="424"/>
      <c r="C31" s="424"/>
      <c r="D31" s="424"/>
      <c r="E31" s="424"/>
      <c r="F31" s="424"/>
      <c r="G31" s="424"/>
      <c r="H31" s="424"/>
      <c r="I31" s="424"/>
      <c r="J31" s="424"/>
      <c r="K31" s="424"/>
      <c r="L31" s="424"/>
      <c r="M31" s="424"/>
      <c r="N31" s="424"/>
      <c r="O31" s="424"/>
      <c r="P31" s="424"/>
    </row>
    <row r="32" spans="2:16" ht="13.2" customHeight="1">
      <c r="B32" s="424"/>
      <c r="C32" s="424"/>
      <c r="D32" s="424"/>
      <c r="E32" s="424"/>
      <c r="F32" s="424"/>
      <c r="G32" s="424"/>
      <c r="H32" s="424"/>
      <c r="I32" s="424"/>
      <c r="J32" s="424"/>
      <c r="K32" s="424"/>
      <c r="L32" s="424"/>
      <c r="M32" s="424"/>
      <c r="N32" s="424"/>
      <c r="O32" s="424"/>
      <c r="P32" s="424"/>
    </row>
    <row r="33" spans="2:16" ht="13.2" customHeight="1">
      <c r="B33" s="424"/>
      <c r="C33" s="424"/>
      <c r="D33" s="424"/>
      <c r="E33" s="424"/>
      <c r="F33" s="424"/>
      <c r="G33" s="424"/>
      <c r="H33" s="424"/>
      <c r="I33" s="424"/>
      <c r="J33" s="424"/>
      <c r="K33" s="424"/>
      <c r="L33" s="424"/>
      <c r="M33" s="424"/>
      <c r="N33" s="424"/>
      <c r="O33" s="424"/>
      <c r="P33" s="424"/>
    </row>
    <row r="34" spans="2:16" ht="13.2" customHeight="1">
      <c r="B34" s="424"/>
      <c r="C34" s="424"/>
      <c r="D34" s="424"/>
      <c r="E34" s="424"/>
      <c r="F34" s="424"/>
      <c r="G34" s="424"/>
      <c r="H34" s="424"/>
      <c r="I34" s="424"/>
      <c r="J34" s="424"/>
      <c r="K34" s="424"/>
      <c r="L34" s="424"/>
      <c r="M34" s="424"/>
      <c r="N34" s="424"/>
      <c r="O34" s="424"/>
      <c r="P34" s="424"/>
    </row>
    <row r="35" spans="2:16" ht="13.2" customHeight="1">
      <c r="B35" s="424"/>
      <c r="C35" s="424"/>
      <c r="D35" s="424"/>
      <c r="E35" s="424"/>
      <c r="F35" s="424"/>
      <c r="G35" s="424"/>
      <c r="H35" s="424"/>
      <c r="I35" s="424"/>
      <c r="J35" s="424"/>
      <c r="K35" s="424"/>
      <c r="L35" s="424"/>
      <c r="M35" s="424"/>
      <c r="N35" s="424"/>
      <c r="O35" s="424"/>
      <c r="P35" s="424"/>
    </row>
    <row r="36" spans="2:16" ht="13.2" customHeight="1">
      <c r="B36" s="424"/>
      <c r="C36" s="424"/>
      <c r="D36" s="424"/>
      <c r="E36" s="424"/>
      <c r="F36" s="424"/>
      <c r="G36" s="424"/>
      <c r="H36" s="424"/>
      <c r="I36" s="424"/>
      <c r="J36" s="424"/>
      <c r="K36" s="424"/>
      <c r="L36" s="424"/>
      <c r="M36" s="424"/>
      <c r="N36" s="424"/>
      <c r="O36" s="424"/>
      <c r="P36" s="424"/>
    </row>
    <row r="37" spans="2:16" ht="13.2" customHeight="1">
      <c r="B37" s="73"/>
      <c r="C37" s="73"/>
      <c r="D37" s="73"/>
      <c r="E37" s="73"/>
      <c r="F37" s="73"/>
      <c r="G37" s="73"/>
      <c r="H37" s="73"/>
      <c r="I37" s="73"/>
      <c r="J37" s="73"/>
      <c r="K37" s="73"/>
      <c r="L37" s="73"/>
      <c r="M37" s="73"/>
      <c r="N37" s="73"/>
      <c r="O37" s="73"/>
      <c r="P37" s="73"/>
    </row>
    <row r="38" spans="2:16" ht="13.2" customHeight="1">
      <c r="B38" s="73"/>
      <c r="C38" s="73"/>
      <c r="D38" s="73"/>
      <c r="E38" s="73"/>
      <c r="F38" s="73"/>
      <c r="G38" s="73"/>
      <c r="H38" s="73"/>
      <c r="I38" s="73"/>
      <c r="J38" s="73"/>
      <c r="K38" s="73"/>
      <c r="L38" s="73"/>
      <c r="M38" s="73"/>
      <c r="N38" s="73"/>
      <c r="O38" s="73"/>
      <c r="P38" s="73"/>
    </row>
    <row r="39" spans="2:16" ht="13.2" customHeight="1">
      <c r="B39" s="73"/>
      <c r="C39" s="73"/>
      <c r="D39" s="73"/>
      <c r="E39" s="73"/>
      <c r="F39" s="73"/>
      <c r="G39" s="73"/>
      <c r="H39" s="73"/>
      <c r="I39" s="73"/>
      <c r="J39" s="73"/>
      <c r="K39" s="73"/>
      <c r="L39" s="73"/>
      <c r="M39" s="73"/>
      <c r="N39" s="73"/>
      <c r="O39" s="73"/>
      <c r="P39" s="73"/>
    </row>
  </sheetData>
  <mergeCells count="2">
    <mergeCell ref="B2:P2"/>
    <mergeCell ref="B4:P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EBB9-74CC-44E8-AA7C-A4073DB8AB8E}">
  <sheetPr codeName="Sheet36"/>
  <dimension ref="B1:V143"/>
  <sheetViews>
    <sheetView showGridLines="0" zoomScale="98" zoomScaleNormal="98" workbookViewId="0">
      <selection activeCell="B22" sqref="B22"/>
    </sheetView>
  </sheetViews>
  <sheetFormatPr defaultRowHeight="14.4"/>
  <cols>
    <col min="1" max="1" width="1.88671875" style="250" customWidth="1"/>
    <col min="2" max="3" width="8.88671875" style="250"/>
    <col min="4" max="4" width="16.5546875" style="250" customWidth="1"/>
    <col min="5" max="5" width="22.6640625" style="250" customWidth="1"/>
    <col min="6" max="9" width="14.6640625" style="250" bestFit="1" customWidth="1"/>
    <col min="10" max="10" width="18.33203125" style="250" customWidth="1"/>
    <col min="11" max="11" width="14.6640625" style="250" bestFit="1" customWidth="1"/>
    <col min="12" max="12" width="15.6640625" style="250" customWidth="1"/>
    <col min="13" max="14" width="8.88671875" style="250"/>
    <col min="15" max="15" width="20.88671875" style="250" bestFit="1" customWidth="1"/>
    <col min="16" max="16384" width="8.88671875" style="250"/>
  </cols>
  <sheetData>
    <row r="1" spans="2:14" ht="10.8" customHeight="1">
      <c r="B1" s="342"/>
      <c r="C1" s="342"/>
      <c r="D1" s="342"/>
      <c r="E1" s="342"/>
      <c r="F1" s="342"/>
      <c r="G1" s="342"/>
      <c r="H1" s="342"/>
      <c r="I1" s="342"/>
      <c r="J1" s="342"/>
      <c r="K1" s="342"/>
    </row>
    <row r="3" spans="2:14" ht="18">
      <c r="B3" s="374" t="str">
        <f>BS!B2</f>
        <v>Ismail Industries Limited</v>
      </c>
      <c r="C3" s="374"/>
      <c r="D3" s="374"/>
      <c r="E3" s="375"/>
    </row>
    <row r="4" spans="2:14" ht="15.6">
      <c r="B4" s="455" t="str">
        <f>'DuPont Analysis &amp; Summary'!$B$4:$C$4</f>
        <v>ISIL</v>
      </c>
      <c r="C4" s="455"/>
    </row>
    <row r="5" spans="2:14" ht="15.6">
      <c r="B5" s="251"/>
      <c r="C5" s="251"/>
    </row>
    <row r="6" spans="2:14" ht="3.6" customHeight="1"/>
    <row r="7" spans="2:14" ht="18.600000000000001" thickBot="1">
      <c r="B7" s="466" t="s">
        <v>200</v>
      </c>
      <c r="C7" s="467"/>
      <c r="D7" s="467"/>
      <c r="E7" s="467"/>
      <c r="F7" s="467"/>
      <c r="G7" s="467"/>
      <c r="H7" s="467"/>
      <c r="I7" s="467"/>
    </row>
    <row r="8" spans="2:14" ht="14.4" customHeight="1">
      <c r="B8" s="468" t="s">
        <v>201</v>
      </c>
      <c r="C8" s="469"/>
      <c r="D8" s="469"/>
      <c r="E8" s="469"/>
      <c r="F8" s="469"/>
      <c r="G8" s="469"/>
      <c r="H8" s="469"/>
      <c r="I8" s="469"/>
      <c r="J8" s="470"/>
      <c r="K8" s="255"/>
      <c r="L8" s="255"/>
      <c r="M8" s="255"/>
      <c r="N8" s="255"/>
    </row>
    <row r="9" spans="2:14">
      <c r="B9" s="471"/>
      <c r="C9" s="456"/>
      <c r="D9" s="456"/>
      <c r="E9" s="456"/>
      <c r="F9" s="456"/>
      <c r="G9" s="456"/>
      <c r="H9" s="456"/>
      <c r="I9" s="456"/>
      <c r="J9" s="472"/>
      <c r="K9" s="255"/>
      <c r="L9" s="255"/>
      <c r="M9" s="255"/>
      <c r="N9" s="255"/>
    </row>
    <row r="10" spans="2:14">
      <c r="B10" s="471"/>
      <c r="C10" s="456"/>
      <c r="D10" s="456"/>
      <c r="E10" s="456"/>
      <c r="F10" s="456"/>
      <c r="G10" s="456"/>
      <c r="H10" s="456"/>
      <c r="I10" s="456"/>
      <c r="J10" s="472"/>
      <c r="K10" s="255"/>
      <c r="L10" s="255"/>
      <c r="M10" s="255"/>
      <c r="N10" s="255"/>
    </row>
    <row r="11" spans="2:14">
      <c r="B11" s="471"/>
      <c r="C11" s="456"/>
      <c r="D11" s="456"/>
      <c r="E11" s="456"/>
      <c r="F11" s="456"/>
      <c r="G11" s="456"/>
      <c r="H11" s="456"/>
      <c r="I11" s="456"/>
      <c r="J11" s="472"/>
      <c r="K11" s="255"/>
      <c r="L11" s="255"/>
      <c r="M11" s="255"/>
      <c r="N11" s="255"/>
    </row>
    <row r="12" spans="2:14">
      <c r="B12" s="471"/>
      <c r="C12" s="456"/>
      <c r="D12" s="456"/>
      <c r="E12" s="456"/>
      <c r="F12" s="456"/>
      <c r="G12" s="456"/>
      <c r="H12" s="456"/>
      <c r="I12" s="456"/>
      <c r="J12" s="472"/>
      <c r="K12" s="255"/>
      <c r="L12" s="255"/>
      <c r="M12" s="255"/>
      <c r="N12" s="255"/>
    </row>
    <row r="13" spans="2:14">
      <c r="B13" s="471"/>
      <c r="C13" s="456"/>
      <c r="D13" s="456"/>
      <c r="E13" s="456"/>
      <c r="F13" s="456"/>
      <c r="G13" s="456"/>
      <c r="H13" s="456"/>
      <c r="I13" s="456"/>
      <c r="J13" s="472"/>
      <c r="K13" s="255"/>
      <c r="L13" s="255"/>
      <c r="M13" s="255"/>
      <c r="N13" s="255"/>
    </row>
    <row r="14" spans="2:14">
      <c r="B14" s="471"/>
      <c r="C14" s="456"/>
      <c r="D14" s="456"/>
      <c r="E14" s="456"/>
      <c r="F14" s="456"/>
      <c r="G14" s="456"/>
      <c r="H14" s="456"/>
      <c r="I14" s="456"/>
      <c r="J14" s="472"/>
      <c r="K14" s="255"/>
      <c r="L14" s="255"/>
      <c r="M14" s="255"/>
      <c r="N14" s="255"/>
    </row>
    <row r="15" spans="2:14">
      <c r="B15" s="471"/>
      <c r="C15" s="456"/>
      <c r="D15" s="456"/>
      <c r="E15" s="456"/>
      <c r="F15" s="456"/>
      <c r="G15" s="456"/>
      <c r="H15" s="456"/>
      <c r="I15" s="456"/>
      <c r="J15" s="472"/>
      <c r="K15" s="255"/>
      <c r="L15" s="255"/>
      <c r="M15" s="255"/>
      <c r="N15" s="255"/>
    </row>
    <row r="16" spans="2:14">
      <c r="B16" s="471"/>
      <c r="C16" s="456"/>
      <c r="D16" s="456"/>
      <c r="E16" s="456"/>
      <c r="F16" s="456"/>
      <c r="G16" s="456"/>
      <c r="H16" s="456"/>
      <c r="I16" s="456"/>
      <c r="J16" s="472"/>
      <c r="K16" s="255"/>
      <c r="L16" s="255"/>
      <c r="M16" s="255"/>
      <c r="N16" s="255"/>
    </row>
    <row r="17" spans="2:14">
      <c r="B17" s="471"/>
      <c r="C17" s="456"/>
      <c r="D17" s="456"/>
      <c r="E17" s="456"/>
      <c r="F17" s="456"/>
      <c r="G17" s="456"/>
      <c r="H17" s="456"/>
      <c r="I17" s="456"/>
      <c r="J17" s="472"/>
      <c r="K17" s="255"/>
      <c r="L17" s="255"/>
      <c r="M17" s="255"/>
      <c r="N17" s="255"/>
    </row>
    <row r="18" spans="2:14">
      <c r="B18" s="471"/>
      <c r="C18" s="456"/>
      <c r="D18" s="456"/>
      <c r="E18" s="456"/>
      <c r="F18" s="456"/>
      <c r="G18" s="456"/>
      <c r="H18" s="456"/>
      <c r="I18" s="456"/>
      <c r="J18" s="472"/>
      <c r="K18" s="255"/>
      <c r="L18" s="255"/>
      <c r="M18" s="255"/>
      <c r="N18" s="255"/>
    </row>
    <row r="19" spans="2:14" ht="15" thickBot="1">
      <c r="B19" s="473"/>
      <c r="C19" s="474"/>
      <c r="D19" s="474"/>
      <c r="E19" s="474"/>
      <c r="F19" s="474"/>
      <c r="G19" s="474"/>
      <c r="H19" s="474"/>
      <c r="I19" s="474"/>
      <c r="J19" s="475"/>
      <c r="K19" s="255"/>
      <c r="L19" s="255"/>
      <c r="M19" s="255"/>
      <c r="N19" s="255"/>
    </row>
    <row r="20" spans="2:14" ht="7.2" customHeight="1">
      <c r="B20" s="254"/>
      <c r="C20" s="254"/>
      <c r="D20" s="254"/>
      <c r="E20" s="254"/>
      <c r="F20" s="254"/>
      <c r="G20" s="254"/>
      <c r="H20" s="254"/>
      <c r="I20" s="254"/>
      <c r="J20" s="254"/>
      <c r="K20" s="255"/>
      <c r="L20" s="255"/>
      <c r="M20" s="255"/>
      <c r="N20" s="255"/>
    </row>
    <row r="21" spans="2:14" ht="3.6" customHeight="1">
      <c r="C21" s="257"/>
      <c r="D21" s="257"/>
      <c r="E21" s="257"/>
      <c r="F21" s="257"/>
      <c r="G21" s="257"/>
      <c r="H21" s="257"/>
      <c r="I21" s="257"/>
      <c r="J21" s="257"/>
      <c r="K21" s="257"/>
      <c r="L21" s="257"/>
      <c r="M21" s="257"/>
      <c r="N21" s="257"/>
    </row>
    <row r="22" spans="2:14" ht="17.399999999999999">
      <c r="B22" s="362" t="s">
        <v>180</v>
      </c>
      <c r="C22" s="342"/>
      <c r="D22" s="342"/>
    </row>
    <row r="23" spans="2:14" ht="9" customHeight="1"/>
    <row r="24" spans="2:14" ht="9" customHeight="1"/>
    <row r="25" spans="2:14" ht="9" customHeight="1"/>
    <row r="51" spans="2:11" ht="15.6" hidden="1">
      <c r="B51" s="258" t="s">
        <v>181</v>
      </c>
    </row>
    <row r="52" spans="2:11" ht="14.4" hidden="1" customHeight="1">
      <c r="B52" s="457" t="s">
        <v>182</v>
      </c>
      <c r="C52" s="457"/>
      <c r="D52" s="457"/>
      <c r="E52" s="457"/>
      <c r="F52" s="457"/>
      <c r="G52" s="457"/>
      <c r="H52" s="457"/>
      <c r="I52" s="457"/>
      <c r="J52" s="260"/>
    </row>
    <row r="53" spans="2:11" hidden="1">
      <c r="B53" s="457"/>
      <c r="C53" s="457"/>
      <c r="D53" s="457"/>
      <c r="E53" s="457"/>
      <c r="F53" s="457"/>
      <c r="G53" s="457"/>
      <c r="H53" s="457"/>
      <c r="I53" s="457"/>
      <c r="J53" s="260"/>
    </row>
    <row r="54" spans="2:11" hidden="1">
      <c r="B54" s="457"/>
      <c r="C54" s="457"/>
      <c r="D54" s="457"/>
      <c r="E54" s="457"/>
      <c r="F54" s="457"/>
      <c r="G54" s="457"/>
      <c r="H54" s="457"/>
      <c r="I54" s="457"/>
      <c r="J54" s="260"/>
    </row>
    <row r="55" spans="2:11" hidden="1">
      <c r="B55" s="457"/>
      <c r="C55" s="457"/>
      <c r="D55" s="457"/>
      <c r="E55" s="457"/>
      <c r="F55" s="457"/>
      <c r="G55" s="457"/>
      <c r="H55" s="457"/>
      <c r="I55" s="457"/>
      <c r="J55" s="260"/>
    </row>
    <row r="56" spans="2:11" hidden="1">
      <c r="B56" s="457"/>
      <c r="C56" s="457"/>
      <c r="D56" s="457"/>
      <c r="E56" s="457"/>
      <c r="F56" s="457"/>
      <c r="G56" s="457"/>
      <c r="H56" s="457"/>
      <c r="I56" s="457"/>
      <c r="J56" s="260"/>
    </row>
    <row r="57" spans="2:11" hidden="1">
      <c r="B57" s="457"/>
      <c r="C57" s="457"/>
      <c r="D57" s="457"/>
      <c r="E57" s="457"/>
      <c r="F57" s="457"/>
      <c r="G57" s="457"/>
      <c r="H57" s="457"/>
      <c r="I57" s="457"/>
      <c r="J57" s="260"/>
    </row>
    <row r="58" spans="2:11" hidden="1">
      <c r="B58" s="457"/>
      <c r="C58" s="457"/>
      <c r="D58" s="457"/>
      <c r="E58" s="457"/>
      <c r="F58" s="457"/>
      <c r="G58" s="457"/>
      <c r="H58" s="457"/>
      <c r="I58" s="457"/>
      <c r="J58" s="260"/>
    </row>
    <row r="59" spans="2:11" hidden="1">
      <c r="B59" s="457"/>
      <c r="C59" s="457"/>
      <c r="D59" s="457"/>
      <c r="E59" s="457"/>
      <c r="F59" s="457"/>
      <c r="G59" s="457"/>
      <c r="H59" s="457"/>
      <c r="I59" s="457"/>
      <c r="J59" s="260"/>
    </row>
    <row r="60" spans="2:11" hidden="1">
      <c r="B60" s="457"/>
      <c r="C60" s="457"/>
      <c r="D60" s="457"/>
      <c r="E60" s="457"/>
      <c r="F60" s="457"/>
      <c r="G60" s="457"/>
      <c r="H60" s="457"/>
      <c r="I60" s="457"/>
      <c r="J60" s="260"/>
    </row>
    <row r="61" spans="2:11" hidden="1">
      <c r="B61" s="457"/>
      <c r="C61" s="457"/>
      <c r="D61" s="457"/>
      <c r="E61" s="457"/>
      <c r="F61" s="457"/>
      <c r="G61" s="457"/>
      <c r="H61" s="457"/>
      <c r="I61" s="457"/>
      <c r="J61" s="260"/>
    </row>
    <row r="62" spans="2:11" hidden="1">
      <c r="B62" s="457"/>
      <c r="C62" s="457"/>
      <c r="D62" s="457"/>
      <c r="E62" s="457"/>
      <c r="F62" s="457"/>
      <c r="G62" s="457"/>
      <c r="H62" s="457"/>
      <c r="I62" s="457"/>
      <c r="J62" s="260"/>
    </row>
    <row r="63" spans="2:11">
      <c r="B63" s="259"/>
      <c r="C63" s="259"/>
      <c r="D63" s="259"/>
      <c r="E63" s="259"/>
      <c r="F63" s="259"/>
      <c r="G63" s="259"/>
      <c r="H63" s="259"/>
      <c r="I63" s="259"/>
    </row>
    <row r="64" spans="2:11" ht="11.4" customHeight="1">
      <c r="B64" s="343"/>
      <c r="C64" s="343"/>
      <c r="D64" s="343"/>
      <c r="E64" s="343"/>
      <c r="F64" s="343"/>
      <c r="G64" s="343"/>
      <c r="H64" s="343"/>
      <c r="I64" s="343"/>
      <c r="J64" s="342"/>
      <c r="K64" s="342"/>
    </row>
    <row r="66" spans="2:22" ht="17.399999999999999">
      <c r="B66" s="367" t="s">
        <v>202</v>
      </c>
      <c r="C66" s="361"/>
      <c r="D66" s="361"/>
      <c r="E66" s="361"/>
    </row>
    <row r="67" spans="2:22" ht="15.6">
      <c r="B67" s="252"/>
    </row>
    <row r="68" spans="2:22">
      <c r="B68" s="476" t="s">
        <v>203</v>
      </c>
      <c r="C68" s="476"/>
      <c r="D68" s="476"/>
      <c r="E68" s="476"/>
      <c r="F68" s="476"/>
      <c r="G68" s="476"/>
      <c r="H68" s="476"/>
      <c r="I68" s="476"/>
      <c r="J68" s="476"/>
      <c r="K68" s="476"/>
      <c r="L68" s="348" t="s">
        <v>26</v>
      </c>
    </row>
    <row r="69" spans="2:22">
      <c r="F69" s="261">
        <f>'DuPont Analysis &amp; Summary'!F61</f>
        <v>45627</v>
      </c>
      <c r="G69" s="261">
        <f>'DuPont Analysis &amp; Summary'!G61</f>
        <v>45261</v>
      </c>
      <c r="H69" s="261">
        <f>'DuPont Analysis &amp; Summary'!H61</f>
        <v>44896</v>
      </c>
      <c r="I69" s="261">
        <f>'DuPont Analysis &amp; Summary'!I61</f>
        <v>44531</v>
      </c>
      <c r="J69" s="261">
        <f>'DuPont Analysis &amp; Summary'!J61</f>
        <v>44167</v>
      </c>
      <c r="K69" s="261">
        <f>'DuPont Analysis &amp; Summary'!K61</f>
        <v>43801</v>
      </c>
      <c r="P69" s="372"/>
      <c r="Q69" s="372"/>
      <c r="R69" s="372"/>
      <c r="S69" s="372"/>
      <c r="T69" s="372"/>
      <c r="U69" s="372"/>
    </row>
    <row r="70" spans="2:22">
      <c r="B70" s="250" t="s">
        <v>204</v>
      </c>
      <c r="F70" s="262">
        <f>(BS!C11-BS!C16)</f>
        <v>5181788</v>
      </c>
      <c r="G70" s="262">
        <f>(BS!D11-BS!D16)</f>
        <v>5764184</v>
      </c>
      <c r="H70" s="262">
        <f>(BS!E11-BS!E16)</f>
        <v>2327858</v>
      </c>
      <c r="I70" s="262">
        <f>(BS!F11-BS!F16)</f>
        <v>257817</v>
      </c>
      <c r="J70" s="262">
        <f>(BS!G11-BS!G16)</f>
        <v>631582</v>
      </c>
      <c r="K70" s="262">
        <f>(BS!H11-BS!H16)</f>
        <v>97256.528999999166</v>
      </c>
      <c r="O70" s="364"/>
      <c r="P70" s="264"/>
      <c r="Q70" s="264"/>
      <c r="R70" s="264"/>
      <c r="S70" s="264"/>
      <c r="T70" s="264"/>
      <c r="U70" s="264"/>
    </row>
    <row r="71" spans="2:22">
      <c r="B71" s="250" t="s">
        <v>205</v>
      </c>
      <c r="F71" s="263">
        <f>BS!C14</f>
        <v>90916664</v>
      </c>
      <c r="G71" s="263">
        <f>BS!D14</f>
        <v>73055596</v>
      </c>
      <c r="H71" s="263">
        <f>BS!E14</f>
        <v>51344005</v>
      </c>
      <c r="I71" s="263">
        <f>BS!F14</f>
        <v>40989981</v>
      </c>
      <c r="J71" s="263">
        <f>BS!G14</f>
        <v>37507935</v>
      </c>
      <c r="K71" s="263">
        <f>BS!H14</f>
        <v>26964495.534000002</v>
      </c>
      <c r="O71" s="364"/>
      <c r="P71" s="264"/>
      <c r="Q71" s="264"/>
      <c r="R71" s="264"/>
      <c r="S71" s="264"/>
      <c r="T71" s="264"/>
      <c r="U71" s="264"/>
    </row>
    <row r="72" spans="2:22">
      <c r="B72" s="348" t="s">
        <v>206</v>
      </c>
      <c r="C72" s="348"/>
      <c r="D72" s="348"/>
      <c r="E72" s="348"/>
      <c r="F72" s="351">
        <f>F70/F71</f>
        <v>5.6994920095176392E-2</v>
      </c>
      <c r="G72" s="351">
        <f t="shared" ref="G72:K72" si="0">G70/G71</f>
        <v>7.8901334266029396E-2</v>
      </c>
      <c r="H72" s="351">
        <f t="shared" si="0"/>
        <v>4.5338457722571508E-2</v>
      </c>
      <c r="I72" s="351">
        <f t="shared" si="0"/>
        <v>6.2897565139149493E-3</v>
      </c>
      <c r="J72" s="351">
        <f t="shared" si="0"/>
        <v>1.6838623613909965E-2</v>
      </c>
      <c r="K72" s="351">
        <f t="shared" si="0"/>
        <v>3.6068365854412783E-3</v>
      </c>
      <c r="L72" s="351">
        <f>MEDIAN(F72:K72)</f>
        <v>3.1088540668240738E-2</v>
      </c>
      <c r="O72" s="364"/>
      <c r="P72" s="264"/>
      <c r="Q72" s="264"/>
      <c r="R72" s="264"/>
      <c r="S72" s="264"/>
      <c r="T72" s="264"/>
      <c r="U72" s="264"/>
    </row>
    <row r="73" spans="2:22" ht="37.799999999999997" customHeight="1">
      <c r="O73" s="364"/>
      <c r="P73" s="264"/>
      <c r="Q73" s="264"/>
      <c r="R73" s="264"/>
      <c r="S73" s="264"/>
      <c r="T73" s="264"/>
      <c r="U73" s="264"/>
    </row>
    <row r="74" spans="2:22">
      <c r="B74" s="476" t="s">
        <v>207</v>
      </c>
      <c r="C74" s="476"/>
      <c r="D74" s="476"/>
      <c r="E74" s="476"/>
      <c r="F74" s="476"/>
      <c r="G74" s="476"/>
      <c r="H74" s="476"/>
      <c r="I74" s="476"/>
      <c r="J74" s="476"/>
      <c r="K74" s="476"/>
      <c r="O74" s="364"/>
      <c r="P74" s="264"/>
      <c r="Q74" s="264"/>
      <c r="R74" s="264"/>
      <c r="S74" s="264"/>
      <c r="T74" s="264"/>
      <c r="U74" s="264"/>
    </row>
    <row r="75" spans="2:22">
      <c r="F75" s="261">
        <f>F69</f>
        <v>45627</v>
      </c>
      <c r="G75" s="261">
        <f t="shared" ref="G75:K75" si="1">G69</f>
        <v>45261</v>
      </c>
      <c r="H75" s="261">
        <f t="shared" si="1"/>
        <v>44896</v>
      </c>
      <c r="I75" s="261">
        <f t="shared" si="1"/>
        <v>44531</v>
      </c>
      <c r="J75" s="261">
        <f t="shared" si="1"/>
        <v>44167</v>
      </c>
      <c r="K75" s="261">
        <f t="shared" si="1"/>
        <v>43801</v>
      </c>
    </row>
    <row r="76" spans="2:22">
      <c r="O76" s="364"/>
      <c r="P76" s="373"/>
      <c r="Q76" s="373"/>
      <c r="R76" s="373"/>
      <c r="S76" s="373"/>
      <c r="T76" s="373"/>
      <c r="U76" s="373"/>
      <c r="V76" s="373"/>
    </row>
    <row r="77" spans="2:22">
      <c r="B77" s="250" t="s">
        <v>208</v>
      </c>
      <c r="F77" s="262">
        <f>BS!C26</f>
        <v>21374623.488000002</v>
      </c>
      <c r="G77" s="262">
        <f>BS!D26</f>
        <v>15376236.484999999</v>
      </c>
      <c r="H77" s="262">
        <f>BS!E26</f>
        <v>9940389.165000001</v>
      </c>
      <c r="I77" s="262">
        <f>BS!F26</f>
        <v>8417555.7379999999</v>
      </c>
      <c r="J77" s="262">
        <f>BS!G26</f>
        <v>6805286.4580000006</v>
      </c>
      <c r="K77" s="262">
        <f>BS!H26</f>
        <v>6094677.3270000005</v>
      </c>
    </row>
    <row r="78" spans="2:22">
      <c r="B78" s="250" t="s">
        <v>205</v>
      </c>
      <c r="F78" s="263">
        <f>F71</f>
        <v>90916664</v>
      </c>
      <c r="G78" s="263">
        <f t="shared" ref="G78:K78" si="2">G71</f>
        <v>73055596</v>
      </c>
      <c r="H78" s="263">
        <f t="shared" si="2"/>
        <v>51344005</v>
      </c>
      <c r="I78" s="263">
        <f t="shared" si="2"/>
        <v>40989981</v>
      </c>
      <c r="J78" s="263">
        <f t="shared" si="2"/>
        <v>37507935</v>
      </c>
      <c r="K78" s="263">
        <f t="shared" si="2"/>
        <v>26964495.534000002</v>
      </c>
    </row>
    <row r="79" spans="2:22">
      <c r="B79" s="348" t="s">
        <v>209</v>
      </c>
      <c r="C79" s="348"/>
      <c r="D79" s="348"/>
      <c r="E79" s="348"/>
      <c r="F79" s="351">
        <f>F77/F78</f>
        <v>0.23510127349151308</v>
      </c>
      <c r="G79" s="351">
        <f t="shared" ref="G79:K79" si="3">G77/G78</f>
        <v>0.21047308251376115</v>
      </c>
      <c r="H79" s="351">
        <f t="shared" si="3"/>
        <v>0.19360369657567619</v>
      </c>
      <c r="I79" s="351">
        <f t="shared" si="3"/>
        <v>0.20535641960897713</v>
      </c>
      <c r="J79" s="351">
        <f t="shared" si="3"/>
        <v>0.1814359137073262</v>
      </c>
      <c r="K79" s="351">
        <f t="shared" si="3"/>
        <v>0.22602600962124864</v>
      </c>
      <c r="L79" s="351">
        <f>MEDIAN(F79:K79)</f>
        <v>0.20791475106136914</v>
      </c>
      <c r="M79" s="264"/>
      <c r="N79" s="264"/>
    </row>
    <row r="80" spans="2:22" ht="41.4" customHeight="1"/>
    <row r="81" spans="2:14" ht="15" customHeight="1">
      <c r="B81" s="476" t="s">
        <v>210</v>
      </c>
      <c r="C81" s="476"/>
      <c r="D81" s="476"/>
      <c r="E81" s="476"/>
      <c r="F81" s="476"/>
      <c r="G81" s="476"/>
      <c r="H81" s="476"/>
      <c r="I81" s="476"/>
      <c r="J81" s="476"/>
      <c r="K81" s="476"/>
    </row>
    <row r="82" spans="2:14">
      <c r="B82" s="250" t="s">
        <v>211</v>
      </c>
      <c r="F82" s="262">
        <f>Pnl!C12</f>
        <v>13980121</v>
      </c>
      <c r="G82" s="262">
        <f>Pnl!D12</f>
        <v>10330279</v>
      </c>
      <c r="H82" s="262">
        <f>Pnl!E12</f>
        <v>4244301</v>
      </c>
      <c r="I82" s="262">
        <f>Pnl!F12</f>
        <v>2306392</v>
      </c>
      <c r="J82" s="262">
        <f>Pnl!G12</f>
        <v>1814674</v>
      </c>
      <c r="K82" s="262">
        <f>Pnl!H12</f>
        <v>2223446.0840000003</v>
      </c>
    </row>
    <row r="83" spans="2:14">
      <c r="B83" s="250" t="str">
        <f>B78</f>
        <v>Total Assets</v>
      </c>
      <c r="F83" s="263">
        <f>F78</f>
        <v>90916664</v>
      </c>
      <c r="G83" s="263">
        <f t="shared" ref="G83:K83" si="4">G78</f>
        <v>73055596</v>
      </c>
      <c r="H83" s="263">
        <f t="shared" si="4"/>
        <v>51344005</v>
      </c>
      <c r="I83" s="263">
        <f t="shared" si="4"/>
        <v>40989981</v>
      </c>
      <c r="J83" s="263">
        <f t="shared" si="4"/>
        <v>37507935</v>
      </c>
      <c r="K83" s="263">
        <f t="shared" si="4"/>
        <v>26964495.534000002</v>
      </c>
    </row>
    <row r="84" spans="2:14">
      <c r="B84" s="348" t="s">
        <v>212</v>
      </c>
      <c r="C84" s="348"/>
      <c r="D84" s="348"/>
      <c r="E84" s="348"/>
      <c r="F84" s="351">
        <f>F82/F83</f>
        <v>0.15376852146708769</v>
      </c>
      <c r="G84" s="351">
        <f t="shared" ref="G84:K84" si="5">G82/G83</f>
        <v>0.14140298027272272</v>
      </c>
      <c r="H84" s="351">
        <f t="shared" si="5"/>
        <v>8.2664003324243993E-2</v>
      </c>
      <c r="I84" s="351">
        <f t="shared" si="5"/>
        <v>5.6267213200220809E-2</v>
      </c>
      <c r="J84" s="351">
        <f t="shared" si="5"/>
        <v>4.8381069232417084E-2</v>
      </c>
      <c r="K84" s="351">
        <f t="shared" si="5"/>
        <v>8.2458285978182624E-2</v>
      </c>
      <c r="L84" s="351">
        <f>MEDIAN(F84:K84)</f>
        <v>8.2561144651213308E-2</v>
      </c>
      <c r="M84" s="265"/>
      <c r="N84" s="265"/>
    </row>
    <row r="85" spans="2:14" ht="38.4" customHeight="1"/>
    <row r="86" spans="2:14" ht="15.6" customHeight="1">
      <c r="B86" s="476" t="s">
        <v>213</v>
      </c>
      <c r="C86" s="476"/>
      <c r="D86" s="476"/>
      <c r="E86" s="476"/>
      <c r="F86" s="476"/>
      <c r="G86" s="476"/>
      <c r="H86" s="476"/>
      <c r="I86" s="476"/>
      <c r="J86" s="476"/>
      <c r="K86" s="476"/>
    </row>
    <row r="87" spans="2:14">
      <c r="B87" s="364" t="s">
        <v>320</v>
      </c>
      <c r="F87" s="262">
        <f>Pnl!C48</f>
        <v>81854603.336999997</v>
      </c>
      <c r="G87" s="262">
        <f>Pnl!D48</f>
        <v>32021868.535800003</v>
      </c>
      <c r="H87" s="262">
        <f>Pnl!E48</f>
        <v>31259427.295200001</v>
      </c>
      <c r="I87" s="262">
        <f>Pnl!F48</f>
        <v>25524860.540400002</v>
      </c>
      <c r="J87" s="262">
        <f>Pnl!G48</f>
        <v>22682358.332400002</v>
      </c>
      <c r="K87" s="262">
        <f>Pnl!H48</f>
        <v>19148443.522500001</v>
      </c>
    </row>
    <row r="88" spans="2:14">
      <c r="B88" s="250" t="s">
        <v>214</v>
      </c>
      <c r="F88" s="263">
        <f>BS!C17</f>
        <v>23195005</v>
      </c>
      <c r="G88" s="263">
        <f>BS!D17</f>
        <v>25666415</v>
      </c>
      <c r="H88" s="263">
        <f>BS!E17</f>
        <v>22050702</v>
      </c>
      <c r="I88" s="263">
        <f>BS!F17</f>
        <v>15201439</v>
      </c>
      <c r="J88" s="263">
        <f>BS!G17</f>
        <v>15674204</v>
      </c>
      <c r="K88" s="263">
        <f>BS!H17</f>
        <v>8823517.9969999995</v>
      </c>
    </row>
    <row r="89" spans="2:14">
      <c r="B89" s="348" t="s">
        <v>215</v>
      </c>
      <c r="C89" s="348"/>
      <c r="D89" s="348"/>
      <c r="E89" s="348"/>
      <c r="F89" s="351">
        <f>F87/F88</f>
        <v>3.5289754555776125</v>
      </c>
      <c r="G89" s="351">
        <f t="shared" ref="G89:K89" si="6">G87/G88</f>
        <v>1.2476175007612089</v>
      </c>
      <c r="H89" s="351">
        <f t="shared" si="6"/>
        <v>1.4176159695596087</v>
      </c>
      <c r="I89" s="351">
        <f t="shared" si="6"/>
        <v>1.6791081778771078</v>
      </c>
      <c r="J89" s="351">
        <f t="shared" si="6"/>
        <v>1.4471138905937426</v>
      </c>
      <c r="K89" s="351">
        <f t="shared" si="6"/>
        <v>2.1701597400277848</v>
      </c>
      <c r="L89" s="351">
        <f>MEDIAN(F89:K89)</f>
        <v>1.5631110342354253</v>
      </c>
      <c r="M89" s="265"/>
      <c r="N89" s="265"/>
    </row>
    <row r="90" spans="2:14" ht="24" customHeight="1"/>
    <row r="91" spans="2:14" ht="13.2" customHeight="1"/>
    <row r="92" spans="2:14">
      <c r="B92" s="476" t="s">
        <v>216</v>
      </c>
      <c r="C92" s="476"/>
      <c r="D92" s="476"/>
      <c r="E92" s="476"/>
      <c r="F92" s="476"/>
      <c r="G92" s="476"/>
      <c r="H92" s="476"/>
      <c r="I92" s="476"/>
      <c r="J92" s="476"/>
      <c r="K92" s="476"/>
    </row>
    <row r="93" spans="2:14">
      <c r="F93" s="261">
        <f t="shared" ref="F93:K93" si="7">F69</f>
        <v>45627</v>
      </c>
      <c r="G93" s="261">
        <f t="shared" si="7"/>
        <v>45261</v>
      </c>
      <c r="H93" s="261">
        <f t="shared" si="7"/>
        <v>44896</v>
      </c>
      <c r="I93" s="261">
        <f t="shared" si="7"/>
        <v>44531</v>
      </c>
      <c r="J93" s="261">
        <f t="shared" si="7"/>
        <v>44167</v>
      </c>
      <c r="K93" s="261">
        <f t="shared" si="7"/>
        <v>43801</v>
      </c>
    </row>
    <row r="94" spans="2:14">
      <c r="B94" s="250" t="s">
        <v>58</v>
      </c>
      <c r="F94" s="262">
        <f>Pnl!C9</f>
        <v>108887024</v>
      </c>
      <c r="G94" s="262">
        <f>Pnl!D9</f>
        <v>88905796</v>
      </c>
      <c r="H94" s="262">
        <f>Pnl!E9</f>
        <v>55260699</v>
      </c>
      <c r="I94" s="262">
        <f>Pnl!F9</f>
        <v>37307760</v>
      </c>
      <c r="J94" s="262">
        <f>Pnl!G9</f>
        <v>33218273</v>
      </c>
      <c r="K94" s="262">
        <f>Pnl!H9</f>
        <v>30090888.452</v>
      </c>
    </row>
    <row r="95" spans="2:14">
      <c r="B95" s="250" t="s">
        <v>205</v>
      </c>
      <c r="F95" s="263">
        <f>F71</f>
        <v>90916664</v>
      </c>
      <c r="G95" s="263">
        <f t="shared" ref="G95:K95" si="8">G71</f>
        <v>73055596</v>
      </c>
      <c r="H95" s="263">
        <f t="shared" si="8"/>
        <v>51344005</v>
      </c>
      <c r="I95" s="263">
        <f t="shared" si="8"/>
        <v>40989981</v>
      </c>
      <c r="J95" s="263">
        <f t="shared" si="8"/>
        <v>37507935</v>
      </c>
      <c r="K95" s="263">
        <f t="shared" si="8"/>
        <v>26964495.534000002</v>
      </c>
    </row>
    <row r="96" spans="2:14">
      <c r="B96" s="348" t="s">
        <v>217</v>
      </c>
      <c r="C96" s="348"/>
      <c r="D96" s="348"/>
      <c r="E96" s="348"/>
      <c r="F96" s="351">
        <f>F94/F95</f>
        <v>1.1976574943400915</v>
      </c>
      <c r="G96" s="351">
        <f t="shared" ref="G96:K96" si="9">G94/G95</f>
        <v>1.216960792435394</v>
      </c>
      <c r="H96" s="351">
        <f t="shared" si="9"/>
        <v>1.0762833752450749</v>
      </c>
      <c r="I96" s="351">
        <f t="shared" si="9"/>
        <v>0.91016777978013697</v>
      </c>
      <c r="J96" s="351">
        <f t="shared" si="9"/>
        <v>0.88563321334538947</v>
      </c>
      <c r="K96" s="351">
        <f t="shared" si="9"/>
        <v>1.1159447954091288</v>
      </c>
      <c r="L96" s="351">
        <f>MEDIAN(F96:K96)</f>
        <v>1.0961140853271019</v>
      </c>
    </row>
    <row r="98" spans="2:11">
      <c r="B98" s="476" t="s">
        <v>218</v>
      </c>
      <c r="C98" s="476"/>
      <c r="D98" s="476"/>
      <c r="E98" s="476"/>
      <c r="F98" s="476"/>
      <c r="G98" s="476"/>
      <c r="H98" s="476"/>
      <c r="I98" s="476"/>
      <c r="J98" s="476"/>
      <c r="K98" s="476"/>
    </row>
    <row r="100" spans="2:11">
      <c r="F100" s="261">
        <f t="shared" ref="F100:K100" si="10">F69</f>
        <v>45627</v>
      </c>
      <c r="G100" s="261">
        <f t="shared" si="10"/>
        <v>45261</v>
      </c>
      <c r="H100" s="261">
        <f t="shared" si="10"/>
        <v>44896</v>
      </c>
      <c r="I100" s="261">
        <f t="shared" si="10"/>
        <v>44531</v>
      </c>
      <c r="J100" s="261">
        <f t="shared" si="10"/>
        <v>44167</v>
      </c>
      <c r="K100" s="261">
        <f t="shared" si="10"/>
        <v>43801</v>
      </c>
    </row>
    <row r="101" spans="2:11" ht="4.8" customHeight="1"/>
    <row r="102" spans="2:11">
      <c r="B102" s="348" t="s">
        <v>219</v>
      </c>
      <c r="C102" s="348"/>
      <c r="D102" s="348"/>
      <c r="E102" s="348"/>
      <c r="F102" s="368">
        <f>(F72*1.2)+(F79*1.4)+(F84*3.3)+(F89*0.6)+(F96*1)</f>
        <v>4.220014575530378</v>
      </c>
      <c r="G102" s="368">
        <f t="shared" ref="G102:J102" si="11">(G72*1.2)+(G79*1.4)+(G84*3.3)+(G89*0.6)+(G96*1)</f>
        <v>2.8215050444306051</v>
      </c>
      <c r="H102" s="368">
        <f t="shared" si="11"/>
        <v>2.525095492423878</v>
      </c>
      <c r="I102" s="368">
        <f t="shared" si="11"/>
        <v>2.398361185336396</v>
      </c>
      <c r="J102" s="368">
        <f t="shared" si="11"/>
        <v>2.1877757036955598</v>
      </c>
      <c r="K102" s="368">
        <f>(K72*1.2)+(K79*1.4)+(K84*3.3)+(K89*0.6)+(K96*1)</f>
        <v>3.0109176005260796</v>
      </c>
    </row>
    <row r="103" spans="2:11" ht="5.4" customHeight="1"/>
    <row r="104" spans="2:11">
      <c r="B104" s="266" t="s">
        <v>220</v>
      </c>
      <c r="C104" s="266"/>
      <c r="D104" s="266"/>
      <c r="E104" s="266"/>
      <c r="F104" s="390" t="str">
        <f>IF(F102&lt;1.81,"Distressed",IF(F102&gt;3,"Strong","Grey Zone"))</f>
        <v>Strong</v>
      </c>
      <c r="G104" s="371" t="str">
        <f t="shared" ref="G104:K104" si="12">IF(G102&lt;1.81,"Distressed",IF(G102&gt;3,"Strong","Grey Zone"))</f>
        <v>Grey Zone</v>
      </c>
      <c r="H104" s="371" t="str">
        <f t="shared" si="12"/>
        <v>Grey Zone</v>
      </c>
      <c r="I104" s="371" t="str">
        <f t="shared" si="12"/>
        <v>Grey Zone</v>
      </c>
      <c r="J104" s="371" t="str">
        <f t="shared" si="12"/>
        <v>Grey Zone</v>
      </c>
      <c r="K104" s="390" t="str">
        <f t="shared" si="12"/>
        <v>Strong</v>
      </c>
    </row>
    <row r="108" spans="2:11" ht="17.399999999999999">
      <c r="B108" s="477" t="s">
        <v>221</v>
      </c>
      <c r="C108" s="477"/>
      <c r="D108" s="477"/>
    </row>
    <row r="109" spans="2:11" ht="8.4" customHeight="1"/>
    <row r="110" spans="2:11" ht="14.4" customHeight="1">
      <c r="B110" s="465" t="s">
        <v>321</v>
      </c>
      <c r="C110" s="465"/>
      <c r="D110" s="465"/>
      <c r="E110" s="465"/>
      <c r="F110" s="465"/>
      <c r="G110" s="465"/>
      <c r="H110" s="465"/>
      <c r="I110" s="465"/>
      <c r="J110" s="465"/>
      <c r="K110" s="465"/>
    </row>
    <row r="111" spans="2:11">
      <c r="B111" s="465"/>
      <c r="C111" s="465"/>
      <c r="D111" s="465"/>
      <c r="E111" s="465"/>
      <c r="F111" s="465"/>
      <c r="G111" s="465"/>
      <c r="H111" s="465"/>
      <c r="I111" s="465"/>
      <c r="J111" s="465"/>
      <c r="K111" s="465"/>
    </row>
    <row r="112" spans="2:11">
      <c r="B112" s="465"/>
      <c r="C112" s="465"/>
      <c r="D112" s="465"/>
      <c r="E112" s="465"/>
      <c r="F112" s="465"/>
      <c r="G112" s="465"/>
      <c r="H112" s="465"/>
      <c r="I112" s="465"/>
      <c r="J112" s="465"/>
      <c r="K112" s="465"/>
    </row>
    <row r="113" spans="2:11">
      <c r="B113" s="465"/>
      <c r="C113" s="465"/>
      <c r="D113" s="465"/>
      <c r="E113" s="465"/>
      <c r="F113" s="465"/>
      <c r="G113" s="465"/>
      <c r="H113" s="465"/>
      <c r="I113" s="465"/>
      <c r="J113" s="465"/>
      <c r="K113" s="465"/>
    </row>
    <row r="114" spans="2:11">
      <c r="B114" s="465"/>
      <c r="C114" s="465"/>
      <c r="D114" s="465"/>
      <c r="E114" s="465"/>
      <c r="F114" s="465"/>
      <c r="G114" s="465"/>
      <c r="H114" s="465"/>
      <c r="I114" s="465"/>
      <c r="J114" s="465"/>
      <c r="K114" s="465"/>
    </row>
    <row r="115" spans="2:11">
      <c r="B115" s="465"/>
      <c r="C115" s="465"/>
      <c r="D115" s="465"/>
      <c r="E115" s="465"/>
      <c r="F115" s="465"/>
      <c r="G115" s="465"/>
      <c r="H115" s="465"/>
      <c r="I115" s="465"/>
      <c r="J115" s="465"/>
      <c r="K115" s="465"/>
    </row>
    <row r="116" spans="2:11">
      <c r="B116" s="465"/>
      <c r="C116" s="465"/>
      <c r="D116" s="465"/>
      <c r="E116" s="465"/>
      <c r="F116" s="465"/>
      <c r="G116" s="465"/>
      <c r="H116" s="465"/>
      <c r="I116" s="465"/>
      <c r="J116" s="465"/>
      <c r="K116" s="465"/>
    </row>
    <row r="117" spans="2:11">
      <c r="B117" s="465"/>
      <c r="C117" s="465"/>
      <c r="D117" s="465"/>
      <c r="E117" s="465"/>
      <c r="F117" s="465"/>
      <c r="G117" s="465"/>
      <c r="H117" s="465"/>
      <c r="I117" s="465"/>
      <c r="J117" s="465"/>
      <c r="K117" s="465"/>
    </row>
    <row r="118" spans="2:11">
      <c r="B118" s="465"/>
      <c r="C118" s="465"/>
      <c r="D118" s="465"/>
      <c r="E118" s="465"/>
      <c r="F118" s="465"/>
      <c r="G118" s="465"/>
      <c r="H118" s="465"/>
      <c r="I118" s="465"/>
      <c r="J118" s="465"/>
      <c r="K118" s="465"/>
    </row>
    <row r="119" spans="2:11">
      <c r="B119" s="465"/>
      <c r="C119" s="465"/>
      <c r="D119" s="465"/>
      <c r="E119" s="465"/>
      <c r="F119" s="465"/>
      <c r="G119" s="465"/>
      <c r="H119" s="465"/>
      <c r="I119" s="465"/>
      <c r="J119" s="465"/>
      <c r="K119" s="465"/>
    </row>
    <row r="120" spans="2:11">
      <c r="B120" s="465"/>
      <c r="C120" s="465"/>
      <c r="D120" s="465"/>
      <c r="E120" s="465"/>
      <c r="F120" s="465"/>
      <c r="G120" s="465"/>
      <c r="H120" s="465"/>
      <c r="I120" s="465"/>
      <c r="J120" s="465"/>
      <c r="K120" s="465"/>
    </row>
    <row r="121" spans="2:11">
      <c r="B121" s="465"/>
      <c r="C121" s="465"/>
      <c r="D121" s="465"/>
      <c r="E121" s="465"/>
      <c r="F121" s="465"/>
      <c r="G121" s="465"/>
      <c r="H121" s="465"/>
      <c r="I121" s="465"/>
      <c r="J121" s="465"/>
      <c r="K121" s="465"/>
    </row>
    <row r="122" spans="2:11">
      <c r="B122" s="465"/>
      <c r="C122" s="465"/>
      <c r="D122" s="465"/>
      <c r="E122" s="465"/>
      <c r="F122" s="465"/>
      <c r="G122" s="465"/>
      <c r="H122" s="465"/>
      <c r="I122" s="465"/>
      <c r="J122" s="465"/>
      <c r="K122" s="465"/>
    </row>
    <row r="123" spans="2:11">
      <c r="B123" s="465"/>
      <c r="C123" s="465"/>
      <c r="D123" s="465"/>
      <c r="E123" s="465"/>
      <c r="F123" s="465"/>
      <c r="G123" s="465"/>
      <c r="H123" s="465"/>
      <c r="I123" s="465"/>
      <c r="J123" s="465"/>
      <c r="K123" s="465"/>
    </row>
    <row r="124" spans="2:11">
      <c r="B124" s="465"/>
      <c r="C124" s="465"/>
      <c r="D124" s="465"/>
      <c r="E124" s="465"/>
      <c r="F124" s="465"/>
      <c r="G124" s="465"/>
      <c r="H124" s="465"/>
      <c r="I124" s="465"/>
      <c r="J124" s="465"/>
      <c r="K124" s="465"/>
    </row>
    <row r="125" spans="2:11">
      <c r="B125" s="465"/>
      <c r="C125" s="465"/>
      <c r="D125" s="465"/>
      <c r="E125" s="465"/>
      <c r="F125" s="465"/>
      <c r="G125" s="465"/>
      <c r="H125" s="465"/>
      <c r="I125" s="465"/>
      <c r="J125" s="465"/>
      <c r="K125" s="465"/>
    </row>
    <row r="126" spans="2:11">
      <c r="B126" s="465"/>
      <c r="C126" s="465"/>
      <c r="D126" s="465"/>
      <c r="E126" s="465"/>
      <c r="F126" s="465"/>
      <c r="G126" s="465"/>
      <c r="H126" s="465"/>
      <c r="I126" s="465"/>
      <c r="J126" s="465"/>
      <c r="K126" s="465"/>
    </row>
    <row r="127" spans="2:11">
      <c r="B127" s="465"/>
      <c r="C127" s="465"/>
      <c r="D127" s="465"/>
      <c r="E127" s="465"/>
      <c r="F127" s="465"/>
      <c r="G127" s="465"/>
      <c r="H127" s="465"/>
      <c r="I127" s="465"/>
      <c r="J127" s="465"/>
      <c r="K127" s="465"/>
    </row>
    <row r="128" spans="2:11">
      <c r="B128" s="465"/>
      <c r="C128" s="465"/>
      <c r="D128" s="465"/>
      <c r="E128" s="465"/>
      <c r="F128" s="465"/>
      <c r="G128" s="465"/>
      <c r="H128" s="465"/>
      <c r="I128" s="465"/>
      <c r="J128" s="465"/>
      <c r="K128" s="465"/>
    </row>
    <row r="129" spans="2:11">
      <c r="B129" s="465"/>
      <c r="C129" s="465"/>
      <c r="D129" s="465"/>
      <c r="E129" s="465"/>
      <c r="F129" s="465"/>
      <c r="G129" s="465"/>
      <c r="H129" s="465"/>
      <c r="I129" s="465"/>
      <c r="J129" s="465"/>
      <c r="K129" s="465"/>
    </row>
    <row r="130" spans="2:11">
      <c r="B130" s="465"/>
      <c r="C130" s="465"/>
      <c r="D130" s="465"/>
      <c r="E130" s="465"/>
      <c r="F130" s="465"/>
      <c r="G130" s="465"/>
      <c r="H130" s="465"/>
      <c r="I130" s="465"/>
      <c r="J130" s="465"/>
      <c r="K130" s="465"/>
    </row>
    <row r="131" spans="2:11">
      <c r="B131" s="465"/>
      <c r="C131" s="465"/>
      <c r="D131" s="465"/>
      <c r="E131" s="465"/>
      <c r="F131" s="465"/>
      <c r="G131" s="465"/>
      <c r="H131" s="465"/>
      <c r="I131" s="465"/>
      <c r="J131" s="465"/>
      <c r="K131" s="465"/>
    </row>
    <row r="132" spans="2:11">
      <c r="B132" s="465"/>
      <c r="C132" s="465"/>
      <c r="D132" s="465"/>
      <c r="E132" s="465"/>
      <c r="F132" s="465"/>
      <c r="G132" s="465"/>
      <c r="H132" s="465"/>
      <c r="I132" s="465"/>
      <c r="J132" s="465"/>
      <c r="K132" s="465"/>
    </row>
    <row r="133" spans="2:11">
      <c r="B133" s="465"/>
      <c r="C133" s="465"/>
      <c r="D133" s="465"/>
      <c r="E133" s="465"/>
      <c r="F133" s="465"/>
      <c r="G133" s="465"/>
      <c r="H133" s="465"/>
      <c r="I133" s="465"/>
      <c r="J133" s="465"/>
      <c r="K133" s="465"/>
    </row>
    <row r="134" spans="2:11">
      <c r="B134" s="465"/>
      <c r="C134" s="465"/>
      <c r="D134" s="465"/>
      <c r="E134" s="465"/>
      <c r="F134" s="465"/>
      <c r="G134" s="465"/>
      <c r="H134" s="465"/>
      <c r="I134" s="465"/>
      <c r="J134" s="465"/>
      <c r="K134" s="465"/>
    </row>
    <row r="135" spans="2:11">
      <c r="B135" s="465"/>
      <c r="C135" s="465"/>
      <c r="D135" s="465"/>
      <c r="E135" s="465"/>
      <c r="F135" s="465"/>
      <c r="G135" s="465"/>
      <c r="H135" s="465"/>
      <c r="I135" s="465"/>
      <c r="J135" s="465"/>
      <c r="K135" s="465"/>
    </row>
    <row r="136" spans="2:11">
      <c r="B136" s="465"/>
      <c r="C136" s="465"/>
      <c r="D136" s="465"/>
      <c r="E136" s="465"/>
      <c r="F136" s="465"/>
      <c r="G136" s="465"/>
      <c r="H136" s="465"/>
      <c r="I136" s="465"/>
      <c r="J136" s="465"/>
      <c r="K136" s="465"/>
    </row>
    <row r="137" spans="2:11">
      <c r="B137" s="465"/>
      <c r="C137" s="465"/>
      <c r="D137" s="465"/>
      <c r="E137" s="465"/>
      <c r="F137" s="465"/>
      <c r="G137" s="465"/>
      <c r="H137" s="465"/>
      <c r="I137" s="465"/>
      <c r="J137" s="465"/>
      <c r="K137" s="465"/>
    </row>
    <row r="138" spans="2:11">
      <c r="B138" s="465"/>
      <c r="C138" s="465"/>
      <c r="D138" s="465"/>
      <c r="E138" s="465"/>
      <c r="F138" s="465"/>
      <c r="G138" s="465"/>
      <c r="H138" s="465"/>
      <c r="I138" s="465"/>
      <c r="J138" s="465"/>
      <c r="K138" s="465"/>
    </row>
    <row r="139" spans="2:11">
      <c r="B139" s="465"/>
      <c r="C139" s="465"/>
      <c r="D139" s="465"/>
      <c r="E139" s="465"/>
      <c r="F139" s="465"/>
      <c r="G139" s="465"/>
      <c r="H139" s="465"/>
      <c r="I139" s="465"/>
      <c r="J139" s="465"/>
      <c r="K139" s="465"/>
    </row>
    <row r="140" spans="2:11">
      <c r="B140" s="465"/>
      <c r="C140" s="465"/>
      <c r="D140" s="465"/>
      <c r="E140" s="465"/>
      <c r="F140" s="465"/>
      <c r="G140" s="465"/>
      <c r="H140" s="465"/>
      <c r="I140" s="465"/>
      <c r="J140" s="465"/>
      <c r="K140" s="465"/>
    </row>
    <row r="141" spans="2:11">
      <c r="B141" s="465"/>
      <c r="C141" s="465"/>
      <c r="D141" s="465"/>
      <c r="E141" s="465"/>
      <c r="F141" s="465"/>
      <c r="G141" s="465"/>
      <c r="H141" s="465"/>
      <c r="I141" s="465"/>
      <c r="J141" s="465"/>
      <c r="K141" s="465"/>
    </row>
    <row r="142" spans="2:11">
      <c r="B142" s="465"/>
      <c r="C142" s="465"/>
      <c r="D142" s="465"/>
      <c r="E142" s="465"/>
      <c r="F142" s="465"/>
      <c r="G142" s="465"/>
      <c r="H142" s="465"/>
      <c r="I142" s="465"/>
      <c r="J142" s="465"/>
      <c r="K142" s="465"/>
    </row>
    <row r="143" spans="2:11">
      <c r="B143" s="465"/>
      <c r="C143" s="465"/>
      <c r="D143" s="465"/>
      <c r="E143" s="465"/>
      <c r="F143" s="465"/>
      <c r="G143" s="465"/>
      <c r="H143" s="465"/>
      <c r="I143" s="465"/>
      <c r="J143" s="465"/>
      <c r="K143" s="465"/>
    </row>
  </sheetData>
  <mergeCells count="12">
    <mergeCell ref="B110:K143"/>
    <mergeCell ref="B4:C4"/>
    <mergeCell ref="B7:I7"/>
    <mergeCell ref="B8:J19"/>
    <mergeCell ref="B52:I62"/>
    <mergeCell ref="B68:K68"/>
    <mergeCell ref="B74:K74"/>
    <mergeCell ref="B81:K81"/>
    <mergeCell ref="B86:K86"/>
    <mergeCell ref="B92:K92"/>
    <mergeCell ref="B98:K98"/>
    <mergeCell ref="B108:D108"/>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C98A-1C3D-4054-A7E9-3E0F6062922A}">
  <sheetPr codeName="Sheet38"/>
  <dimension ref="B2:P68"/>
  <sheetViews>
    <sheetView showGridLines="0" workbookViewId="0">
      <selection activeCell="B4" sqref="B4"/>
    </sheetView>
  </sheetViews>
  <sheetFormatPr defaultRowHeight="13.8"/>
  <cols>
    <col min="1" max="1" width="8.88671875" style="391"/>
    <col min="2" max="2" width="28.33203125" style="391" customWidth="1"/>
    <col min="3" max="3" width="34.6640625" style="391" customWidth="1"/>
    <col min="4" max="4" width="8.88671875" style="391"/>
    <col min="5" max="5" width="13.44140625" style="391" customWidth="1"/>
    <col min="6" max="16384" width="8.88671875" style="391"/>
  </cols>
  <sheetData>
    <row r="2" spans="2:16" ht="17.399999999999999">
      <c r="B2" s="478" t="str">
        <f>"ESG Metric Analysis"&amp;" - "&amp;BS!$B$2</f>
        <v>ESG Metric Analysis - Ismail Industries Limited</v>
      </c>
      <c r="C2" s="478"/>
      <c r="D2" s="478"/>
      <c r="E2" s="478"/>
      <c r="F2" s="478"/>
      <c r="G2" s="398"/>
      <c r="H2" s="398"/>
      <c r="I2" s="398"/>
      <c r="J2" s="398"/>
      <c r="K2" s="393"/>
      <c r="L2" s="393"/>
      <c r="M2" s="393"/>
      <c r="N2" s="393"/>
      <c r="O2" s="393"/>
      <c r="P2" s="393"/>
    </row>
    <row r="5" spans="2:16">
      <c r="B5" s="480" t="s">
        <v>81</v>
      </c>
      <c r="C5" s="480"/>
    </row>
    <row r="6" spans="2:16" ht="13.8" customHeight="1">
      <c r="B6" s="479" t="s">
        <v>386</v>
      </c>
      <c r="C6" s="479"/>
      <c r="D6" s="479"/>
      <c r="E6" s="479"/>
      <c r="F6" s="479"/>
      <c r="G6" s="395"/>
      <c r="H6" s="395"/>
      <c r="I6" s="395"/>
      <c r="J6" s="395"/>
    </row>
    <row r="7" spans="2:16" ht="13.8" customHeight="1">
      <c r="B7" s="479"/>
      <c r="C7" s="479"/>
      <c r="D7" s="479"/>
      <c r="E7" s="479"/>
      <c r="F7" s="479"/>
      <c r="G7" s="395"/>
      <c r="H7" s="395"/>
      <c r="I7" s="395"/>
      <c r="J7" s="395"/>
    </row>
    <row r="8" spans="2:16" ht="13.8" customHeight="1">
      <c r="B8" s="479"/>
      <c r="C8" s="479"/>
      <c r="D8" s="479"/>
      <c r="E8" s="479"/>
      <c r="F8" s="479"/>
      <c r="G8" s="395"/>
      <c r="H8" s="395"/>
      <c r="I8" s="395"/>
      <c r="J8" s="395"/>
    </row>
    <row r="9" spans="2:16" ht="13.8" customHeight="1">
      <c r="B9" s="479"/>
      <c r="C9" s="479"/>
      <c r="D9" s="479"/>
      <c r="E9" s="479"/>
      <c r="F9" s="479"/>
      <c r="G9" s="395"/>
      <c r="H9" s="395"/>
      <c r="I9" s="395"/>
      <c r="J9" s="395"/>
    </row>
    <row r="10" spans="2:16" ht="13.8" customHeight="1">
      <c r="B10" s="479"/>
      <c r="C10" s="479"/>
      <c r="D10" s="479"/>
      <c r="E10" s="479"/>
      <c r="F10" s="479"/>
      <c r="G10" s="395"/>
      <c r="H10" s="395"/>
      <c r="I10" s="395"/>
      <c r="J10" s="395"/>
    </row>
    <row r="11" spans="2:16" ht="13.8" customHeight="1">
      <c r="B11" s="479"/>
      <c r="C11" s="479"/>
      <c r="D11" s="479"/>
      <c r="E11" s="479"/>
      <c r="F11" s="479"/>
      <c r="G11" s="395"/>
      <c r="H11" s="395"/>
      <c r="I11" s="395"/>
      <c r="J11" s="395"/>
    </row>
    <row r="12" spans="2:16" ht="13.8" customHeight="1">
      <c r="B12" s="479"/>
      <c r="C12" s="479"/>
      <c r="D12" s="479"/>
      <c r="E12" s="479"/>
      <c r="F12" s="479"/>
      <c r="G12" s="395"/>
      <c r="H12" s="395"/>
      <c r="I12" s="395"/>
      <c r="J12" s="395"/>
    </row>
    <row r="13" spans="2:16" ht="13.8" customHeight="1">
      <c r="B13" s="479"/>
      <c r="C13" s="479"/>
      <c r="D13" s="479"/>
      <c r="E13" s="479"/>
      <c r="F13" s="479"/>
      <c r="G13" s="395"/>
      <c r="H13" s="395"/>
      <c r="I13" s="395"/>
      <c r="J13" s="395"/>
    </row>
    <row r="14" spans="2:16" ht="13.8" customHeight="1">
      <c r="B14" s="479"/>
      <c r="C14" s="479"/>
      <c r="D14" s="479"/>
      <c r="E14" s="479"/>
      <c r="F14" s="479"/>
      <c r="G14" s="395"/>
      <c r="H14" s="395"/>
      <c r="I14" s="395"/>
      <c r="J14" s="395"/>
    </row>
    <row r="15" spans="2:16" ht="13.8" customHeight="1">
      <c r="B15" s="479"/>
      <c r="C15" s="479"/>
      <c r="D15" s="479"/>
      <c r="E15" s="479"/>
      <c r="F15" s="479"/>
      <c r="G15" s="395"/>
      <c r="H15" s="395"/>
      <c r="I15" s="395"/>
      <c r="J15" s="395"/>
    </row>
    <row r="16" spans="2:16" ht="13.8" customHeight="1">
      <c r="B16" s="479"/>
      <c r="C16" s="479"/>
      <c r="D16" s="479"/>
      <c r="E16" s="479"/>
      <c r="F16" s="479"/>
      <c r="G16" s="395"/>
      <c r="H16" s="395"/>
      <c r="I16" s="395"/>
      <c r="J16" s="395"/>
    </row>
    <row r="17" spans="2:16" ht="13.8" customHeight="1">
      <c r="B17" s="479"/>
      <c r="C17" s="479"/>
      <c r="D17" s="479"/>
      <c r="E17" s="479"/>
      <c r="F17" s="479"/>
      <c r="G17" s="395"/>
      <c r="H17" s="395"/>
      <c r="I17" s="395"/>
      <c r="J17" s="395"/>
    </row>
    <row r="18" spans="2:16" ht="13.8" customHeight="1">
      <c r="B18" s="479"/>
      <c r="C18" s="479"/>
      <c r="D18" s="479"/>
      <c r="E18" s="479"/>
      <c r="F18" s="479"/>
      <c r="G18" s="394"/>
      <c r="H18" s="394"/>
      <c r="I18" s="394"/>
      <c r="J18" s="394"/>
    </row>
    <row r="19" spans="2:16" ht="13.8" customHeight="1">
      <c r="B19" s="394"/>
      <c r="C19" s="394"/>
      <c r="D19" s="394"/>
      <c r="E19" s="394"/>
      <c r="F19" s="394"/>
      <c r="G19" s="394"/>
      <c r="H19" s="394"/>
      <c r="I19" s="394"/>
      <c r="J19" s="394"/>
    </row>
    <row r="20" spans="2:16" ht="7.2" customHeight="1">
      <c r="B20" s="394"/>
      <c r="C20" s="394"/>
      <c r="D20" s="394"/>
      <c r="E20" s="394"/>
      <c r="F20" s="394"/>
      <c r="G20" s="394"/>
      <c r="H20" s="394"/>
      <c r="I20" s="394"/>
      <c r="J20" s="394"/>
    </row>
    <row r="21" spans="2:16" ht="14.4">
      <c r="B21" s="412" t="str">
        <f>"ESG Matrix Analysis"&amp;" - "&amp;BS!$B$2</f>
        <v>ESG Matrix Analysis - Ismail Industries Limited</v>
      </c>
      <c r="C21" s="412"/>
      <c r="D21" s="412"/>
      <c r="E21" s="412"/>
      <c r="F21" s="412"/>
      <c r="G21" s="392"/>
      <c r="H21" s="392"/>
      <c r="I21" s="392"/>
      <c r="J21" s="392"/>
      <c r="K21" s="392"/>
      <c r="L21" s="392"/>
      <c r="M21" s="392"/>
      <c r="N21" s="392"/>
      <c r="O21" s="392"/>
      <c r="P21" s="392"/>
    </row>
    <row r="22" spans="2:16" ht="13.8" customHeight="1">
      <c r="B22" s="424" t="s">
        <v>364</v>
      </c>
      <c r="C22" s="424"/>
      <c r="D22" s="424"/>
      <c r="E22" s="424"/>
      <c r="F22" s="424"/>
      <c r="G22" s="424"/>
      <c r="H22" s="424"/>
      <c r="I22" s="424"/>
      <c r="J22" s="424"/>
      <c r="K22" s="424"/>
      <c r="L22" s="424"/>
      <c r="M22" s="424"/>
      <c r="N22" s="424"/>
      <c r="O22" s="424"/>
      <c r="P22" s="424"/>
    </row>
    <row r="23" spans="2:16" ht="13.8" customHeight="1">
      <c r="B23" s="424"/>
      <c r="C23" s="424"/>
      <c r="D23" s="424"/>
      <c r="E23" s="424"/>
      <c r="F23" s="424"/>
      <c r="G23" s="424"/>
      <c r="H23" s="424"/>
      <c r="I23" s="424"/>
      <c r="J23" s="424"/>
      <c r="K23" s="424"/>
      <c r="L23" s="424"/>
      <c r="M23" s="424"/>
      <c r="N23" s="424"/>
      <c r="O23" s="424"/>
      <c r="P23" s="424"/>
    </row>
    <row r="24" spans="2:16" ht="13.8" customHeight="1">
      <c r="B24" s="424"/>
      <c r="C24" s="424"/>
      <c r="D24" s="424"/>
      <c r="E24" s="424"/>
      <c r="F24" s="424"/>
      <c r="G24" s="424"/>
      <c r="H24" s="424"/>
      <c r="I24" s="424"/>
      <c r="J24" s="424"/>
      <c r="K24" s="424"/>
      <c r="L24" s="424"/>
      <c r="M24" s="424"/>
      <c r="N24" s="424"/>
      <c r="O24" s="424"/>
      <c r="P24" s="424"/>
    </row>
    <row r="25" spans="2:16" ht="13.8" customHeight="1">
      <c r="B25" s="424"/>
      <c r="C25" s="424"/>
      <c r="D25" s="424"/>
      <c r="E25" s="424"/>
      <c r="F25" s="424"/>
      <c r="G25" s="424"/>
      <c r="H25" s="424"/>
      <c r="I25" s="424"/>
      <c r="J25" s="424"/>
      <c r="K25" s="424"/>
      <c r="L25" s="424"/>
      <c r="M25" s="424"/>
      <c r="N25" s="424"/>
      <c r="O25" s="424"/>
      <c r="P25" s="424"/>
    </row>
    <row r="26" spans="2:16" ht="13.8" customHeight="1">
      <c r="B26" s="424"/>
      <c r="C26" s="424"/>
      <c r="D26" s="424"/>
      <c r="E26" s="424"/>
      <c r="F26" s="424"/>
      <c r="G26" s="424"/>
      <c r="H26" s="424"/>
      <c r="I26" s="424"/>
      <c r="J26" s="424"/>
      <c r="K26" s="424"/>
      <c r="L26" s="424"/>
      <c r="M26" s="424"/>
      <c r="N26" s="424"/>
      <c r="O26" s="424"/>
      <c r="P26" s="424"/>
    </row>
    <row r="27" spans="2:16" ht="13.8" customHeight="1">
      <c r="B27" s="424"/>
      <c r="C27" s="424"/>
      <c r="D27" s="424"/>
      <c r="E27" s="424"/>
      <c r="F27" s="424"/>
      <c r="G27" s="424"/>
      <c r="H27" s="424"/>
      <c r="I27" s="424"/>
      <c r="J27" s="424"/>
      <c r="K27" s="424"/>
      <c r="L27" s="424"/>
      <c r="M27" s="424"/>
      <c r="N27" s="424"/>
      <c r="O27" s="424"/>
      <c r="P27" s="424"/>
    </row>
    <row r="28" spans="2:16" ht="13.8" customHeight="1">
      <c r="B28" s="424"/>
      <c r="C28" s="424"/>
      <c r="D28" s="424"/>
      <c r="E28" s="424"/>
      <c r="F28" s="424"/>
      <c r="G28" s="424"/>
      <c r="H28" s="424"/>
      <c r="I28" s="424"/>
      <c r="J28" s="424"/>
      <c r="K28" s="424"/>
      <c r="L28" s="424"/>
      <c r="M28" s="424"/>
      <c r="N28" s="424"/>
      <c r="O28" s="424"/>
      <c r="P28" s="424"/>
    </row>
    <row r="29" spans="2:16" ht="13.8" customHeight="1">
      <c r="B29" s="424"/>
      <c r="C29" s="424"/>
      <c r="D29" s="424"/>
      <c r="E29" s="424"/>
      <c r="F29" s="424"/>
      <c r="G29" s="424"/>
      <c r="H29" s="424"/>
      <c r="I29" s="424"/>
      <c r="J29" s="424"/>
      <c r="K29" s="424"/>
      <c r="L29" s="424"/>
      <c r="M29" s="424"/>
      <c r="N29" s="424"/>
      <c r="O29" s="424"/>
      <c r="P29" s="424"/>
    </row>
    <row r="30" spans="2:16" ht="13.8" customHeight="1">
      <c r="B30" s="424"/>
      <c r="C30" s="424"/>
      <c r="D30" s="424"/>
      <c r="E30" s="424"/>
      <c r="F30" s="424"/>
      <c r="G30" s="424"/>
      <c r="H30" s="424"/>
      <c r="I30" s="424"/>
      <c r="J30" s="424"/>
      <c r="K30" s="424"/>
      <c r="L30" s="424"/>
      <c r="M30" s="424"/>
      <c r="N30" s="424"/>
      <c r="O30" s="424"/>
      <c r="P30" s="424"/>
    </row>
    <row r="31" spans="2:16" ht="13.8" customHeight="1">
      <c r="B31" s="424"/>
      <c r="C31" s="424"/>
      <c r="D31" s="424"/>
      <c r="E31" s="424"/>
      <c r="F31" s="424"/>
      <c r="G31" s="424"/>
      <c r="H31" s="424"/>
      <c r="I31" s="424"/>
      <c r="J31" s="424"/>
      <c r="K31" s="424"/>
      <c r="L31" s="424"/>
      <c r="M31" s="424"/>
      <c r="N31" s="424"/>
      <c r="O31" s="424"/>
      <c r="P31" s="424"/>
    </row>
    <row r="32" spans="2:16" ht="13.8" customHeight="1">
      <c r="B32" s="424"/>
      <c r="C32" s="424"/>
      <c r="D32" s="424"/>
      <c r="E32" s="424"/>
      <c r="F32" s="424"/>
      <c r="G32" s="424"/>
      <c r="H32" s="424"/>
      <c r="I32" s="424"/>
      <c r="J32" s="424"/>
      <c r="K32" s="424"/>
      <c r="L32" s="424"/>
      <c r="M32" s="424"/>
      <c r="N32" s="424"/>
      <c r="O32" s="424"/>
      <c r="P32" s="424"/>
    </row>
    <row r="33" spans="2:16" ht="13.8" customHeight="1">
      <c r="B33" s="424"/>
      <c r="C33" s="424"/>
      <c r="D33" s="424"/>
      <c r="E33" s="424"/>
      <c r="F33" s="424"/>
      <c r="G33" s="424"/>
      <c r="H33" s="424"/>
      <c r="I33" s="424"/>
      <c r="J33" s="424"/>
      <c r="K33" s="424"/>
      <c r="L33" s="424"/>
      <c r="M33" s="424"/>
      <c r="N33" s="424"/>
      <c r="O33" s="424"/>
      <c r="P33" s="424"/>
    </row>
    <row r="34" spans="2:16" ht="13.8" customHeight="1">
      <c r="B34" s="424"/>
      <c r="C34" s="424"/>
      <c r="D34" s="424"/>
      <c r="E34" s="424"/>
      <c r="F34" s="424"/>
      <c r="G34" s="424"/>
      <c r="H34" s="424"/>
      <c r="I34" s="424"/>
      <c r="J34" s="424"/>
      <c r="K34" s="424"/>
      <c r="L34" s="424"/>
      <c r="M34" s="424"/>
      <c r="N34" s="424"/>
      <c r="O34" s="424"/>
      <c r="P34" s="424"/>
    </row>
    <row r="35" spans="2:16" ht="13.8" customHeight="1">
      <c r="B35" s="424"/>
      <c r="C35" s="424"/>
      <c r="D35" s="424"/>
      <c r="E35" s="424"/>
      <c r="F35" s="424"/>
      <c r="G35" s="424"/>
      <c r="H35" s="424"/>
      <c r="I35" s="424"/>
      <c r="J35" s="424"/>
      <c r="K35" s="424"/>
      <c r="L35" s="424"/>
      <c r="M35" s="424"/>
      <c r="N35" s="424"/>
      <c r="O35" s="424"/>
      <c r="P35" s="424"/>
    </row>
    <row r="36" spans="2:16" ht="13.8" customHeight="1">
      <c r="B36" s="424"/>
      <c r="C36" s="424"/>
      <c r="D36" s="424"/>
      <c r="E36" s="424"/>
      <c r="F36" s="424"/>
      <c r="G36" s="424"/>
      <c r="H36" s="424"/>
      <c r="I36" s="424"/>
      <c r="J36" s="424"/>
      <c r="K36" s="424"/>
      <c r="L36" s="424"/>
      <c r="M36" s="424"/>
      <c r="N36" s="424"/>
      <c r="O36" s="424"/>
      <c r="P36" s="424"/>
    </row>
    <row r="37" spans="2:16" ht="13.8" customHeight="1">
      <c r="B37" s="424"/>
      <c r="C37" s="424"/>
      <c r="D37" s="424"/>
      <c r="E37" s="424"/>
      <c r="F37" s="424"/>
      <c r="G37" s="424"/>
      <c r="H37" s="424"/>
      <c r="I37" s="424"/>
      <c r="J37" s="424"/>
      <c r="K37" s="424"/>
      <c r="L37" s="424"/>
      <c r="M37" s="424"/>
      <c r="N37" s="424"/>
      <c r="O37" s="424"/>
      <c r="P37" s="424"/>
    </row>
    <row r="38" spans="2:16" ht="13.8" customHeight="1">
      <c r="B38" s="424"/>
      <c r="C38" s="424"/>
      <c r="D38" s="424"/>
      <c r="E38" s="424"/>
      <c r="F38" s="424"/>
      <c r="G38" s="424"/>
      <c r="H38" s="424"/>
      <c r="I38" s="424"/>
      <c r="J38" s="424"/>
      <c r="K38" s="424"/>
      <c r="L38" s="424"/>
      <c r="M38" s="424"/>
      <c r="N38" s="424"/>
      <c r="O38" s="424"/>
      <c r="P38" s="424"/>
    </row>
    <row r="39" spans="2:16" ht="13.8" customHeight="1">
      <c r="B39" s="424"/>
      <c r="C39" s="424"/>
      <c r="D39" s="424"/>
      <c r="E39" s="424"/>
      <c r="F39" s="424"/>
      <c r="G39" s="424"/>
      <c r="H39" s="424"/>
      <c r="I39" s="424"/>
      <c r="J39" s="424"/>
      <c r="K39" s="424"/>
      <c r="L39" s="424"/>
      <c r="M39" s="424"/>
      <c r="N39" s="424"/>
      <c r="O39" s="424"/>
      <c r="P39" s="424"/>
    </row>
    <row r="40" spans="2:16" ht="13.8" customHeight="1">
      <c r="B40" s="424"/>
      <c r="C40" s="424"/>
      <c r="D40" s="424"/>
      <c r="E40" s="424"/>
      <c r="F40" s="424"/>
      <c r="G40" s="424"/>
      <c r="H40" s="424"/>
      <c r="I40" s="424"/>
      <c r="J40" s="424"/>
      <c r="K40" s="424"/>
      <c r="L40" s="424"/>
      <c r="M40" s="424"/>
      <c r="N40" s="424"/>
      <c r="O40" s="424"/>
      <c r="P40" s="424"/>
    </row>
    <row r="41" spans="2:16" ht="13.8" customHeight="1">
      <c r="B41" s="424"/>
      <c r="C41" s="424"/>
      <c r="D41" s="424"/>
      <c r="E41" s="424"/>
      <c r="F41" s="424"/>
      <c r="G41" s="424"/>
      <c r="H41" s="424"/>
      <c r="I41" s="424"/>
      <c r="J41" s="424"/>
      <c r="K41" s="424"/>
      <c r="L41" s="424"/>
      <c r="M41" s="424"/>
      <c r="N41" s="424"/>
      <c r="O41" s="424"/>
      <c r="P41" s="424"/>
    </row>
    <row r="42" spans="2:16" ht="13.8" customHeight="1">
      <c r="B42" s="424"/>
      <c r="C42" s="424"/>
      <c r="D42" s="424"/>
      <c r="E42" s="424"/>
      <c r="F42" s="424"/>
      <c r="G42" s="424"/>
      <c r="H42" s="424"/>
      <c r="I42" s="424"/>
      <c r="J42" s="424"/>
      <c r="K42" s="424"/>
      <c r="L42" s="424"/>
      <c r="M42" s="424"/>
      <c r="N42" s="424"/>
      <c r="O42" s="424"/>
      <c r="P42" s="424"/>
    </row>
    <row r="43" spans="2:16" ht="13.8" customHeight="1">
      <c r="B43" s="424"/>
      <c r="C43" s="424"/>
      <c r="D43" s="424"/>
      <c r="E43" s="424"/>
      <c r="F43" s="424"/>
      <c r="G43" s="424"/>
      <c r="H43" s="424"/>
      <c r="I43" s="424"/>
      <c r="J43" s="424"/>
      <c r="K43" s="424"/>
      <c r="L43" s="424"/>
      <c r="M43" s="424"/>
      <c r="N43" s="424"/>
      <c r="O43" s="424"/>
      <c r="P43" s="424"/>
    </row>
    <row r="44" spans="2:16" ht="13.8" customHeight="1">
      <c r="B44" s="73"/>
      <c r="C44" s="73"/>
      <c r="D44" s="73"/>
      <c r="E44" s="73"/>
      <c r="F44" s="73"/>
      <c r="G44" s="73"/>
      <c r="H44" s="73"/>
      <c r="I44" s="73"/>
      <c r="J44" s="73"/>
      <c r="K44" s="73"/>
      <c r="L44" s="73"/>
      <c r="M44" s="73"/>
      <c r="N44" s="73"/>
      <c r="O44" s="73"/>
      <c r="P44" s="73"/>
    </row>
    <row r="45" spans="2:16" ht="13.8" customHeight="1">
      <c r="B45" s="73"/>
      <c r="C45" s="73"/>
      <c r="D45" s="73"/>
      <c r="E45" s="73"/>
      <c r="F45" s="73"/>
      <c r="G45" s="73"/>
      <c r="H45" s="73"/>
      <c r="I45" s="73"/>
      <c r="J45" s="73"/>
      <c r="K45" s="73"/>
      <c r="L45" s="73"/>
      <c r="M45" s="73"/>
      <c r="N45" s="73"/>
      <c r="O45" s="73"/>
      <c r="P45" s="73"/>
    </row>
    <row r="46" spans="2:16" ht="13.8" customHeight="1">
      <c r="B46" s="397" t="s">
        <v>365</v>
      </c>
      <c r="C46" s="397" t="s">
        <v>366</v>
      </c>
      <c r="D46" s="397" t="s">
        <v>367</v>
      </c>
      <c r="E46" s="397" t="s">
        <v>368</v>
      </c>
      <c r="F46" s="73"/>
      <c r="G46" s="73"/>
      <c r="H46" s="73"/>
      <c r="I46" s="73"/>
      <c r="J46" s="73"/>
      <c r="K46" s="73"/>
      <c r="L46" s="73"/>
      <c r="M46" s="73"/>
      <c r="N46" s="73"/>
      <c r="O46" s="73"/>
      <c r="P46" s="73"/>
    </row>
    <row r="47" spans="2:16" ht="18" customHeight="1">
      <c r="B47" s="284" t="s">
        <v>369</v>
      </c>
      <c r="C47" s="73" t="s">
        <v>370</v>
      </c>
      <c r="D47" s="396">
        <v>0.1</v>
      </c>
      <c r="E47" s="73">
        <v>3</v>
      </c>
      <c r="F47" s="73"/>
      <c r="G47" s="73"/>
      <c r="H47" s="73"/>
      <c r="I47" s="73"/>
      <c r="J47" s="73"/>
      <c r="K47" s="73"/>
      <c r="L47" s="73"/>
      <c r="M47" s="73"/>
      <c r="N47" s="73"/>
      <c r="O47" s="73"/>
      <c r="P47" s="73"/>
    </row>
    <row r="48" spans="2:16" ht="18" customHeight="1">
      <c r="C48" s="73" t="s">
        <v>371</v>
      </c>
      <c r="D48" s="396">
        <v>0.1</v>
      </c>
      <c r="E48" s="73">
        <v>2</v>
      </c>
      <c r="F48" s="73"/>
      <c r="G48" s="73"/>
      <c r="H48" s="73"/>
      <c r="I48" s="73"/>
      <c r="J48" s="73"/>
      <c r="K48" s="73"/>
      <c r="L48" s="73"/>
      <c r="M48" s="73"/>
      <c r="N48" s="73"/>
      <c r="O48" s="73"/>
      <c r="P48" s="73"/>
    </row>
    <row r="49" spans="2:16" ht="18" customHeight="1">
      <c r="C49" s="73" t="s">
        <v>372</v>
      </c>
      <c r="D49" s="396">
        <v>0.05</v>
      </c>
      <c r="E49" s="73">
        <v>4</v>
      </c>
      <c r="F49" s="73"/>
      <c r="G49" s="73"/>
      <c r="H49" s="73"/>
      <c r="I49" s="73"/>
      <c r="J49" s="73"/>
      <c r="K49" s="73"/>
      <c r="L49" s="73"/>
      <c r="M49" s="73"/>
      <c r="N49" s="73"/>
      <c r="O49" s="73"/>
      <c r="P49" s="73"/>
    </row>
    <row r="50" spans="2:16" ht="18" customHeight="1">
      <c r="C50" s="73" t="s">
        <v>373</v>
      </c>
      <c r="D50" s="396">
        <v>0.05</v>
      </c>
      <c r="E50" s="73">
        <v>3</v>
      </c>
      <c r="F50" s="73"/>
      <c r="G50" s="73"/>
      <c r="H50" s="73"/>
      <c r="I50" s="73"/>
      <c r="J50" s="73"/>
      <c r="K50" s="73"/>
      <c r="L50" s="73"/>
      <c r="M50" s="73"/>
      <c r="N50" s="73"/>
      <c r="O50" s="73"/>
      <c r="P50" s="73"/>
    </row>
    <row r="51" spans="2:16" ht="18" customHeight="1">
      <c r="C51" s="73"/>
      <c r="D51" s="73"/>
      <c r="E51" s="73"/>
      <c r="F51" s="73"/>
      <c r="G51" s="73"/>
      <c r="H51" s="73"/>
      <c r="I51" s="73"/>
      <c r="J51" s="73"/>
      <c r="K51" s="73"/>
      <c r="L51" s="73"/>
      <c r="M51" s="73"/>
      <c r="N51" s="73"/>
      <c r="O51" s="73"/>
      <c r="P51" s="73"/>
    </row>
    <row r="52" spans="2:16" ht="18" customHeight="1">
      <c r="B52" s="284" t="s">
        <v>374</v>
      </c>
      <c r="C52" s="73" t="s">
        <v>375</v>
      </c>
      <c r="D52" s="396">
        <v>0.1</v>
      </c>
      <c r="E52" s="73">
        <v>4</v>
      </c>
      <c r="F52" s="73"/>
      <c r="G52" s="73"/>
      <c r="H52" s="73"/>
      <c r="I52" s="73"/>
      <c r="J52" s="73"/>
      <c r="K52" s="73"/>
      <c r="L52" s="73"/>
      <c r="M52" s="73"/>
      <c r="N52" s="73"/>
      <c r="O52" s="73"/>
      <c r="P52" s="73"/>
    </row>
    <row r="53" spans="2:16" ht="18" customHeight="1">
      <c r="C53" s="73" t="s">
        <v>376</v>
      </c>
      <c r="D53" s="396">
        <v>0.1</v>
      </c>
      <c r="E53" s="73">
        <v>3</v>
      </c>
      <c r="F53" s="73"/>
      <c r="G53" s="73"/>
      <c r="H53" s="73"/>
      <c r="I53" s="73"/>
      <c r="J53" s="73"/>
      <c r="K53" s="73"/>
      <c r="L53" s="73"/>
      <c r="M53" s="73"/>
      <c r="N53" s="73"/>
      <c r="O53" s="73"/>
      <c r="P53" s="73"/>
    </row>
    <row r="54" spans="2:16" ht="18" customHeight="1">
      <c r="C54" s="73" t="s">
        <v>377</v>
      </c>
      <c r="D54" s="396">
        <v>0.05</v>
      </c>
      <c r="E54" s="73">
        <v>4</v>
      </c>
      <c r="F54" s="73"/>
      <c r="G54" s="73"/>
      <c r="H54" s="73"/>
      <c r="I54" s="73"/>
      <c r="J54" s="73"/>
      <c r="K54" s="73"/>
      <c r="L54" s="73"/>
      <c r="M54" s="73"/>
      <c r="N54" s="73"/>
      <c r="O54" s="73"/>
      <c r="P54" s="73"/>
    </row>
    <row r="55" spans="2:16" ht="18" customHeight="1">
      <c r="C55" s="73" t="s">
        <v>378</v>
      </c>
      <c r="D55" s="396">
        <v>0.1</v>
      </c>
      <c r="E55" s="73">
        <v>5</v>
      </c>
      <c r="F55" s="73"/>
      <c r="G55" s="73"/>
      <c r="H55" s="73"/>
      <c r="I55" s="73"/>
      <c r="J55" s="73"/>
      <c r="K55" s="73"/>
      <c r="L55" s="73"/>
      <c r="M55" s="73"/>
      <c r="N55" s="73"/>
      <c r="O55" s="73"/>
      <c r="P55" s="73"/>
    </row>
    <row r="56" spans="2:16" ht="18" customHeight="1">
      <c r="C56" s="73"/>
      <c r="D56" s="73"/>
      <c r="E56" s="73"/>
      <c r="F56" s="73"/>
      <c r="G56" s="73"/>
      <c r="H56" s="73"/>
      <c r="I56" s="73"/>
      <c r="J56" s="73"/>
      <c r="K56" s="73"/>
      <c r="L56" s="73"/>
      <c r="M56" s="73"/>
      <c r="N56" s="73"/>
      <c r="O56" s="73"/>
      <c r="P56" s="73"/>
    </row>
    <row r="57" spans="2:16" ht="18" customHeight="1">
      <c r="B57" s="284" t="s">
        <v>379</v>
      </c>
      <c r="C57" s="73" t="s">
        <v>380</v>
      </c>
      <c r="D57" s="396">
        <v>0.1</v>
      </c>
      <c r="E57" s="73">
        <v>3</v>
      </c>
    </row>
    <row r="58" spans="2:16" ht="18" customHeight="1">
      <c r="C58" s="73" t="s">
        <v>381</v>
      </c>
      <c r="D58" s="396">
        <v>0.1</v>
      </c>
      <c r="E58" s="73">
        <v>4</v>
      </c>
    </row>
    <row r="59" spans="2:16" ht="18" customHeight="1">
      <c r="C59" s="73" t="s">
        <v>382</v>
      </c>
      <c r="D59" s="396">
        <v>0.05</v>
      </c>
      <c r="E59" s="73">
        <v>4</v>
      </c>
    </row>
    <row r="60" spans="2:16" ht="18" customHeight="1">
      <c r="C60" s="73" t="s">
        <v>383</v>
      </c>
      <c r="D60" s="396">
        <v>0.1</v>
      </c>
      <c r="E60" s="73">
        <v>3</v>
      </c>
    </row>
    <row r="63" spans="2:16" ht="25.8" customHeight="1">
      <c r="B63" s="284" t="s">
        <v>384</v>
      </c>
      <c r="C63" s="284">
        <f>SUMPRODUCT(E47:E60,D47:D60)</f>
        <v>3.45</v>
      </c>
    </row>
    <row r="66" spans="2:8" ht="14.4">
      <c r="B66" s="284" t="s">
        <v>68</v>
      </c>
    </row>
    <row r="67" spans="2:8" ht="68.400000000000006" customHeight="1">
      <c r="B67" s="464" t="s">
        <v>385</v>
      </c>
      <c r="C67" s="464"/>
      <c r="D67" s="464"/>
      <c r="E67" s="464"/>
      <c r="F67" s="464"/>
      <c r="G67" s="464"/>
      <c r="H67" s="464"/>
    </row>
    <row r="68" spans="2:8">
      <c r="B68" s="464"/>
      <c r="C68" s="464"/>
      <c r="D68" s="464"/>
      <c r="E68" s="464"/>
      <c r="F68" s="464"/>
      <c r="G68" s="464"/>
      <c r="H68" s="464"/>
    </row>
  </sheetData>
  <mergeCells count="6">
    <mergeCell ref="B67:H68"/>
    <mergeCell ref="B2:F2"/>
    <mergeCell ref="B6:F18"/>
    <mergeCell ref="B21:F21"/>
    <mergeCell ref="B5:C5"/>
    <mergeCell ref="B22:P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Table of Contents</vt:lpstr>
      <vt:lpstr>BS</vt:lpstr>
      <vt:lpstr>Pnl</vt:lpstr>
      <vt:lpstr>Ratio Analysis-Profitability</vt:lpstr>
      <vt:lpstr>Ratio Analysis-Liquidity</vt:lpstr>
      <vt:lpstr>Ratio Analysis-Solvency</vt:lpstr>
      <vt:lpstr>Ratio Analysis-Investment</vt:lpstr>
      <vt:lpstr>Ratio Analysis-Activity</vt:lpstr>
      <vt:lpstr>Common Size Statement</vt:lpstr>
      <vt:lpstr>Forecasting-Sales</vt:lpstr>
      <vt:lpstr>Forecasting-Sales-other methods</vt:lpstr>
      <vt:lpstr>Forecasting-Profitability</vt:lpstr>
      <vt:lpstr>Forecasting-EPS</vt:lpstr>
      <vt:lpstr>Forecasting-Inevstment Ratios</vt:lpstr>
      <vt:lpstr>Forecasting-Solvency Ratios</vt:lpstr>
      <vt:lpstr>Forecasting-Liquidity Ratios</vt:lpstr>
      <vt:lpstr>Forecasting-Activity Ratio</vt:lpstr>
      <vt:lpstr>Scenario Analsis-PE Ratio</vt:lpstr>
      <vt:lpstr>Scen Analysis-Div Payout policy</vt:lpstr>
      <vt:lpstr>Scen Analysis-div cover ratio</vt:lpstr>
      <vt:lpstr>Scenario Analysis-Gross Profit</vt:lpstr>
      <vt:lpstr>Scenario Analysis-PAT</vt:lpstr>
      <vt:lpstr>What if Analysis-Sales Growth</vt:lpstr>
      <vt:lpstr>Sensit Analysis-Int Cover Ratio</vt:lpstr>
      <vt:lpstr>Sensitivity Analysis-AR days</vt:lpstr>
      <vt:lpstr>Sensitivity Analysis-Inv days</vt:lpstr>
      <vt:lpstr>Raw Data for Dupont</vt:lpstr>
      <vt:lpstr>DuPont Analysis &amp; Summary</vt:lpstr>
      <vt:lpstr>One Page co. Profie</vt:lpstr>
      <vt:lpstr>Key Brands</vt:lpstr>
      <vt:lpstr>SWOT Analysis-IIL</vt:lpstr>
      <vt:lpstr>BCG Matrix Analysis-IIL</vt:lpstr>
      <vt:lpstr>MOAT Analysis-IIL</vt:lpstr>
      <vt:lpstr>Altman Z Score Modelling</vt:lpstr>
      <vt:lpstr>ESG Metric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Muhammad</dc:creator>
  <cp:lastModifiedBy>Hussain Muhammad</cp:lastModifiedBy>
  <dcterms:created xsi:type="dcterms:W3CDTF">2024-10-18T13:47:04Z</dcterms:created>
  <dcterms:modified xsi:type="dcterms:W3CDTF">2024-10-29T13:38:49Z</dcterms:modified>
</cp:coreProperties>
</file>