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khiibaedu-my.sharepoint.com/personal/abdulhadi_irfan_khi_iba_edu_pk/Documents/"/>
    </mc:Choice>
  </mc:AlternateContent>
  <xr:revisionPtr revIDLastSave="0" documentId="14_{7EEBDB7E-B734-42D6-9963-1D361CB66EE9}" xr6:coauthVersionLast="47" xr6:coauthVersionMax="47" xr10:uidLastSave="{00000000-0000-0000-0000-000000000000}"/>
  <bookViews>
    <workbookView xWindow="-108" yWindow="-108" windowWidth="23256" windowHeight="12576" firstSheet="8" activeTab="10" xr2:uid="{34E99394-02DC-47BD-9E5D-C62B56F00FF2}"/>
  </bookViews>
  <sheets>
    <sheet name="Assumptions" sheetId="31" r:id="rId1"/>
    <sheet name="Selection of peer companies" sheetId="33" r:id="rId2"/>
    <sheet name="WACC" sheetId="37" r:id="rId3"/>
    <sheet name="DCF Assumptions" sheetId="43" r:id="rId4"/>
    <sheet name="DCF &amp;Sensitivity Analysis" sheetId="39" r:id="rId5"/>
    <sheet name="Compr Scenario Analysis-DCF" sheetId="41" r:id="rId6"/>
    <sheet name="Raw Data for Relative Valuation" sheetId="16" r:id="rId7"/>
    <sheet name="OpenAI-Relative Valuation" sheetId="18" r:id="rId8"/>
    <sheet name="Football Field Analysis" sheetId="40" r:id="rId9"/>
    <sheet name="Valuation sustainability analys" sheetId="36" r:id="rId10"/>
    <sheet name="SWOT Analysis-Open AI" sheetId="42" r:id="rId11"/>
  </sheets>
  <externalReferences>
    <externalReference r:id="rId12"/>
  </externalReferences>
  <definedNames>
    <definedName name="Beta">'[1]WACC, Ke, Kd calc'!$C$5</definedName>
    <definedName name="Costofdebt">'[1]WACC, Ke, Kd calc'!$C$8</definedName>
    <definedName name="IQ_ADDIN" hidden="1">"AUTO"</definedName>
    <definedName name="IQ_CH" hidden="1">110000</definedName>
    <definedName name="IQ_CQ" hidden="1">5000</definedName>
    <definedName name="IQ_CY" hidden="1">10000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MONTH" hidden="1">15000</definedName>
    <definedName name="IQ_NAMES_REVISION_DATE_" hidden="1">40218.8268634259</definedName>
    <definedName name="IQ_NTM" hidden="1">6000</definedName>
    <definedName name="IQ_TODAY" hidden="1">0</definedName>
    <definedName name="IQ_WEEK" hidden="1">50000</definedName>
    <definedName name="IQ_YTD" hidden="1">3000</definedName>
    <definedName name="Marketreturn">'[1]WACC, Ke, Kd calc'!$C$4</definedName>
    <definedName name="MVofdebt">'[1]WACC, Ke, Kd calc'!$C$13</definedName>
    <definedName name="MVofequity">'[1]WACC, Ke, Kd calc'!$C$12</definedName>
    <definedName name="Riskfreerate">'[1]WACC, Ke, Kd calc'!$C$3</definedName>
    <definedName name="Taxrate">'[1]WACC, Ke, Kd calc'!$C$9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0" i="41" l="1"/>
  <c r="D10" i="41"/>
  <c r="C10" i="41"/>
  <c r="E9" i="41"/>
  <c r="D9" i="41"/>
  <c r="C9" i="41"/>
  <c r="B84" i="39"/>
  <c r="B71" i="39"/>
  <c r="B2" i="43"/>
  <c r="B2" i="39"/>
  <c r="B2" i="42"/>
  <c r="B2" i="31"/>
  <c r="E11" i="41"/>
  <c r="D11" i="41"/>
  <c r="C11" i="41"/>
  <c r="E8" i="41"/>
  <c r="D8" i="41"/>
  <c r="C8" i="41"/>
  <c r="E7" i="41"/>
  <c r="D7" i="41"/>
  <c r="C7" i="41"/>
  <c r="E6" i="41"/>
  <c r="D6" i="41"/>
  <c r="C6" i="41"/>
  <c r="B2" i="41"/>
  <c r="R4" i="40"/>
  <c r="Q4" i="40" s="1"/>
  <c r="P4" i="40"/>
  <c r="O4" i="40" s="1"/>
  <c r="Q27" i="18"/>
  <c r="M27" i="18"/>
  <c r="B2" i="40"/>
  <c r="B57" i="39"/>
  <c r="B2" i="36"/>
  <c r="M45" i="39"/>
  <c r="E35" i="39"/>
  <c r="E29" i="39"/>
  <c r="J22" i="39"/>
  <c r="K22" i="39" s="1"/>
  <c r="L22" i="39" s="1"/>
  <c r="M22" i="39" s="1"/>
  <c r="N22" i="39" s="1"/>
  <c r="B23" i="18"/>
  <c r="B3" i="18"/>
  <c r="I13" i="39"/>
  <c r="J13" i="39" s="1"/>
  <c r="K13" i="39" s="1"/>
  <c r="L13" i="39" s="1"/>
  <c r="M13" i="39" s="1"/>
  <c r="N13" i="39" s="1"/>
  <c r="J10" i="39"/>
  <c r="K10" i="39" s="1"/>
  <c r="L10" i="39" s="1"/>
  <c r="M10" i="39" s="1"/>
  <c r="N10" i="39" s="1"/>
  <c r="I7" i="39"/>
  <c r="I16" i="39" s="1"/>
  <c r="J5" i="39"/>
  <c r="K5" i="39" s="1"/>
  <c r="L5" i="39" s="1"/>
  <c r="M5" i="39" s="1"/>
  <c r="N5" i="39" s="1"/>
  <c r="L54" i="37"/>
  <c r="L51" i="37"/>
  <c r="D44" i="37"/>
  <c r="D45" i="37"/>
  <c r="E45" i="37" s="1"/>
  <c r="K19" i="37"/>
  <c r="K18" i="37"/>
  <c r="L12" i="37"/>
  <c r="B15" i="37"/>
  <c r="B16" i="37"/>
  <c r="B14" i="37"/>
  <c r="I15" i="37"/>
  <c r="H15" i="37"/>
  <c r="B2" i="37"/>
  <c r="L35" i="37"/>
  <c r="H16" i="37"/>
  <c r="H14" i="37"/>
  <c r="B2" i="33"/>
  <c r="B8" i="18"/>
  <c r="Q25" i="18"/>
  <c r="M25" i="18"/>
  <c r="G8" i="18"/>
  <c r="F8" i="18"/>
  <c r="J5" i="16"/>
  <c r="I5" i="16"/>
  <c r="C5" i="16"/>
  <c r="O7" i="16"/>
  <c r="N7" i="16"/>
  <c r="M7" i="16"/>
  <c r="G7" i="16"/>
  <c r="J7" i="39" l="1"/>
  <c r="K7" i="39" s="1"/>
  <c r="L7" i="39" s="1"/>
  <c r="M7" i="39" s="1"/>
  <c r="N7" i="39" s="1"/>
  <c r="R7" i="40"/>
  <c r="R6" i="40"/>
  <c r="P6" i="40"/>
  <c r="P7" i="40"/>
  <c r="R5" i="40"/>
  <c r="P5" i="40"/>
  <c r="N23" i="39"/>
  <c r="I23" i="39"/>
  <c r="K23" i="39"/>
  <c r="L23" i="39"/>
  <c r="M23" i="39"/>
  <c r="J23" i="39"/>
  <c r="E34" i="39"/>
  <c r="I11" i="39"/>
  <c r="I14" i="39" s="1"/>
  <c r="I18" i="39"/>
  <c r="I17" i="39"/>
  <c r="L15" i="37"/>
  <c r="J16" i="37"/>
  <c r="J15" i="37"/>
  <c r="J14" i="37"/>
  <c r="H18" i="37"/>
  <c r="I16" i="37"/>
  <c r="L16" i="37" s="1"/>
  <c r="I14" i="37"/>
  <c r="H19" i="37"/>
  <c r="E34" i="37" s="1"/>
  <c r="L45" i="37" s="1"/>
  <c r="I20" i="39" l="1"/>
  <c r="I25" i="39" s="1"/>
  <c r="J16" i="39"/>
  <c r="J11" i="39"/>
  <c r="J14" i="39" s="1"/>
  <c r="J17" i="39"/>
  <c r="J18" i="39"/>
  <c r="I19" i="37"/>
  <c r="L44" i="37" s="1"/>
  <c r="I18" i="37"/>
  <c r="J18" i="37"/>
  <c r="E43" i="37" s="1"/>
  <c r="E44" i="37" s="1"/>
  <c r="J19" i="37"/>
  <c r="L14" i="37"/>
  <c r="J20" i="39" l="1"/>
  <c r="J25" i="39" s="1"/>
  <c r="K17" i="39"/>
  <c r="K18" i="39"/>
  <c r="K11" i="39"/>
  <c r="K14" i="39" s="1"/>
  <c r="K16" i="39"/>
  <c r="L18" i="37"/>
  <c r="L19" i="37"/>
  <c r="L43" i="37" s="1"/>
  <c r="K20" i="39" l="1"/>
  <c r="K25" i="39" s="1"/>
  <c r="L17" i="39"/>
  <c r="L16" i="39"/>
  <c r="L18" i="39"/>
  <c r="L11" i="39"/>
  <c r="L14" i="39" s="1"/>
  <c r="E47" i="37"/>
  <c r="L46" i="37" s="1"/>
  <c r="L20" i="39" l="1"/>
  <c r="L25" i="39" s="1"/>
  <c r="M18" i="39"/>
  <c r="M11" i="39"/>
  <c r="M14" i="39" s="1"/>
  <c r="M16" i="39"/>
  <c r="M17" i="39"/>
  <c r="L36" i="37"/>
  <c r="L37" i="37" s="1"/>
  <c r="L50" i="37" s="1"/>
  <c r="M20" i="39" l="1"/>
  <c r="M25" i="39" s="1"/>
  <c r="N18" i="39"/>
  <c r="N11" i="39"/>
  <c r="N14" i="39" s="1"/>
  <c r="N17" i="39"/>
  <c r="N16" i="39"/>
  <c r="E35" i="37"/>
  <c r="L53" i="37" s="1"/>
  <c r="L56" i="37" s="1"/>
  <c r="N20" i="39" l="1"/>
  <c r="N25" i="39" l="1"/>
  <c r="E42" i="39" s="1"/>
  <c r="E33" i="39"/>
  <c r="E37" i="39" s="1"/>
  <c r="E43" i="39" s="1"/>
  <c r="E44" i="39" l="1"/>
  <c r="E48" i="39" s="1"/>
  <c r="E50" i="39" s="1"/>
  <c r="B72" i="39" l="1"/>
  <c r="B85" i="39"/>
  <c r="B58" i="39"/>
  <c r="M33" i="39"/>
  <c r="M46" i="39"/>
  <c r="Q7" i="40" l="1"/>
  <c r="O7" i="40"/>
  <c r="O6" i="40"/>
  <c r="Q6" i="40"/>
  <c r="Q5" i="40"/>
  <c r="O5" i="40"/>
  <c r="O8" i="16" l="1"/>
  <c r="N8" i="16"/>
  <c r="M8" i="16"/>
  <c r="G8" i="16"/>
  <c r="O9" i="16"/>
  <c r="N9" i="16"/>
  <c r="M9" i="16"/>
  <c r="G9" i="16"/>
  <c r="B10" i="18"/>
  <c r="B11" i="18"/>
  <c r="B9" i="18"/>
  <c r="Q10" i="18" l="1"/>
  <c r="Q11" i="18"/>
  <c r="Q9" i="18"/>
  <c r="Q8" i="18"/>
  <c r="P11" i="18"/>
  <c r="Q17" i="18" l="1"/>
  <c r="Q19" i="18"/>
  <c r="Q18" i="18"/>
  <c r="Q16" i="18"/>
  <c r="Q20" i="18"/>
  <c r="Q15" i="18"/>
  <c r="P10" i="18" l="1"/>
  <c r="P9" i="18"/>
  <c r="P8" i="18"/>
  <c r="O8" i="18"/>
  <c r="P19" i="18" l="1"/>
  <c r="P15" i="18"/>
  <c r="P17" i="18"/>
  <c r="P18" i="18"/>
  <c r="P20" i="18"/>
  <c r="P16" i="18"/>
  <c r="D8" i="18" l="1"/>
  <c r="O11" i="18" l="1"/>
  <c r="K11" i="18"/>
  <c r="J11" i="18"/>
  <c r="I11" i="18"/>
  <c r="G11" i="18"/>
  <c r="D11" i="18"/>
  <c r="O10" i="18"/>
  <c r="K10" i="18"/>
  <c r="J10" i="18"/>
  <c r="I10" i="18"/>
  <c r="G10" i="18"/>
  <c r="E10" i="18"/>
  <c r="D10" i="18"/>
  <c r="O9" i="18"/>
  <c r="K9" i="18"/>
  <c r="J9" i="18"/>
  <c r="I9" i="18"/>
  <c r="G9" i="18"/>
  <c r="D9" i="18"/>
  <c r="F11" i="18"/>
  <c r="E11" i="18"/>
  <c r="F10" i="18"/>
  <c r="F9" i="18"/>
  <c r="E9" i="18"/>
  <c r="K8" i="18"/>
  <c r="I8" i="18"/>
  <c r="E8" i="18"/>
  <c r="O18" i="18" l="1"/>
  <c r="O17" i="18"/>
  <c r="O19" i="18"/>
  <c r="O15" i="18"/>
  <c r="O16" i="18"/>
  <c r="O20" i="18"/>
  <c r="N9" i="18"/>
  <c r="N10" i="18"/>
  <c r="M9" i="18"/>
  <c r="N11" i="18"/>
  <c r="M10" i="18"/>
  <c r="M11" i="18"/>
  <c r="J8" i="18"/>
  <c r="M8" i="18"/>
  <c r="N15" i="18" l="1"/>
  <c r="M15" i="18"/>
  <c r="N18" i="18"/>
  <c r="N16" i="18"/>
  <c r="N19" i="18"/>
  <c r="N20" i="18"/>
  <c r="N17" i="18"/>
  <c r="M17" i="18"/>
  <c r="M18" i="18"/>
  <c r="M20" i="18"/>
  <c r="M19" i="18"/>
  <c r="M16" i="18"/>
  <c r="N8" i="1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Hussain Muhammad</author>
  </authors>
  <commentList>
    <comment ref="L9" authorId="0" shapeId="0" xr:uid="{1F2C7AD7-F176-49FB-B083-7672A7709F79}">
      <text>
        <r>
          <rPr>
            <b/>
            <sz val="9"/>
            <color indexed="81"/>
            <rFont val="Tahoma"/>
            <family val="2"/>
          </rPr>
          <t>Hussain Muhammad:</t>
        </r>
        <r>
          <rPr>
            <sz val="9"/>
            <color indexed="81"/>
            <rFont val="Tahoma"/>
            <family val="2"/>
          </rPr>
          <t xml:space="preserve">
This is also known as Ba or Beta Asset. It is calculated as Be*/(1+(1-tax rate)*debt/equity ratio)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Hussain Muhammad</author>
  </authors>
  <commentList>
    <comment ref="B22" authorId="0" shapeId="0" xr:uid="{46490023-ED38-461D-AB45-A2E0DCA24CA3}">
      <text>
        <r>
          <rPr>
            <b/>
            <sz val="9"/>
            <color indexed="81"/>
            <rFont val="Tahoma"/>
            <family val="2"/>
          </rPr>
          <t>Hussain Muhammad:</t>
        </r>
        <r>
          <rPr>
            <sz val="9"/>
            <color indexed="81"/>
            <rFont val="Tahoma"/>
            <family val="2"/>
          </rPr>
          <t xml:space="preserve">
It is general practice to not assume both cases
1) CFs arose constantly throughout the year
2) CFs arose at year end
So we use the mid-way path assuming that half CFs arose consistently and other half at year end</t>
        </r>
      </text>
    </comment>
  </commentList>
</comments>
</file>

<file path=xl/sharedStrings.xml><?xml version="1.0" encoding="utf-8"?>
<sst xmlns="http://schemas.openxmlformats.org/spreadsheetml/2006/main" count="285" uniqueCount="215">
  <si>
    <t xml:space="preserve">Weighted Average cost of Capital </t>
  </si>
  <si>
    <t>Peer/Comparable companies</t>
  </si>
  <si>
    <t>Debt/</t>
  </si>
  <si>
    <t>Levered</t>
  </si>
  <si>
    <t xml:space="preserve">Unlevered </t>
  </si>
  <si>
    <t>Name of the companies</t>
  </si>
  <si>
    <t>Country</t>
  </si>
  <si>
    <t>Total Debt</t>
  </si>
  <si>
    <t>Total Equity</t>
  </si>
  <si>
    <r>
      <t xml:space="preserve">Tax rate </t>
    </r>
    <r>
      <rPr>
        <vertAlign val="superscript"/>
        <sz val="11"/>
        <color theme="1"/>
        <rFont val="Calibri"/>
        <family val="2"/>
        <scheme val="minor"/>
      </rPr>
      <t>1</t>
    </r>
  </si>
  <si>
    <t>Equity</t>
  </si>
  <si>
    <t>Capital</t>
  </si>
  <si>
    <r>
      <t xml:space="preserve">Beta </t>
    </r>
    <r>
      <rPr>
        <vertAlign val="superscript"/>
        <sz val="11"/>
        <color theme="1"/>
        <rFont val="Calibri"/>
        <family val="2"/>
        <scheme val="minor"/>
      </rPr>
      <t>2</t>
    </r>
  </si>
  <si>
    <r>
      <t xml:space="preserve">Beta </t>
    </r>
    <r>
      <rPr>
        <vertAlign val="superscript"/>
        <sz val="11"/>
        <color theme="1"/>
        <rFont val="Calibri"/>
        <family val="2"/>
        <scheme val="minor"/>
      </rPr>
      <t>3</t>
    </r>
  </si>
  <si>
    <t xml:space="preserve">Average </t>
  </si>
  <si>
    <t xml:space="preserve"> </t>
  </si>
  <si>
    <t>Median</t>
  </si>
  <si>
    <t>Cost of Debt</t>
  </si>
  <si>
    <t>Cost of Equity</t>
  </si>
  <si>
    <t>Risk-free rate</t>
  </si>
  <si>
    <t>Tax rate</t>
  </si>
  <si>
    <t>Return from market</t>
  </si>
  <si>
    <t>Post-tax Cost of debt</t>
  </si>
  <si>
    <t>Equity Risk Premium (Rm-Rf)</t>
  </si>
  <si>
    <r>
      <t xml:space="preserve">Levered Beta </t>
    </r>
    <r>
      <rPr>
        <vertAlign val="superscript"/>
        <sz val="11"/>
        <color theme="1"/>
        <rFont val="Calibri"/>
        <family val="2"/>
        <scheme val="minor"/>
      </rPr>
      <t>4</t>
    </r>
  </si>
  <si>
    <t>Levered Beta (Be)</t>
  </si>
  <si>
    <t xml:space="preserve">Current </t>
  </si>
  <si>
    <t>Target</t>
  </si>
  <si>
    <t>Competitor Companies Median Unlevered Beta (Ba)</t>
  </si>
  <si>
    <t>Target Debt/Equity</t>
  </si>
  <si>
    <t>Total Capital</t>
  </si>
  <si>
    <t>Debt/Equity</t>
  </si>
  <si>
    <t>Weighted Average Cost of Capital</t>
  </si>
  <si>
    <t>N1</t>
  </si>
  <si>
    <t>Equity Weight</t>
  </si>
  <si>
    <t>Debt Weight</t>
  </si>
  <si>
    <t>WACC</t>
  </si>
  <si>
    <t>Companies</t>
  </si>
  <si>
    <t>Note 1</t>
  </si>
  <si>
    <t>Note 2</t>
  </si>
  <si>
    <t>Note 3</t>
  </si>
  <si>
    <t>Average</t>
  </si>
  <si>
    <t>Note</t>
  </si>
  <si>
    <t>#</t>
  </si>
  <si>
    <t xml:space="preserve">EBIT </t>
  </si>
  <si>
    <t>EBIT (1-Tax Rate)</t>
  </si>
  <si>
    <t>Intrinsic Growth Rate</t>
  </si>
  <si>
    <t>Actual</t>
  </si>
  <si>
    <t>Tax Rate</t>
  </si>
  <si>
    <t>Mid Year Convention</t>
  </si>
  <si>
    <t>Discounting factor</t>
  </si>
  <si>
    <t>PV of FCFF</t>
  </si>
  <si>
    <t>Calculation of Terminal Value</t>
  </si>
  <si>
    <t>FCFF (N+1)</t>
  </si>
  <si>
    <t>Terminal Growth Rate</t>
  </si>
  <si>
    <t>The Terminal Value is calculated using the Gordon's Growth Model. The Gordon Growth Model calculates terminal value by assuming perpetual growth of free cash flows beyond a forecast period. 
The formula is:
Terminal Value={ Final Year Free Cash Flow × (1+ Expected Growth Rate)}/(Discount Rate-Terminal Growth Rate)</t>
  </si>
  <si>
    <t>These Values represent the different Values of "Value Per Share" that will occur in case of different WACC and Terminal Growth Rate</t>
  </si>
  <si>
    <t>Calculation of Equity Value</t>
  </si>
  <si>
    <t>PV of Terminal Value</t>
  </si>
  <si>
    <t>Enterprise Value</t>
  </si>
  <si>
    <t>Add: Cash</t>
  </si>
  <si>
    <t>Less: Debt</t>
  </si>
  <si>
    <t>Equity Value</t>
  </si>
  <si>
    <t>Explanation</t>
  </si>
  <si>
    <t>These Values represent the different Values of Value per share that will occur in case of different WACC and Expected Growth Rate</t>
  </si>
  <si>
    <t>Changing Factor</t>
  </si>
  <si>
    <t>Base Case</t>
  </si>
  <si>
    <t>Best Case</t>
  </si>
  <si>
    <t>Worst Case</t>
  </si>
  <si>
    <t>Mkt Cap</t>
  </si>
  <si>
    <t>Shares outsdanding</t>
  </si>
  <si>
    <t>EBITDA %</t>
  </si>
  <si>
    <t>Enterprise value/Share</t>
  </si>
  <si>
    <t>EV/Sales</t>
  </si>
  <si>
    <t>EV/EBITDA</t>
  </si>
  <si>
    <t>PE Ratio</t>
  </si>
  <si>
    <t>Price to book ratio</t>
  </si>
  <si>
    <t>EV/EBIT</t>
  </si>
  <si>
    <t>Market Data</t>
  </si>
  <si>
    <t>Financials</t>
  </si>
  <si>
    <t>Valuation</t>
  </si>
  <si>
    <t>Company</t>
  </si>
  <si>
    <t>Ticker</t>
  </si>
  <si>
    <t>Share
Price</t>
  </si>
  <si>
    <t>Shares 
Outsdanding</t>
  </si>
  <si>
    <t>Equity 
Value</t>
  </si>
  <si>
    <t>Enterprise
 Value</t>
  </si>
  <si>
    <t>Revenue</t>
  </si>
  <si>
    <t>EBITDA</t>
  </si>
  <si>
    <t>Net Income 
(PAT)</t>
  </si>
  <si>
    <t>High</t>
  </si>
  <si>
    <t>75th Percentile</t>
  </si>
  <si>
    <t>25th Percentile</t>
  </si>
  <si>
    <t>Low</t>
  </si>
  <si>
    <t>Implied Enterprise Value</t>
  </si>
  <si>
    <t>Net Debt</t>
  </si>
  <si>
    <t>Football Field Analysis-Data</t>
  </si>
  <si>
    <t>OpenLow</t>
  </si>
  <si>
    <t>OpenHigh</t>
  </si>
  <si>
    <t>N4</t>
  </si>
  <si>
    <t>N2</t>
  </si>
  <si>
    <t>DCF Best case</t>
  </si>
  <si>
    <t>DCF Base</t>
  </si>
  <si>
    <t>DCF Worst Case</t>
  </si>
  <si>
    <t>N3</t>
  </si>
  <si>
    <t>DCF Base case is the current scenario with the current WACC calculated</t>
  </si>
  <si>
    <t>All figures are in USD unless stated otherwise</t>
  </si>
  <si>
    <t>USD M</t>
  </si>
  <si>
    <t xml:space="preserve"> M</t>
  </si>
  <si>
    <t>PB Ratio</t>
  </si>
  <si>
    <t>Book Value of Equity</t>
  </si>
  <si>
    <t>DCF Best Case is the case where WACC is the Lowest or Other factors are highest</t>
  </si>
  <si>
    <t>DCF Worst Case is the case where WACC is the Highest or Other factors are worst</t>
  </si>
  <si>
    <r>
      <rPr>
        <b/>
        <i/>
        <sz val="11"/>
        <color rgb="FF002060"/>
        <rFont val="Calibri"/>
        <family val="2"/>
        <scheme val="minor"/>
      </rPr>
      <t>1)</t>
    </r>
    <r>
      <rPr>
        <i/>
        <sz val="11"/>
        <color rgb="FF002060"/>
        <rFont val="Calibri"/>
        <family val="2"/>
        <scheme val="minor"/>
      </rPr>
      <t xml:space="preserve"> Cost of Equity calculated using CAPM Model</t>
    </r>
  </si>
  <si>
    <t>Latest available Share Price (USD)</t>
  </si>
  <si>
    <t>Price to sales ratio</t>
  </si>
  <si>
    <t xml:space="preserve">PAT </t>
  </si>
  <si>
    <t xml:space="preserve">EBITDA </t>
  </si>
  <si>
    <t>Price to Sales Ratio</t>
  </si>
  <si>
    <t>Not Available</t>
  </si>
  <si>
    <r>
      <rPr>
        <i/>
        <sz val="11"/>
        <color rgb="FF002060"/>
        <rFont val="Calibri"/>
        <family val="2"/>
        <scheme val="minor"/>
      </rPr>
      <t>Selecting competitor companies of OpenAI was difficult because the closest competitiors like Google's DeepMind, Meta's LLAMA, Hugging Face, Anthropic, and Stability AI did NOT have any publicly available data on their financial numbers. Furthermore, no information on these segments was mentioned in the "Annual Reports IFRS 8 Operating Segments section" of the Big Tech companies. Therefore, with no remaining choice, we used the following companies as the competitior companies</t>
    </r>
    <r>
      <rPr>
        <b/>
        <i/>
        <sz val="11"/>
        <color rgb="FF002060"/>
        <rFont val="Calibri"/>
        <family val="2"/>
        <scheme val="minor"/>
      </rPr>
      <t xml:space="preserve">.
1) Aplhabet Inc. (Due to Google's projects like DeepMind, BERT, LAMDA etc. 
2) Microsoft Inc. (Due to its projects like Turing-NLG, and Azure services)
3) Meta Platforms Inc. (Due to the project of LLAMA, and BlenderBot)
</t>
    </r>
  </si>
  <si>
    <t>USA</t>
  </si>
  <si>
    <r>
      <t>In calculating the Market Value of Equity for Alphabet Inc. and subsequently the Weighted Average Cost of Capital (WACC), I have used the "</t>
    </r>
    <r>
      <rPr>
        <b/>
        <i/>
        <sz val="11"/>
        <color rgb="FF002060"/>
        <rFont val="Calibri"/>
        <family val="2"/>
        <scheme val="minor"/>
      </rPr>
      <t>Class A shares"</t>
    </r>
    <r>
      <rPr>
        <i/>
        <sz val="11"/>
        <color rgb="FF002060"/>
        <rFont val="Calibri"/>
        <family val="2"/>
        <scheme val="minor"/>
      </rPr>
      <t xml:space="preserve"> (GOOGL). These shares are considered ordinary shares because they carry </t>
    </r>
    <r>
      <rPr>
        <b/>
        <i/>
        <sz val="11"/>
        <color rgb="FF002060"/>
        <rFont val="Calibri"/>
        <family val="2"/>
        <scheme val="minor"/>
      </rPr>
      <t>voting rights</t>
    </r>
    <r>
      <rPr>
        <i/>
        <sz val="11"/>
        <color rgb="FF002060"/>
        <rFont val="Calibri"/>
        <family val="2"/>
        <scheme val="minor"/>
      </rPr>
      <t xml:space="preserve">, making them a better representation of the company's true ownership structure and shareholder influence. Ordinary shares, like Class A, are more suited for this calculation because: 
</t>
    </r>
    <r>
      <rPr>
        <b/>
        <i/>
        <sz val="11"/>
        <color rgb="FF002060"/>
        <rFont val="Calibri"/>
        <family val="2"/>
        <scheme val="minor"/>
      </rPr>
      <t>1) Voting Rights:</t>
    </r>
    <r>
      <rPr>
        <i/>
        <sz val="11"/>
        <color rgb="FF002060"/>
        <rFont val="Calibri"/>
        <family val="2"/>
        <scheme val="minor"/>
      </rPr>
      <t xml:space="preserve"> They reflect the ownership stake of shareholders who have decision-making power in the company, which is crucial when assessing the cost of equity.
</t>
    </r>
    <r>
      <rPr>
        <b/>
        <i/>
        <sz val="11"/>
        <color rgb="FF002060"/>
        <rFont val="Calibri"/>
        <family val="2"/>
        <scheme val="minor"/>
      </rPr>
      <t>2) Market Perception:</t>
    </r>
    <r>
      <rPr>
        <i/>
        <sz val="11"/>
        <color rgb="FF002060"/>
        <rFont val="Calibri"/>
        <family val="2"/>
        <scheme val="minor"/>
      </rPr>
      <t xml:space="preserve"> The market typically values shares with voting rights higher, making them a more accurate indicator of the equity value that influences corporate decisions.
</t>
    </r>
    <r>
      <rPr>
        <b/>
        <i/>
        <sz val="11"/>
        <color rgb="FF002060"/>
        <rFont val="Calibri"/>
        <family val="2"/>
        <scheme val="minor"/>
      </rPr>
      <t>3) Risk and Return Alignment:</t>
    </r>
    <r>
      <rPr>
        <i/>
        <sz val="11"/>
        <color rgb="FF002060"/>
        <rFont val="Calibri"/>
        <family val="2"/>
        <scheme val="minor"/>
      </rPr>
      <t xml:space="preserve"> Ordinary shares better align with the expectations of shareholders in terms of risk and return, which directly impacts the company's capital cost. By using Class A shares, we ensure the WACC reflects the interests and expectations of active equity stakeholders, providing a more precise valuation.</t>
    </r>
  </si>
  <si>
    <r>
      <t xml:space="preserve">All of the data for the aforementioned companies was taken from the website </t>
    </r>
    <r>
      <rPr>
        <b/>
        <i/>
        <sz val="11"/>
        <color rgb="FF002060"/>
        <rFont val="Calibri"/>
        <family val="2"/>
        <scheme val="minor"/>
      </rPr>
      <t>"StockAnalysis.com"</t>
    </r>
    <r>
      <rPr>
        <i/>
        <sz val="11"/>
        <color rgb="FF002060"/>
        <rFont val="Calibri"/>
        <family val="2"/>
        <scheme val="minor"/>
      </rPr>
      <t xml:space="preserve"> and </t>
    </r>
    <r>
      <rPr>
        <b/>
        <i/>
        <sz val="11"/>
        <color rgb="FF002060"/>
        <rFont val="Calibri"/>
        <family val="2"/>
        <scheme val="minor"/>
      </rPr>
      <t>"Investing.com</t>
    </r>
    <r>
      <rPr>
        <i/>
        <sz val="11"/>
        <color rgb="FF002060"/>
        <rFont val="Calibri"/>
        <family val="2"/>
        <scheme val="minor"/>
      </rPr>
      <t xml:space="preserve">"as at 30th September 2024 for accurate comparision and valuation. </t>
    </r>
  </si>
  <si>
    <t xml:space="preserve">The Valuation of 157B$ was taken from the report published on "Reuters.com". Open AI raised 6.6B$ on 2nd October 2024 from Thrive Capital, Khosla Venture, Microsoft, Nvidia, Altimeter Capital, Fidelity, SoftBank, and Abu Dhabi's state-backed investment firm MGX. The funding round was closed at a "Post-Money Valuation" of 157B$. 
The rise in the company's valuation from $14 billion in 2021 to $157 billion as of October 2024 is primarily due to the growth in revenue from zero to $3.6 billion in 2024 and projected revenue of 11.6B$ in 2025. The figures for the revenue and PAT were taken from "Reuters.com".
The company's Board has told investors that it is actively pursuing artificial general intelligence (AGI), meaning developing AI systems that surpass human intelligence, as it ramps up commercialization and tries to be profitable in the next year. Furthermore, the backing from Giants like Microsoft and Nvidia creates confidence among investors. </t>
  </si>
  <si>
    <t>Open AI</t>
  </si>
  <si>
    <t>Not listed</t>
  </si>
  <si>
    <t>GOOG</t>
  </si>
  <si>
    <t>META</t>
  </si>
  <si>
    <t>MSFT</t>
  </si>
  <si>
    <t>Data not available</t>
  </si>
  <si>
    <t>Not calculatble due to EBITDA figure being unknownand PAT being negative</t>
  </si>
  <si>
    <t>Not usable since PAT/Earnings of Open AI are negative in 2024.</t>
  </si>
  <si>
    <t>Not usable since we do not have the data of Book Value of Equity of Open AI</t>
  </si>
  <si>
    <t>Summary (Reasons for such a high Valuation)</t>
  </si>
  <si>
    <r>
      <t xml:space="preserve">Comparable Company Analysis (Comp Analysis) is a valuation method that involves comparing the financial metrics (like EV/EBITDA, EV/EBIT, EV/Sales, and P/E ratio) of a target company with similar publicly traded companies. The purpose of this was to calculate the Enterprise and Equity Value of Open AI using the above metrics. However, due to the limited amount of data we have, we were only able to calculate the Enterprise and Equity Value (both assumed to be same) due to Net Debt data not being available. The Value of Open AI using the methods EV/Sales and Price/Sales Ratios were </t>
    </r>
    <r>
      <rPr>
        <b/>
        <i/>
        <sz val="11"/>
        <color rgb="FF002060"/>
        <rFont val="Calibri"/>
        <family val="2"/>
        <scheme val="minor"/>
      </rPr>
      <t>"34,850 million $</t>
    </r>
    <r>
      <rPr>
        <i/>
        <sz val="11"/>
        <color rgb="FF002060"/>
        <rFont val="Calibri"/>
        <family val="2"/>
        <scheme val="minor"/>
      </rPr>
      <t xml:space="preserve"> and </t>
    </r>
    <r>
      <rPr>
        <b/>
        <i/>
        <sz val="11"/>
        <color rgb="FF002060"/>
        <rFont val="Calibri"/>
        <family val="2"/>
        <scheme val="minor"/>
      </rPr>
      <t>35,604 million $</t>
    </r>
    <r>
      <rPr>
        <i/>
        <sz val="11"/>
        <color rgb="FF002060"/>
        <rFont val="Calibri"/>
        <family val="2"/>
        <scheme val="minor"/>
      </rPr>
      <t xml:space="preserve"> which is same as </t>
    </r>
    <r>
      <rPr>
        <b/>
        <i/>
        <sz val="11"/>
        <color rgb="FF002060"/>
        <rFont val="Calibri"/>
        <family val="2"/>
        <scheme val="minor"/>
      </rPr>
      <t>34.8B$</t>
    </r>
    <r>
      <rPr>
        <i/>
        <sz val="11"/>
        <color rgb="FF002060"/>
        <rFont val="Calibri"/>
        <family val="2"/>
        <scheme val="minor"/>
      </rPr>
      <t xml:space="preserve"> and </t>
    </r>
    <r>
      <rPr>
        <b/>
        <i/>
        <sz val="11"/>
        <color rgb="FF002060"/>
        <rFont val="Calibri"/>
        <family val="2"/>
        <scheme val="minor"/>
      </rPr>
      <t>35.6B$</t>
    </r>
    <r>
      <rPr>
        <i/>
        <sz val="11"/>
        <color rgb="FF002060"/>
        <rFont val="Calibri"/>
        <family val="2"/>
        <scheme val="minor"/>
      </rPr>
      <t xml:space="preserve"> respectively. 
This means that the current valuation of Open AI at </t>
    </r>
    <r>
      <rPr>
        <b/>
        <i/>
        <sz val="11"/>
        <color rgb="FF002060"/>
        <rFont val="Calibri"/>
        <family val="2"/>
        <scheme val="minor"/>
      </rPr>
      <t>157B$</t>
    </r>
    <r>
      <rPr>
        <i/>
        <sz val="11"/>
        <color rgb="FF002060"/>
        <rFont val="Calibri"/>
        <family val="2"/>
        <scheme val="minor"/>
      </rPr>
      <t xml:space="preserve"> after the latest funding round is overvalued by around </t>
    </r>
    <r>
      <rPr>
        <b/>
        <i/>
        <sz val="11"/>
        <color rgb="FF002060"/>
        <rFont val="Calibri"/>
        <family val="2"/>
        <scheme val="minor"/>
      </rPr>
      <t>"4.5x</t>
    </r>
    <r>
      <rPr>
        <i/>
        <sz val="11"/>
        <color rgb="FF002060"/>
        <rFont val="Calibri"/>
        <family val="2"/>
        <scheme val="minor"/>
      </rPr>
      <t xml:space="preserve">" of its estimtaed intrinsic value. The reasons for this overvaluation could be:
</t>
    </r>
    <r>
      <rPr>
        <b/>
        <i/>
        <sz val="11"/>
        <color rgb="FF002060"/>
        <rFont val="Calibri"/>
        <family val="2"/>
        <scheme val="minor"/>
      </rPr>
      <t>1)</t>
    </r>
    <r>
      <rPr>
        <i/>
        <sz val="11"/>
        <color rgb="FF002060"/>
        <rFont val="Calibri"/>
        <family val="2"/>
        <scheme val="minor"/>
      </rPr>
      <t xml:space="preserve"> Optimism around the development of AGI in 2025 and Open AI leading the front in the AI race among the big tech companies aroud the world. 
</t>
    </r>
    <r>
      <rPr>
        <b/>
        <i/>
        <sz val="11"/>
        <color rgb="FF002060"/>
        <rFont val="Calibri"/>
        <family val="2"/>
        <scheme val="minor"/>
      </rPr>
      <t>2)</t>
    </r>
    <r>
      <rPr>
        <i/>
        <sz val="11"/>
        <color rgb="FF002060"/>
        <rFont val="Calibri"/>
        <family val="2"/>
        <scheme val="minor"/>
      </rPr>
      <t xml:space="preserve"> Backing from Giants like Microsoft and Nvidia in the latest funding round.
</t>
    </r>
    <r>
      <rPr>
        <b/>
        <i/>
        <sz val="11"/>
        <color rgb="FF002060"/>
        <rFont val="Calibri"/>
        <family val="2"/>
        <scheme val="minor"/>
      </rPr>
      <t>3)</t>
    </r>
    <r>
      <rPr>
        <i/>
        <sz val="11"/>
        <color rgb="FF002060"/>
        <rFont val="Calibri"/>
        <family val="2"/>
        <scheme val="minor"/>
      </rPr>
      <t xml:space="preserve"> Microsoft’s $13 billion investment and integration of OpenAI models into Azure and Office 365 makes OpenAI central to Microsoft's cloud and productivity strategies. This move by Microsoft leads to high confidence among the investors on the potential of Open AI. 
</t>
    </r>
    <r>
      <rPr>
        <b/>
        <i/>
        <sz val="11"/>
        <color rgb="FF002060"/>
        <rFont val="Calibri"/>
        <family val="2"/>
        <scheme val="minor"/>
      </rPr>
      <t>4)</t>
    </r>
    <r>
      <rPr>
        <i/>
        <sz val="11"/>
        <color rgb="FF002060"/>
        <rFont val="Calibri"/>
        <family val="2"/>
        <scheme val="minor"/>
      </rPr>
      <t xml:space="preserve"> Committment of the company's BOD to become Profitable in 2025 and start heavy commercialization of its services through subscription, API integration and other methods. 
</t>
    </r>
    <r>
      <rPr>
        <b/>
        <i/>
        <sz val="11"/>
        <color rgb="FF002060"/>
        <rFont val="Calibri"/>
        <family val="2"/>
        <scheme val="minor"/>
      </rPr>
      <t>5)</t>
    </r>
    <r>
      <rPr>
        <i/>
        <sz val="11"/>
        <color rgb="FF002060"/>
        <rFont val="Calibri"/>
        <family val="2"/>
        <scheme val="minor"/>
      </rPr>
      <t xml:space="preserve"> Critical role of OpenAI in shaping the future of AI. The technology could disrupt industries, boost productivity, and address global challenges, making it a cornerstone of future economic growth.</t>
    </r>
  </si>
  <si>
    <t>Is OpenAI's High Valuation Sustainable or Justified?</t>
  </si>
  <si>
    <t>Risks to the valuation of Open AI's sustainability</t>
  </si>
  <si>
    <r>
      <rPr>
        <b/>
        <i/>
        <sz val="11"/>
        <color rgb="FF002060"/>
        <rFont val="Calibri"/>
        <family val="2"/>
        <scheme val="minor"/>
      </rPr>
      <t>Risks to Sustainability</t>
    </r>
    <r>
      <rPr>
        <i/>
        <sz val="11"/>
        <color rgb="FF002060"/>
        <rFont val="Calibri"/>
        <family val="2"/>
        <scheme val="minor"/>
      </rPr>
      <t xml:space="preserve">
</t>
    </r>
    <r>
      <rPr>
        <b/>
        <i/>
        <sz val="11"/>
        <color rgb="FF002060"/>
        <rFont val="Calibri"/>
        <family val="2"/>
        <scheme val="minor"/>
      </rPr>
      <t xml:space="preserve">1) Revenue vs. Valuation Mismatch: </t>
    </r>
    <r>
      <rPr>
        <i/>
        <sz val="11"/>
        <color rgb="FF002060"/>
        <rFont val="Calibri"/>
        <family val="2"/>
        <scheme val="minor"/>
      </rPr>
      <t xml:space="preserve">Even with aggressive revenue projections, the valuation implies a price-to-sales ratio far higher than industry norms, signaling overvaluation based on current fundamentals.
</t>
    </r>
    <r>
      <rPr>
        <b/>
        <i/>
        <sz val="11"/>
        <color rgb="FF002060"/>
        <rFont val="Calibri"/>
        <family val="2"/>
        <scheme val="minor"/>
      </rPr>
      <t xml:space="preserve">2) Profitability Challenges: </t>
    </r>
    <r>
      <rPr>
        <i/>
        <sz val="11"/>
        <color rgb="FF002060"/>
        <rFont val="Calibri"/>
        <family val="2"/>
        <scheme val="minor"/>
      </rPr>
      <t xml:space="preserve">OpenAI’s operational costs are substantial due to its compute-intensive R&amp;D. This could delay profitability, making the valuation harder to sustain.
</t>
    </r>
    <r>
      <rPr>
        <b/>
        <i/>
        <sz val="11"/>
        <color rgb="FF002060"/>
        <rFont val="Calibri"/>
        <family val="2"/>
        <scheme val="minor"/>
      </rPr>
      <t xml:space="preserve">3) Competition: </t>
    </r>
    <r>
      <rPr>
        <i/>
        <sz val="11"/>
        <color rgb="FF002060"/>
        <rFont val="Calibri"/>
        <family val="2"/>
        <scheme val="minor"/>
      </rPr>
      <t xml:space="preserve">Rivals such as Anthropic, Google DeepMind, LLAMDA, LLAMA and Meta’s AI initiatives could erode OpenAI’s market share.
</t>
    </r>
    <r>
      <rPr>
        <b/>
        <i/>
        <sz val="11"/>
        <color rgb="FF002060"/>
        <rFont val="Calibri"/>
        <family val="2"/>
        <scheme val="minor"/>
      </rPr>
      <t xml:space="preserve">4) Regulatory Risks: </t>
    </r>
    <r>
      <rPr>
        <i/>
        <sz val="11"/>
        <color rgb="FF002060"/>
        <rFont val="Calibri"/>
        <family val="2"/>
        <scheme val="minor"/>
      </rPr>
      <t xml:space="preserve">As AI grows, increased scrutiny and regulation could impact OpenAI’s ability to scale and monetize its products. As seen by the fine of 15M Euros on OpenAI by the Government of Italy. Furthermore, many EU nations have already passed laws restricting and regulating the use of AI in corporates and governmental departments. </t>
    </r>
  </si>
  <si>
    <t>Conclusion</t>
  </si>
  <si>
    <r>
      <t xml:space="preserve">The valuation of OpenAI has grown from </t>
    </r>
    <r>
      <rPr>
        <b/>
        <i/>
        <sz val="11"/>
        <color rgb="FF002060"/>
        <rFont val="Calibri"/>
        <family val="2"/>
        <scheme val="minor"/>
      </rPr>
      <t>14 Billion $</t>
    </r>
    <r>
      <rPr>
        <i/>
        <sz val="11"/>
        <color rgb="FF002060"/>
        <rFont val="Calibri"/>
        <family val="2"/>
        <scheme val="minor"/>
      </rPr>
      <t xml:space="preserve"> to </t>
    </r>
    <r>
      <rPr>
        <b/>
        <i/>
        <sz val="11"/>
        <color rgb="FF002060"/>
        <rFont val="Calibri"/>
        <family val="2"/>
        <scheme val="minor"/>
      </rPr>
      <t>157 Billion $</t>
    </r>
    <r>
      <rPr>
        <i/>
        <sz val="11"/>
        <color rgb="FF002060"/>
        <rFont val="Calibri"/>
        <family val="2"/>
        <scheme val="minor"/>
      </rPr>
      <t xml:space="preserve"> from 2021 to 2024, a growth of whopping </t>
    </r>
    <r>
      <rPr>
        <b/>
        <i/>
        <sz val="11"/>
        <color rgb="FF002060"/>
        <rFont val="Calibri"/>
        <family val="2"/>
        <scheme val="minor"/>
      </rPr>
      <t>"1021%"</t>
    </r>
    <r>
      <rPr>
        <i/>
        <sz val="11"/>
        <color rgb="FF002060"/>
        <rFont val="Calibri"/>
        <family val="2"/>
        <scheme val="minor"/>
      </rPr>
      <t xml:space="preserve"> or </t>
    </r>
    <r>
      <rPr>
        <b/>
        <i/>
        <sz val="11"/>
        <color rgb="FF002060"/>
        <rFont val="Calibri"/>
        <family val="2"/>
        <scheme val="minor"/>
      </rPr>
      <t>"11.21x"</t>
    </r>
    <r>
      <rPr>
        <i/>
        <sz val="11"/>
        <color rgb="FF002060"/>
        <rFont val="Calibri"/>
        <family val="2"/>
        <scheme val="minor"/>
      </rPr>
      <t xml:space="preserve">. Altough such growth numbers are common in the tech industry, even Giants like Apple, Tesla, Micrsofost, and Meta did NOT achieve such % growth in their first 3 year of operatons. 
$The current $157 billion valuation reflects investor enthusiasm and speculative expectations rather than fundamental financial metrics used in typical investment banking and valaution industries. The Investment arms of the Gulf countries are also highly optimistic and betting strong on its potential with some investing billions of $ with options to come in the further rounds as well. While OpenAI’s innovations and market position justify a premium on their revenues and earnings, the intrinsic value calculations of $34.8 to $35.6 billion suggest that the valuation may be inflated in the short term.
For investors, the key question remains: Can OpenAI scale its revenues, become profitable, and maintain its competitive edge to justify such a high valuation over time? While the potential of Open AI is immense, caution is warranted when expectations of valuation far outpaces the underlying financial numbers. </t>
    </r>
  </si>
  <si>
    <t>My Opinion</t>
  </si>
  <si>
    <r>
      <t xml:space="preserve">As per my understanding, the current valuation of Open AI at 157B $ may be inflated in the short to medium term. However, the valuation is </t>
    </r>
    <r>
      <rPr>
        <b/>
        <i/>
        <sz val="11"/>
        <color rgb="FF002060"/>
        <rFont val="Calibri"/>
        <family val="2"/>
        <scheme val="minor"/>
      </rPr>
      <t>Absolutely Sustiainable</t>
    </r>
    <r>
      <rPr>
        <i/>
        <sz val="11"/>
        <color rgb="FF002060"/>
        <rFont val="Calibri"/>
        <family val="2"/>
        <scheme val="minor"/>
      </rPr>
      <t xml:space="preserve"> and </t>
    </r>
    <r>
      <rPr>
        <b/>
        <i/>
        <sz val="11"/>
        <color rgb="FF002060"/>
        <rFont val="Calibri"/>
        <family val="2"/>
        <scheme val="minor"/>
      </rPr>
      <t>Justified.</t>
    </r>
    <r>
      <rPr>
        <i/>
        <sz val="11"/>
        <color rgb="FF002060"/>
        <rFont val="Calibri"/>
        <family val="2"/>
        <scheme val="minor"/>
      </rPr>
      <t xml:space="preserve"> This is because Open AI has shifted from a Not for Profit Project to a full-fledged For-profit comemrcial entity with projections of </t>
    </r>
    <r>
      <rPr>
        <b/>
        <i/>
        <sz val="11"/>
        <color rgb="FF002060"/>
        <rFont val="Calibri"/>
        <family val="2"/>
        <scheme val="minor"/>
      </rPr>
      <t>11.6B $</t>
    </r>
    <r>
      <rPr>
        <i/>
        <sz val="11"/>
        <color rgb="FF002060"/>
        <rFont val="Calibri"/>
        <family val="2"/>
        <scheme val="minor"/>
      </rPr>
      <t xml:space="preserve"> revenue in </t>
    </r>
    <r>
      <rPr>
        <b/>
        <i/>
        <sz val="11"/>
        <color rgb="FF002060"/>
        <rFont val="Calibri"/>
        <family val="2"/>
        <scheme val="minor"/>
      </rPr>
      <t>2025</t>
    </r>
    <r>
      <rPr>
        <i/>
        <sz val="11"/>
        <color rgb="FF002060"/>
        <rFont val="Calibri"/>
        <family val="2"/>
        <scheme val="minor"/>
      </rPr>
      <t xml:space="preserve"> and reaching profitability. Furthermore, all the big tech companies in the US and globally are competing for developing "AGI" which will make their Language Model far superior and create disruptive technologies which would impact all domains. Open AI currently has </t>
    </r>
    <r>
      <rPr>
        <b/>
        <i/>
        <sz val="11"/>
        <color rgb="FF002060"/>
        <rFont val="Calibri"/>
        <family val="2"/>
        <scheme val="minor"/>
      </rPr>
      <t>250 million active weekly</t>
    </r>
    <r>
      <rPr>
        <i/>
        <sz val="11"/>
        <color rgb="FF002060"/>
        <rFont val="Calibri"/>
        <family val="2"/>
        <scheme val="minor"/>
      </rPr>
      <t xml:space="preserve"> users with projections of annual growth of around </t>
    </r>
    <r>
      <rPr>
        <b/>
        <i/>
        <sz val="11"/>
        <color rgb="FF002060"/>
        <rFont val="Calibri"/>
        <family val="2"/>
        <scheme val="minor"/>
      </rPr>
      <t>20-25%.</t>
    </r>
    <r>
      <rPr>
        <i/>
        <sz val="11"/>
        <color rgb="FF002060"/>
        <rFont val="Calibri"/>
        <family val="2"/>
        <scheme val="minor"/>
      </rPr>
      <t xml:space="preserve"> Micrsoft's integration of Open AI in its Office 365 and Azure services, the backing by Nvidia, the investment by the Gulf countries, and the backing of established firms like Fidelity and Softbank, indicate that they are confident and optimistic of Open AI's massive potential in the coming years. </t>
    </r>
  </si>
  <si>
    <t xml:space="preserve">Microsoft Corporation </t>
  </si>
  <si>
    <t xml:space="preserve">Aplhabet Inc. </t>
  </si>
  <si>
    <t xml:space="preserve">Meta Platforms, Inc. </t>
  </si>
  <si>
    <t xml:space="preserve">Taken as the 10-year U.S. Treasury Yield </t>
  </si>
  <si>
    <t>https://home.treasury.gov/policy-issues/financing-the-government/interest-rate-statistics?data=yield</t>
  </si>
  <si>
    <t>Taken as the Average Return on the S&amp;P-500 Index for the last 10 years</t>
  </si>
  <si>
    <t>Not Avaialble</t>
  </si>
  <si>
    <t>Tax rate taken as the US Standard corporate tax rate at 21%.</t>
  </si>
  <si>
    <r>
      <t xml:space="preserve">All the data for the total debt, equity, and the Beta taken from </t>
    </r>
    <r>
      <rPr>
        <b/>
        <i/>
        <sz val="11"/>
        <color rgb="FF002060"/>
        <rFont val="Calibri"/>
        <family val="2"/>
        <scheme val="minor"/>
      </rPr>
      <t>"StockAnalysis.com"</t>
    </r>
  </si>
  <si>
    <t>Since OpenAI is a private company and does not publicly disclose its financials, we need to rely on general assumptions and industry benchmarks. In the tech industry, the pre-tax cost of debt typically ranges from 3% to 8%, depending on the company's credit rating and market conditions. Assuming OpenAI's debt risk is not extremely high, a realistic pre-tax cost of debt could be in the range of 5% to 6%.</t>
  </si>
  <si>
    <r>
      <t>Capital Structure-Open AI-</t>
    </r>
    <r>
      <rPr>
        <b/>
        <vertAlign val="superscript"/>
        <sz val="11"/>
        <color theme="1"/>
        <rFont val="Calibri"/>
        <family val="2"/>
        <scheme val="minor"/>
      </rPr>
      <t>Note 4</t>
    </r>
  </si>
  <si>
    <t>Note 4</t>
  </si>
  <si>
    <r>
      <t xml:space="preserve">Since we do not have the debt/equity numbers for Open AI, we assumed on a realistic basis that Open AI is </t>
    </r>
    <r>
      <rPr>
        <b/>
        <i/>
        <sz val="11"/>
        <color rgb="FF002060"/>
        <rFont val="Calibri"/>
        <family val="2"/>
        <scheme val="minor"/>
      </rPr>
      <t xml:space="preserve">80% </t>
    </r>
    <r>
      <rPr>
        <i/>
        <sz val="11"/>
        <color rgb="FF002060"/>
        <rFont val="Calibri"/>
        <family val="2"/>
        <scheme val="minor"/>
      </rPr>
      <t xml:space="preserve">equity funded and </t>
    </r>
    <r>
      <rPr>
        <b/>
        <i/>
        <sz val="11"/>
        <color rgb="FF002060"/>
        <rFont val="Calibri"/>
        <family val="2"/>
        <scheme val="minor"/>
      </rPr>
      <t>20%</t>
    </r>
    <r>
      <rPr>
        <i/>
        <sz val="11"/>
        <color rgb="FF002060"/>
        <rFont val="Calibri"/>
        <family val="2"/>
        <scheme val="minor"/>
      </rPr>
      <t xml:space="preserve"> debt funded. The recent 6.6B$ Equity funding round hints more towards more euity domiant capital structure of Open AI. Also, big tech companies in the US have similar debt/equity ratios.</t>
    </r>
  </si>
  <si>
    <t>Calculation of Revenue, Depreciation, EBIT, Capex, and Change in working capital</t>
  </si>
  <si>
    <r>
      <t xml:space="preserve">The Revenue for 2024 was </t>
    </r>
    <r>
      <rPr>
        <b/>
        <i/>
        <sz val="11"/>
        <color rgb="FF002060"/>
        <rFont val="Calibri"/>
        <family val="2"/>
        <scheme val="minor"/>
      </rPr>
      <t>3.6B$</t>
    </r>
    <r>
      <rPr>
        <i/>
        <sz val="11"/>
        <color rgb="FF002060"/>
        <rFont val="Calibri"/>
        <family val="2"/>
        <scheme val="minor"/>
      </rPr>
      <t xml:space="preserve"> as quoted in </t>
    </r>
    <r>
      <rPr>
        <b/>
        <i/>
        <sz val="11"/>
        <color rgb="FF002060"/>
        <rFont val="Calibri"/>
        <family val="2"/>
        <scheme val="minor"/>
      </rPr>
      <t>"Reuters.com"</t>
    </r>
    <r>
      <rPr>
        <i/>
        <sz val="11"/>
        <color rgb="FF002060"/>
        <rFont val="Calibri"/>
        <family val="2"/>
        <scheme val="minor"/>
      </rPr>
      <t xml:space="preserve">. The forecated revenue number for 2025 in the same source was </t>
    </r>
    <r>
      <rPr>
        <b/>
        <i/>
        <sz val="11"/>
        <color rgb="FF002060"/>
        <rFont val="Calibri"/>
        <family val="2"/>
        <scheme val="minor"/>
      </rPr>
      <t>11.6B$</t>
    </r>
    <r>
      <rPr>
        <i/>
        <sz val="11"/>
        <color rgb="FF002060"/>
        <rFont val="Calibri"/>
        <family val="2"/>
        <scheme val="minor"/>
      </rPr>
      <t xml:space="preserve"> which wold give a growth rate of </t>
    </r>
    <r>
      <rPr>
        <b/>
        <i/>
        <sz val="11"/>
        <color rgb="FF002060"/>
        <rFont val="Calibri"/>
        <family val="2"/>
        <scheme val="minor"/>
      </rPr>
      <t>222%</t>
    </r>
    <r>
      <rPr>
        <i/>
        <sz val="11"/>
        <color rgb="FF002060"/>
        <rFont val="Calibri"/>
        <family val="2"/>
        <scheme val="minor"/>
      </rPr>
      <t xml:space="preserve">. This growth rate in revenue would be "highly unrealistic" and inflate the valuation unrealistically. Therefore, we assumed a growth rate of </t>
    </r>
    <r>
      <rPr>
        <b/>
        <i/>
        <sz val="11"/>
        <color rgb="FF002060"/>
        <rFont val="Calibri"/>
        <family val="2"/>
        <scheme val="minor"/>
      </rPr>
      <t>35%</t>
    </r>
    <r>
      <rPr>
        <i/>
        <sz val="11"/>
        <color rgb="FF002060"/>
        <rFont val="Calibri"/>
        <family val="2"/>
        <scheme val="minor"/>
      </rPr>
      <t xml:space="preserve"> on the basis of growth in the numbers of active monthly users of ChatGPT's services. </t>
    </r>
  </si>
  <si>
    <r>
      <t xml:space="preserve">The EBIT Margin was taken as </t>
    </r>
    <r>
      <rPr>
        <b/>
        <i/>
        <sz val="11"/>
        <color rgb="FF002060"/>
        <rFont val="Calibri"/>
        <family val="2"/>
        <scheme val="minor"/>
      </rPr>
      <t>30%</t>
    </r>
    <r>
      <rPr>
        <i/>
        <sz val="11"/>
        <color rgb="FF002060"/>
        <rFont val="Calibri"/>
        <family val="2"/>
        <scheme val="minor"/>
      </rPr>
      <t xml:space="preserve"> which is the average EBIT Margin of the peer companies selected as taken from the website StockAnalysis.com.</t>
    </r>
  </si>
  <si>
    <r>
      <t>The Deprectaion (as a % of revenue) was taken as</t>
    </r>
    <r>
      <rPr>
        <b/>
        <i/>
        <sz val="11"/>
        <color rgb="FF002060"/>
        <rFont val="Calibri"/>
        <family val="2"/>
        <scheme val="minor"/>
      </rPr>
      <t>5%</t>
    </r>
    <r>
      <rPr>
        <i/>
        <sz val="11"/>
        <color rgb="FF002060"/>
        <rFont val="Calibri"/>
        <family val="2"/>
        <scheme val="minor"/>
      </rPr>
      <t xml:space="preserve"> which is the average  of the peer companies selected as taken from the website StockAnalysis.com.</t>
    </r>
  </si>
  <si>
    <r>
      <t>The Capex (as a % of revenue) was taken as</t>
    </r>
    <r>
      <rPr>
        <b/>
        <i/>
        <sz val="11"/>
        <color rgb="FF002060"/>
        <rFont val="Calibri"/>
        <family val="2"/>
        <scheme val="minor"/>
      </rPr>
      <t>7%</t>
    </r>
    <r>
      <rPr>
        <i/>
        <sz val="11"/>
        <color rgb="FF002060"/>
        <rFont val="Calibri"/>
        <family val="2"/>
        <scheme val="minor"/>
      </rPr>
      <t xml:space="preserve"> which is the average  of the peer companies selected as taken from the website StockAnalysis.com.</t>
    </r>
  </si>
  <si>
    <t>FCFF</t>
  </si>
  <si>
    <r>
      <t>EBIT Margin-</t>
    </r>
    <r>
      <rPr>
        <vertAlign val="superscript"/>
        <sz val="11"/>
        <color rgb="FF002060"/>
        <rFont val="Calibri"/>
        <family val="2"/>
        <scheme val="minor"/>
      </rPr>
      <t>N2</t>
    </r>
  </si>
  <si>
    <r>
      <t>Depreciation-</t>
    </r>
    <r>
      <rPr>
        <vertAlign val="superscript"/>
        <sz val="11"/>
        <color rgb="FF002060"/>
        <rFont val="Calibri"/>
        <family val="2"/>
        <scheme val="minor"/>
      </rPr>
      <t>N3</t>
    </r>
  </si>
  <si>
    <r>
      <t>Capex-</t>
    </r>
    <r>
      <rPr>
        <vertAlign val="superscript"/>
        <sz val="11"/>
        <color rgb="FF002060"/>
        <rFont val="Calibri"/>
        <family val="2"/>
        <scheme val="minor"/>
      </rPr>
      <t>N4</t>
    </r>
  </si>
  <si>
    <r>
      <t>Change in working capital -</t>
    </r>
    <r>
      <rPr>
        <vertAlign val="superscript"/>
        <sz val="11"/>
        <color rgb="FF002060"/>
        <rFont val="Calibri"/>
        <family val="2"/>
        <scheme val="minor"/>
      </rPr>
      <t>N5</t>
    </r>
  </si>
  <si>
    <t>Note 5</t>
  </si>
  <si>
    <t>Note 6</t>
  </si>
  <si>
    <r>
      <t xml:space="preserve">Terminal Growth </t>
    </r>
    <r>
      <rPr>
        <vertAlign val="superscript"/>
        <sz val="11"/>
        <color theme="1"/>
        <rFont val="Calibri"/>
        <family val="2"/>
        <scheme val="minor"/>
      </rPr>
      <t>N6</t>
    </r>
  </si>
  <si>
    <r>
      <t>Expected Growth Rate-</t>
    </r>
    <r>
      <rPr>
        <b/>
        <vertAlign val="superscript"/>
        <sz val="11"/>
        <color theme="1"/>
        <rFont val="Calibri"/>
        <family val="2"/>
        <scheme val="minor"/>
      </rPr>
      <t>N7</t>
    </r>
  </si>
  <si>
    <r>
      <t>Terminal Value-</t>
    </r>
    <r>
      <rPr>
        <vertAlign val="superscript"/>
        <sz val="11"/>
        <color theme="1"/>
        <rFont val="Calibri"/>
        <family val="2"/>
        <scheme val="minor"/>
      </rPr>
      <t>N8</t>
    </r>
  </si>
  <si>
    <t>Note 8</t>
  </si>
  <si>
    <t>Note 7</t>
  </si>
  <si>
    <r>
      <t xml:space="preserve">For calculating the intrinsinc growth rate, we would need the reinvestment rate and the ROIC for Open AI. Since we did not have these numbers for Open AI, we used the average intrinsic growth rates of competitor companies which was </t>
    </r>
    <r>
      <rPr>
        <b/>
        <i/>
        <sz val="11"/>
        <color rgb="FF002060"/>
        <rFont val="Calibri"/>
        <family val="2"/>
        <scheme val="minor"/>
      </rPr>
      <t>20%.</t>
    </r>
  </si>
  <si>
    <t>In Billion USD</t>
  </si>
  <si>
    <t>Sensitivity Analysis-Equity Value</t>
  </si>
  <si>
    <t>Terminal growth rate</t>
  </si>
  <si>
    <t xml:space="preserve">Changing Intrinsinc Growth Rate </t>
  </si>
  <si>
    <t xml:space="preserve">Changing Tax Rate </t>
  </si>
  <si>
    <t>These Values represent the different Values of Value per share that will occur in case of different WACC and Tax Rate</t>
  </si>
  <si>
    <t>Relative Valuation</t>
  </si>
  <si>
    <t>Implied Market Value (Equity Value)-in Billions $</t>
  </si>
  <si>
    <r>
      <t xml:space="preserve">A football field analysis is a visual representation used in investment banking to compare a range of valuation methods and show potential Equity Values. It typically displays different valuation approaches, such as Discounted Cash Flow (DCF), Comparable Company Analysis, Precedent Transactions, and more, all on a single chart. 
The range of valuations from each method is plotted as a horizontal bar, similar to a football field's layout, helping to compare and assess different valuations at a glance. This analysis is often used in M&amp;A, IPOs, and investment presentations to summarize valuation outcomes for easier decision-making.
We used 2 methods for calculating the Equity Value of Open AI, namely </t>
    </r>
    <r>
      <rPr>
        <b/>
        <i/>
        <sz val="11"/>
        <color rgb="FF002060"/>
        <rFont val="Calibri"/>
        <family val="2"/>
        <scheme val="minor"/>
      </rPr>
      <t>"Comparable Company Valuation (Relative Valuation)"</t>
    </r>
    <r>
      <rPr>
        <i/>
        <sz val="11"/>
        <color rgb="FF002060"/>
        <rFont val="Calibri"/>
        <family val="2"/>
        <scheme val="minor"/>
      </rPr>
      <t xml:space="preserve"> and the </t>
    </r>
    <r>
      <rPr>
        <b/>
        <i/>
        <sz val="11"/>
        <color rgb="FF002060"/>
        <rFont val="Calibri"/>
        <family val="2"/>
        <scheme val="minor"/>
      </rPr>
      <t>"DCF Method"</t>
    </r>
    <r>
      <rPr>
        <i/>
        <sz val="11"/>
        <color rgb="FF002060"/>
        <rFont val="Calibri"/>
        <family val="2"/>
        <scheme val="minor"/>
      </rPr>
      <t>. The calculations from both methods is done in the previous sheets. The Highest and Lowest Values from both methods is displayed in the Chart above.</t>
    </r>
  </si>
  <si>
    <t>Equity Value (Billions $)</t>
  </si>
  <si>
    <t>The Equity Value calculated using the Comparable Company Valuation Method is used in this case.</t>
  </si>
  <si>
    <r>
      <rPr>
        <b/>
        <i/>
        <sz val="11"/>
        <color rgb="FF002060"/>
        <rFont val="Calibri"/>
        <family val="2"/>
        <scheme val="minor"/>
      </rPr>
      <t>2)</t>
    </r>
    <r>
      <rPr>
        <i/>
        <sz val="11"/>
        <color rgb="FF002060"/>
        <rFont val="Calibri"/>
        <family val="2"/>
        <scheme val="minor"/>
      </rPr>
      <t xml:space="preserve"> Pre-tax Cost of Debt taken as 6% (see WACC Sheet Note 3)</t>
    </r>
  </si>
  <si>
    <r>
      <rPr>
        <b/>
        <i/>
        <sz val="11"/>
        <color rgb="FF002060"/>
        <rFont val="Calibri"/>
        <family val="2"/>
        <scheme val="minor"/>
      </rPr>
      <t>3)</t>
    </r>
    <r>
      <rPr>
        <i/>
        <sz val="11"/>
        <color rgb="FF002060"/>
        <rFont val="Calibri"/>
        <family val="2"/>
        <scheme val="minor"/>
      </rPr>
      <t xml:space="preserve"> RF Taken as the 10-year U.S. Treasury Yield </t>
    </r>
  </si>
  <si>
    <r>
      <rPr>
        <b/>
        <i/>
        <sz val="11"/>
        <color rgb="FF002060"/>
        <rFont val="Calibri"/>
        <family val="2"/>
        <scheme val="minor"/>
      </rPr>
      <t xml:space="preserve">4) </t>
    </r>
    <r>
      <rPr>
        <i/>
        <sz val="11"/>
        <color rgb="FF002060"/>
        <rFont val="Calibri"/>
        <family val="2"/>
        <scheme val="minor"/>
      </rPr>
      <t>Rm</t>
    </r>
    <r>
      <rPr>
        <b/>
        <i/>
        <sz val="11"/>
        <color rgb="FF002060"/>
        <rFont val="Calibri"/>
        <family val="2"/>
        <scheme val="minor"/>
      </rPr>
      <t xml:space="preserve"> </t>
    </r>
    <r>
      <rPr>
        <i/>
        <sz val="11"/>
        <color rgb="FF002060"/>
        <rFont val="Calibri"/>
        <family val="2"/>
        <scheme val="minor"/>
      </rPr>
      <t>Taken as the Average Return on the S&amp;P-500 Index for the last 10 years</t>
    </r>
  </si>
  <si>
    <r>
      <rPr>
        <b/>
        <i/>
        <sz val="11"/>
        <color rgb="FF002060"/>
        <rFont val="Calibri"/>
        <family val="2"/>
        <scheme val="minor"/>
      </rPr>
      <t xml:space="preserve">5) </t>
    </r>
    <r>
      <rPr>
        <i/>
        <sz val="11"/>
        <color rgb="FF002060"/>
        <rFont val="Calibri"/>
        <family val="2"/>
        <scheme val="minor"/>
      </rPr>
      <t>Tax rate taken as 21% as the standard US Corporate tax rate.</t>
    </r>
  </si>
  <si>
    <r>
      <rPr>
        <b/>
        <i/>
        <sz val="11"/>
        <color rgb="FF002060"/>
        <rFont val="Calibri"/>
        <family val="2"/>
        <scheme val="minor"/>
      </rPr>
      <t>6)</t>
    </r>
    <r>
      <rPr>
        <i/>
        <sz val="11"/>
        <color rgb="FF002060"/>
        <rFont val="Calibri"/>
        <family val="2"/>
        <scheme val="minor"/>
      </rPr>
      <t xml:space="preserve"> Revenue Growth rate taken as 35%. See the Note 1 in the DCF &amp; Sensitivity Analysis Sheet.</t>
    </r>
  </si>
  <si>
    <r>
      <rPr>
        <b/>
        <i/>
        <sz val="11"/>
        <color rgb="FF002060"/>
        <rFont val="Calibri"/>
        <family val="2"/>
        <scheme val="minor"/>
      </rPr>
      <t>7)</t>
    </r>
    <r>
      <rPr>
        <i/>
        <sz val="11"/>
        <color rgb="FF002060"/>
        <rFont val="Calibri"/>
        <family val="2"/>
        <scheme val="minor"/>
      </rPr>
      <t>EBIT Margin taken as 30%. See the Note 1 in the DCF &amp; Sensitivity Analysis Sheet.</t>
    </r>
  </si>
  <si>
    <r>
      <t>The Change in working capital (as a % of revenue) was taken as</t>
    </r>
    <r>
      <rPr>
        <b/>
        <i/>
        <sz val="11"/>
        <color rgb="FF002060"/>
        <rFont val="Calibri"/>
        <family val="2"/>
        <scheme val="minor"/>
      </rPr>
      <t>4%</t>
    </r>
    <r>
      <rPr>
        <i/>
        <sz val="11"/>
        <color rgb="FF002060"/>
        <rFont val="Calibri"/>
        <family val="2"/>
        <scheme val="minor"/>
      </rPr>
      <t xml:space="preserve"> which is the average  of the peer companies selected as taken from the website StockAnalysis.com.</t>
    </r>
  </si>
  <si>
    <t>For Terminal Growth Rate, We have taken the Growth rate of USA's GDP in 2024 as forecasted by the Federal Reserve.</t>
  </si>
  <si>
    <r>
      <rPr>
        <b/>
        <i/>
        <sz val="11"/>
        <color rgb="FF002060"/>
        <rFont val="Calibri"/>
        <family val="2"/>
        <scheme val="minor"/>
      </rPr>
      <t>10)</t>
    </r>
    <r>
      <rPr>
        <i/>
        <sz val="11"/>
        <color rgb="FF002060"/>
        <rFont val="Calibri"/>
        <family val="2"/>
        <scheme val="minor"/>
      </rPr>
      <t>Terminal Growth Rate taken as 2.5%. See the Notes in the DCF &amp; Sensitivity Analysis Sheet.</t>
    </r>
  </si>
  <si>
    <r>
      <rPr>
        <b/>
        <i/>
        <sz val="11"/>
        <color rgb="FF002060"/>
        <rFont val="Calibri"/>
        <family val="2"/>
        <scheme val="minor"/>
      </rPr>
      <t>9)</t>
    </r>
    <r>
      <rPr>
        <i/>
        <sz val="11"/>
        <color rgb="FF002060"/>
        <rFont val="Calibri"/>
        <family val="2"/>
        <scheme val="minor"/>
      </rPr>
      <t>Change in working capital (as a % of revenue) taken as 4%. See the Notes in the DCF &amp; Sensitivity Analysis Sheet.</t>
    </r>
  </si>
  <si>
    <r>
      <rPr>
        <b/>
        <i/>
        <sz val="11"/>
        <color rgb="FF002060"/>
        <rFont val="Calibri"/>
        <family val="2"/>
        <scheme val="minor"/>
      </rPr>
      <t>8)</t>
    </r>
    <r>
      <rPr>
        <i/>
        <sz val="11"/>
        <color rgb="FF002060"/>
        <rFont val="Calibri"/>
        <family val="2"/>
        <scheme val="minor"/>
      </rPr>
      <t>Capex (as a % of revenue) taken as 7%. See the Notes in the DCF &amp; Sensitivity Analysis Sheet.</t>
    </r>
  </si>
  <si>
    <r>
      <rPr>
        <b/>
        <i/>
        <sz val="11"/>
        <color rgb="FF002060"/>
        <rFont val="Calibri"/>
        <family val="2"/>
        <scheme val="minor"/>
      </rPr>
      <t>7)</t>
    </r>
    <r>
      <rPr>
        <i/>
        <sz val="11"/>
        <color rgb="FF002060"/>
        <rFont val="Calibri"/>
        <family val="2"/>
        <scheme val="minor"/>
      </rPr>
      <t>Depreciation (as a % of revenue) taken as 5%. See the Notes in the DCF &amp; Sensitivity Analysis Sheet.</t>
    </r>
  </si>
  <si>
    <r>
      <rPr>
        <b/>
        <i/>
        <sz val="11"/>
        <color rgb="FF002060"/>
        <rFont val="Calibri"/>
        <family val="2"/>
        <scheme val="minor"/>
      </rPr>
      <t>11)</t>
    </r>
    <r>
      <rPr>
        <i/>
        <sz val="11"/>
        <color rgb="FF002060"/>
        <rFont val="Calibri"/>
        <family val="2"/>
        <scheme val="minor"/>
      </rPr>
      <t>Intrinsic Growth Rate taken as 20%. See the Notes in the DCF &amp; Sensitivity Analysis Sheet.</t>
    </r>
  </si>
  <si>
    <r>
      <rPr>
        <b/>
        <i/>
        <sz val="11"/>
        <color rgb="FF002060"/>
        <rFont val="Calibri"/>
        <family val="2"/>
        <scheme val="minor"/>
      </rPr>
      <t>12)</t>
    </r>
    <r>
      <rPr>
        <i/>
        <sz val="11"/>
        <color rgb="FF002060"/>
        <rFont val="Calibri"/>
        <family val="2"/>
        <scheme val="minor"/>
      </rPr>
      <t xml:space="preserve"> Terminal Value in DCF Calculated using the "Gordon's Growth Model"</t>
    </r>
  </si>
  <si>
    <r>
      <rPr>
        <b/>
        <i/>
        <sz val="11"/>
        <color rgb="FF002060"/>
        <rFont val="Calibri"/>
        <family val="2"/>
        <scheme val="minor"/>
      </rPr>
      <t>13)</t>
    </r>
    <r>
      <rPr>
        <i/>
        <sz val="11"/>
        <color rgb="FF002060"/>
        <rFont val="Calibri"/>
        <family val="2"/>
        <scheme val="minor"/>
      </rPr>
      <t xml:space="preserve"> Multiples of EV/Sales, and Price-to-sales ratio used for Relative Valuation</t>
    </r>
  </si>
  <si>
    <r>
      <rPr>
        <b/>
        <i/>
        <sz val="11"/>
        <color rgb="FF002060"/>
        <rFont val="Calibri"/>
        <family val="2"/>
        <scheme val="minor"/>
      </rPr>
      <t>14)</t>
    </r>
    <r>
      <rPr>
        <i/>
        <sz val="11"/>
        <color rgb="FF002060"/>
        <rFont val="Calibri"/>
        <family val="2"/>
        <scheme val="minor"/>
      </rPr>
      <t xml:space="preserve"> Multiples like PE Ratio, EV/EBIT Ratio could not be sued to negative earnings in 2024 and unavailability of EBIT Data.</t>
    </r>
  </si>
  <si>
    <r>
      <rPr>
        <b/>
        <i/>
        <sz val="11"/>
        <color rgb="FF002060"/>
        <rFont val="Calibri"/>
        <family val="2"/>
        <scheme val="minor"/>
      </rPr>
      <t>15)</t>
    </r>
    <r>
      <rPr>
        <i/>
        <sz val="11"/>
        <color rgb="FF002060"/>
        <rFont val="Calibri"/>
        <family val="2"/>
        <scheme val="minor"/>
      </rPr>
      <t xml:space="preserve"> 3 Peer companies selected using the criteria mentioned in the Sheet "Selection of peer companies". </t>
    </r>
  </si>
  <si>
    <r>
      <rPr>
        <b/>
        <i/>
        <sz val="11"/>
        <color rgb="FF002060"/>
        <rFont val="Calibri"/>
        <family val="2"/>
        <scheme val="minor"/>
      </rPr>
      <t>16)</t>
    </r>
    <r>
      <rPr>
        <i/>
        <sz val="11"/>
        <color rgb="FF002060"/>
        <rFont val="Calibri"/>
        <family val="2"/>
        <scheme val="minor"/>
      </rPr>
      <t xml:space="preserve"> Asset based valuation (Market Value of Total Assets Less Total Liabilities) not used due to lack of reliable data on the assets and liabilities of Open AI.</t>
    </r>
  </si>
  <si>
    <r>
      <rPr>
        <b/>
        <i/>
        <sz val="11"/>
        <color rgb="FF002060"/>
        <rFont val="Calibri"/>
        <family val="2"/>
        <scheme val="minor"/>
      </rPr>
      <t>17)</t>
    </r>
    <r>
      <rPr>
        <i/>
        <sz val="11"/>
        <color rgb="FF002060"/>
        <rFont val="Calibri"/>
        <family val="2"/>
        <scheme val="minor"/>
      </rPr>
      <t xml:space="preserve"> Dividend Discounting Valuation Method Could NOT be used since Open AI is not publicly listed yet.</t>
    </r>
  </si>
  <si>
    <r>
      <rPr>
        <b/>
        <i/>
        <sz val="11"/>
        <color rgb="FF002060"/>
        <rFont val="Calibri"/>
        <family val="2"/>
        <scheme val="minor"/>
      </rPr>
      <t>18)</t>
    </r>
    <r>
      <rPr>
        <i/>
        <sz val="11"/>
        <color rgb="FF002060"/>
        <rFont val="Calibri"/>
        <family val="2"/>
        <scheme val="minor"/>
      </rPr>
      <t xml:space="preserve"> All the data of Open AI taken from "Reuters.com" and the data of peer companies taken from "StockAnalysis.com".</t>
    </r>
  </si>
  <si>
    <r>
      <t>Pre-tax Cost of debt</t>
    </r>
    <r>
      <rPr>
        <b/>
        <vertAlign val="superscript"/>
        <sz val="11"/>
        <color theme="1"/>
        <rFont val="Calibri"/>
        <family val="2"/>
        <scheme val="minor"/>
      </rPr>
      <t>N3</t>
    </r>
  </si>
  <si>
    <r>
      <rPr>
        <b/>
        <i/>
        <sz val="11"/>
        <color rgb="FF002060"/>
        <rFont val="Calibri"/>
        <family val="2"/>
        <scheme val="minor"/>
      </rPr>
      <t>19)</t>
    </r>
    <r>
      <rPr>
        <i/>
        <sz val="11"/>
        <color rgb="FF002060"/>
        <rFont val="Calibri"/>
        <family val="2"/>
        <scheme val="minor"/>
      </rPr>
      <t xml:space="preserve"> Debt and Equity Ratio of Open AI assumed to be 20:80. See WACC Sheet for explanation of this assumption. </t>
    </r>
  </si>
  <si>
    <r>
      <t xml:space="preserve">The recent valuation of OpenAI at $157 billion during its latest funding round has raised questions about its sustainability and alignment with intrinsic value. Using relative valuation methods, I calculated OpenAI’s intrinsic value to be between $34.8 billion and $35.6 billion. This discrepancy highlights a significant gap between market perception and fundamental financial metrics.
</t>
    </r>
    <r>
      <rPr>
        <b/>
        <i/>
        <sz val="11"/>
        <color rgb="FF002060"/>
        <rFont val="Calibri"/>
        <family val="2"/>
        <scheme val="minor"/>
      </rPr>
      <t>Key Valuation Metrics</t>
    </r>
    <r>
      <rPr>
        <i/>
        <sz val="11"/>
        <color rgb="FF002060"/>
        <rFont val="Calibri"/>
        <family val="2"/>
        <scheme val="minor"/>
      </rPr>
      <t xml:space="preserve">
</t>
    </r>
    <r>
      <rPr>
        <b/>
        <i/>
        <sz val="11"/>
        <color rgb="FF002060"/>
        <rFont val="Calibri"/>
        <family val="2"/>
        <scheme val="minor"/>
      </rPr>
      <t>1. Intrinsic Value Analysis:</t>
    </r>
    <r>
      <rPr>
        <i/>
        <sz val="11"/>
        <color rgb="FF002060"/>
        <rFont val="Calibri"/>
        <family val="2"/>
        <scheme val="minor"/>
      </rPr>
      <t xml:space="preserve">
EV/Sales Method: Using OpenAI’s projected revenue, I arrived at an Equity value of </t>
    </r>
    <r>
      <rPr>
        <b/>
        <i/>
        <sz val="11"/>
        <color rgb="FF002060"/>
        <rFont val="Calibri"/>
        <family val="2"/>
        <scheme val="minor"/>
      </rPr>
      <t>$34.8 billion.</t>
    </r>
    <r>
      <rPr>
        <i/>
        <sz val="11"/>
        <color rgb="FF002060"/>
        <rFont val="Calibri"/>
        <family val="2"/>
        <scheme val="minor"/>
      </rPr>
      <t xml:space="preserve">
Price-to-Sales Ratio: This method yielded a valuation of </t>
    </r>
    <r>
      <rPr>
        <b/>
        <i/>
        <sz val="11"/>
        <color rgb="FF002060"/>
        <rFont val="Calibri"/>
        <family val="2"/>
        <scheme val="minor"/>
      </rPr>
      <t>$35.6 billion.</t>
    </r>
    <r>
      <rPr>
        <i/>
        <sz val="11"/>
        <color rgb="FF002060"/>
        <rFont val="Calibri"/>
        <family val="2"/>
        <scheme val="minor"/>
      </rPr>
      <t xml:space="preserve">
DCF Method: This method gave a value of </t>
    </r>
    <r>
      <rPr>
        <b/>
        <i/>
        <sz val="11"/>
        <color rgb="FF002060"/>
        <rFont val="Calibri"/>
        <family val="2"/>
        <scheme val="minor"/>
      </rPr>
      <t xml:space="preserve">25.03B$. </t>
    </r>
    <r>
      <rPr>
        <i/>
        <sz val="11"/>
        <color rgb="FF002060"/>
        <rFont val="Calibri"/>
        <family val="2"/>
        <scheme val="minor"/>
      </rPr>
      <t xml:space="preserve">These figures suggest a much more conservative valuation compared to the current market sentiment.
</t>
    </r>
    <r>
      <rPr>
        <b/>
        <i/>
        <sz val="11"/>
        <color rgb="FF002060"/>
        <rFont val="Calibri"/>
        <family val="2"/>
        <scheme val="minor"/>
      </rPr>
      <t xml:space="preserve">2. Current Market Valuation:
</t>
    </r>
    <r>
      <rPr>
        <i/>
        <sz val="11"/>
        <color rgb="FF002060"/>
        <rFont val="Calibri"/>
        <family val="2"/>
        <scheme val="minor"/>
      </rPr>
      <t xml:space="preserve">
OpenAI’s valuation of </t>
    </r>
    <r>
      <rPr>
        <b/>
        <i/>
        <sz val="11"/>
        <color rgb="FF002060"/>
        <rFont val="Calibri"/>
        <family val="2"/>
        <scheme val="minor"/>
      </rPr>
      <t>$157 billion</t>
    </r>
    <r>
      <rPr>
        <i/>
        <sz val="11"/>
        <color rgb="FF002060"/>
        <rFont val="Calibri"/>
        <family val="2"/>
        <scheme val="minor"/>
      </rPr>
      <t xml:space="preserve"> implies extremely high growth expectations, with the assumption that OpenAI will dominate the generative AI market and scale revenues exponentially.
</t>
    </r>
    <r>
      <rPr>
        <b/>
        <i/>
        <sz val="11"/>
        <color rgb="FF002060"/>
        <rFont val="Calibri"/>
        <family val="2"/>
        <scheme val="minor"/>
      </rPr>
      <t xml:space="preserve">Why the Disparity?
</t>
    </r>
    <r>
      <rPr>
        <i/>
        <sz val="11"/>
        <color rgb="FF002060"/>
        <rFont val="Calibri"/>
        <family val="2"/>
        <scheme val="minor"/>
      </rPr>
      <t xml:space="preserve">
</t>
    </r>
    <r>
      <rPr>
        <b/>
        <i/>
        <sz val="11"/>
        <color rgb="FF002060"/>
        <rFont val="Calibri"/>
        <family val="2"/>
        <scheme val="minor"/>
      </rPr>
      <t xml:space="preserve">1. Market Optimism and Future Potential: </t>
    </r>
    <r>
      <rPr>
        <i/>
        <sz val="11"/>
        <color rgb="FF002060"/>
        <rFont val="Calibri"/>
        <family val="2"/>
        <scheme val="minor"/>
      </rPr>
      <t xml:space="preserve">The high valuation reflects investor confidence in the transformative potential of AI and OpenAI’s leadership in the field. Key factors driving this optimism include:
a) Projected revenues of $11.6 billion by 2025.
b) Strategic partnerships, such as the deep integration with Microsoft Azure and Office 365.
c) First-mover advantage in generative AI technologies.
</t>
    </r>
    <r>
      <rPr>
        <b/>
        <i/>
        <sz val="11"/>
        <color rgb="FF002060"/>
        <rFont val="Calibri"/>
        <family val="2"/>
        <scheme val="minor"/>
      </rPr>
      <t xml:space="preserve">2. Intangible Assets and Innovation: </t>
    </r>
    <r>
      <rPr>
        <i/>
        <sz val="11"/>
        <color rgb="FF002060"/>
        <rFont val="Calibri"/>
        <family val="2"/>
        <scheme val="minor"/>
      </rPr>
      <t xml:space="preserve">OpenAI’s innovations, such as GPT-4 and DALL-E, have revolutionized AI applications, creating significant “intangible value” that traditional financial metrics struggle to quantify.
</t>
    </r>
    <r>
      <rPr>
        <b/>
        <i/>
        <sz val="11"/>
        <color rgb="FF002060"/>
        <rFont val="Calibri"/>
        <family val="2"/>
        <scheme val="minor"/>
      </rPr>
      <t xml:space="preserve">3. Speculative Premium: </t>
    </r>
    <r>
      <rPr>
        <i/>
        <sz val="11"/>
        <color rgb="FF002060"/>
        <rFont val="Calibri"/>
        <family val="2"/>
        <scheme val="minor"/>
      </rPr>
      <t>The $157 billion valuation incorporates a “scarcity premium,” as OpenAI is one of the few companies at the forefront of generative AI. It also reflects the belief that OpenAI’s ecosystem and network effects will lead to long-term dominance.</t>
    </r>
  </si>
  <si>
    <r>
      <t>Revenye Growth Rate-</t>
    </r>
    <r>
      <rPr>
        <b/>
        <i/>
        <vertAlign val="superscript"/>
        <sz val="11"/>
        <color rgb="FF002060"/>
        <rFont val="Calibri"/>
        <family val="2"/>
        <scheme val="minor"/>
      </rPr>
      <t>N1</t>
    </r>
  </si>
  <si>
    <t>Changing EBIT Margin</t>
  </si>
  <si>
    <t>EBIT Margin</t>
  </si>
  <si>
    <t>These Values represent the different Values of Value per share that will occur in case of different WACC and EBIT Margin</t>
  </si>
  <si>
    <t>Changing Revenue Growth Rate</t>
  </si>
  <si>
    <t>Revenue Growth Rate</t>
  </si>
  <si>
    <r>
      <t xml:space="preserve">These are the values of </t>
    </r>
    <r>
      <rPr>
        <b/>
        <i/>
        <sz val="11"/>
        <color rgb="FF002060"/>
        <rFont val="Calibri"/>
        <family val="2"/>
        <scheme val="minor"/>
      </rPr>
      <t>"Equity Value "</t>
    </r>
    <r>
      <rPr>
        <i/>
        <sz val="11"/>
        <color rgb="FF002060"/>
        <rFont val="Calibri"/>
        <family val="2"/>
        <scheme val="minor"/>
      </rPr>
      <t xml:space="preserve"> under the </t>
    </r>
    <r>
      <rPr>
        <b/>
        <i/>
        <sz val="11"/>
        <color rgb="FF002060"/>
        <rFont val="Calibri"/>
        <family val="2"/>
        <scheme val="minor"/>
      </rPr>
      <t>DCF Method</t>
    </r>
    <r>
      <rPr>
        <i/>
        <sz val="11"/>
        <color rgb="FF002060"/>
        <rFont val="Calibri"/>
        <family val="2"/>
        <scheme val="minor"/>
      </rPr>
      <t xml:space="preserve"> at the Base Case, Best Case, and the Worst Case by changing the multiple elements involved in the DCF Equation, one at a time while keeping all the other factors the same. All the values are calculated from the various sensitivity analysis performed.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</si>
</sst>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_(* #,##0.000_);_(* \(#,##0.000\);_(* &quot;-&quot;??_);_(@_)"/>
    <numFmt numFmtId="165" formatCode="_(* #,##0_);_(* \(#,##0\);_(* &quot;-&quot;??_);_(@_)"/>
    <numFmt numFmtId="166" formatCode="0.00000%"/>
    <numFmt numFmtId="167" formatCode="0.0000%"/>
    <numFmt numFmtId="168" formatCode="0.00\x"/>
  </numFmts>
  <fonts count="30"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4"/>
      <color theme="0"/>
      <name val="Calibri"/>
      <family val="2"/>
      <scheme val="minor"/>
    </font>
    <font>
      <i/>
      <sz val="10"/>
      <color theme="1"/>
      <name val="Calibri"/>
      <family val="2"/>
      <scheme val="minor"/>
    </font>
    <font>
      <vertAlign val="superscript"/>
      <sz val="11"/>
      <color theme="1"/>
      <name val="Calibri"/>
      <family val="2"/>
      <scheme val="minor"/>
    </font>
    <font>
      <sz val="11"/>
      <color rgb="FF002060"/>
      <name val="Calibri"/>
      <family val="2"/>
      <scheme val="minor"/>
    </font>
    <font>
      <b/>
      <sz val="11"/>
      <color rgb="FF002060"/>
      <name val="Calibri"/>
      <family val="2"/>
      <scheme val="minor"/>
    </font>
    <font>
      <b/>
      <i/>
      <sz val="11"/>
      <color theme="0"/>
      <name val="Calibri"/>
      <family val="2"/>
      <scheme val="minor"/>
    </font>
    <font>
      <sz val="11"/>
      <name val="Calibri"/>
      <family val="2"/>
      <scheme val="minor"/>
    </font>
    <font>
      <b/>
      <vertAlign val="superscript"/>
      <sz val="11"/>
      <color theme="1"/>
      <name val="Calibri"/>
      <family val="2"/>
      <scheme val="minor"/>
    </font>
    <font>
      <b/>
      <sz val="9"/>
      <color indexed="81"/>
      <name val="Tahoma"/>
      <family val="2"/>
    </font>
    <font>
      <sz val="9"/>
      <color indexed="81"/>
      <name val="Tahoma"/>
      <family val="2"/>
    </font>
    <font>
      <sz val="11"/>
      <color rgb="FF000000"/>
      <name val="Calibri"/>
      <family val="2"/>
    </font>
    <font>
      <b/>
      <sz val="11"/>
      <color theme="0"/>
      <name val="Calibri"/>
      <family val="2"/>
    </font>
    <font>
      <b/>
      <i/>
      <sz val="11"/>
      <color rgb="FF002060"/>
      <name val="Calibri"/>
      <family val="2"/>
      <scheme val="minor"/>
    </font>
    <font>
      <b/>
      <u/>
      <sz val="11"/>
      <color rgb="FF002060"/>
      <name val="Calibri"/>
      <family val="2"/>
      <scheme val="minor"/>
    </font>
    <font>
      <i/>
      <sz val="11"/>
      <color theme="0"/>
      <name val="Calibri"/>
      <family val="2"/>
      <scheme val="minor"/>
    </font>
    <font>
      <i/>
      <sz val="11"/>
      <color rgb="FF002060"/>
      <name val="Calibri"/>
      <family val="2"/>
      <scheme val="minor"/>
    </font>
    <font>
      <i/>
      <sz val="11"/>
      <color theme="1"/>
      <name val="Calibri"/>
      <family val="2"/>
      <scheme val="minor"/>
    </font>
    <font>
      <b/>
      <vertAlign val="superscript"/>
      <sz val="11"/>
      <color rgb="FF002060"/>
      <name val="Calibri"/>
      <family val="2"/>
      <scheme val="minor"/>
    </font>
    <font>
      <b/>
      <i/>
      <sz val="11"/>
      <color theme="1"/>
      <name val="Calibri"/>
      <family val="2"/>
      <scheme val="minor"/>
    </font>
    <font>
      <b/>
      <sz val="14"/>
      <color theme="0"/>
      <name val="Calibri"/>
      <family val="2"/>
    </font>
    <font>
      <u/>
      <sz val="11"/>
      <color theme="10"/>
      <name val="Calibri"/>
      <family val="2"/>
      <scheme val="minor"/>
    </font>
    <font>
      <sz val="10"/>
      <color rgb="FF000000"/>
      <name val="Times New Roman"/>
      <family val="1"/>
    </font>
    <font>
      <sz val="8"/>
      <color theme="1"/>
      <name val="Arial"/>
      <family val="2"/>
    </font>
    <font>
      <vertAlign val="superscript"/>
      <sz val="11"/>
      <color rgb="FF002060"/>
      <name val="Calibri"/>
      <family val="2"/>
      <scheme val="minor"/>
    </font>
    <font>
      <b/>
      <i/>
      <vertAlign val="superscript"/>
      <sz val="11"/>
      <color rgb="FF002060"/>
      <name val="Calibri"/>
      <family val="2"/>
      <scheme val="minor"/>
    </font>
  </fonts>
  <fills count="10">
    <fill>
      <patternFill patternType="none"/>
    </fill>
    <fill>
      <patternFill patternType="gray125"/>
    </fill>
    <fill>
      <patternFill patternType="solid">
        <fgColor rgb="FF002060"/>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6" tint="0.59999389629810485"/>
        <bgColor indexed="64"/>
      </patternFill>
    </fill>
    <fill>
      <patternFill patternType="solid">
        <fgColor theme="0"/>
        <bgColor indexed="64"/>
      </patternFill>
    </fill>
  </fills>
  <borders count="24">
    <border>
      <left/>
      <right/>
      <top/>
      <bottom/>
      <diagonal/>
    </border>
    <border>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top/>
      <bottom style="hair">
        <color auto="1"/>
      </bottom>
      <diagonal/>
    </border>
    <border>
      <left/>
      <right/>
      <top style="hair">
        <color auto="1"/>
      </top>
      <bottom/>
      <diagonal/>
    </border>
    <border>
      <left/>
      <right/>
      <top style="medium">
        <color indexed="64"/>
      </top>
      <bottom style="thin">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ck">
        <color rgb="FF002060"/>
      </top>
      <bottom style="medium">
        <color rgb="FF002060"/>
      </bottom>
      <diagonal/>
    </border>
    <border>
      <left style="medium">
        <color indexed="64"/>
      </left>
      <right style="medium">
        <color indexed="64"/>
      </right>
      <top style="medium">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rgb="FF002060"/>
      </bottom>
      <diagonal/>
    </border>
    <border>
      <left/>
      <right/>
      <top/>
      <bottom style="medium">
        <color theme="0"/>
      </bottom>
      <diagonal/>
    </border>
    <border>
      <left/>
      <right/>
      <top style="medium">
        <color rgb="FF002060"/>
      </top>
      <bottom style="medium">
        <color rgb="FF002060"/>
      </bottom>
      <diagonal/>
    </border>
  </borders>
  <cellStyleXfs count="15">
    <xf numFmtId="0" fontId="0" fillId="0" borderId="0"/>
    <xf numFmtId="43" fontId="1" fillId="0" borderId="0" applyFont="0" applyFill="0" applyBorder="0" applyAlignment="0" applyProtection="0"/>
    <xf numFmtId="9" fontId="1" fillId="0" borderId="0" applyFont="0" applyFill="0" applyBorder="0" applyAlignment="0" applyProtection="0"/>
    <xf numFmtId="0" fontId="15" fillId="0" borderId="0"/>
    <xf numFmtId="0" fontId="15" fillId="0" borderId="0"/>
    <xf numFmtId="43" fontId="15" fillId="0" borderId="0" applyFont="0" applyFill="0" applyBorder="0" applyAlignment="0" applyProtection="0"/>
    <xf numFmtId="9" fontId="15" fillId="0" borderId="0" applyFont="0" applyFill="0" applyBorder="0" applyAlignment="0" applyProtection="0"/>
    <xf numFmtId="0" fontId="25" fillId="0" borderId="0" applyNumberFormat="0" applyFill="0" applyBorder="0" applyAlignment="0" applyProtection="0"/>
    <xf numFmtId="0" fontId="26" fillId="0" borderId="0"/>
    <xf numFmtId="43" fontId="26" fillId="0" borderId="0" applyFont="0" applyFill="0" applyBorder="0" applyAlignment="0" applyProtection="0"/>
    <xf numFmtId="0" fontId="27" fillId="0" borderId="0"/>
    <xf numFmtId="9" fontId="1" fillId="0" borderId="0" applyFont="0" applyFill="0" applyBorder="0" applyAlignment="0" applyProtection="0"/>
    <xf numFmtId="43" fontId="1" fillId="0" borderId="0" applyFont="0" applyFill="0" applyBorder="0" applyAlignment="0" applyProtection="0"/>
    <xf numFmtId="43" fontId="27" fillId="0" borderId="0" applyFont="0" applyFill="0" applyBorder="0" applyAlignment="0" applyProtection="0"/>
    <xf numFmtId="9" fontId="26" fillId="0" borderId="0" applyFont="0" applyFill="0" applyBorder="0" applyAlignment="0" applyProtection="0"/>
  </cellStyleXfs>
  <cellXfs count="237">
    <xf numFmtId="0" fontId="0" fillId="0" borderId="0" xfId="0"/>
    <xf numFmtId="0" fontId="5" fillId="2" borderId="0" xfId="0" applyFont="1" applyFill="1"/>
    <xf numFmtId="0" fontId="6" fillId="0" borderId="0" xfId="0" applyFont="1"/>
    <xf numFmtId="43" fontId="0" fillId="0" borderId="0" xfId="1" applyFont="1"/>
    <xf numFmtId="0" fontId="0" fillId="0" borderId="1" xfId="0" applyBorder="1"/>
    <xf numFmtId="0" fontId="0" fillId="0" borderId="1" xfId="0" applyBorder="1" applyAlignment="1">
      <alignment horizontal="center"/>
    </xf>
    <xf numFmtId="0" fontId="0" fillId="0" borderId="4" xfId="0" applyBorder="1"/>
    <xf numFmtId="0" fontId="0" fillId="0" borderId="4" xfId="0" applyBorder="1" applyAlignment="1">
      <alignment horizontal="center"/>
    </xf>
    <xf numFmtId="0" fontId="0" fillId="0" borderId="0" xfId="0" applyAlignment="1">
      <alignment horizontal="center"/>
    </xf>
    <xf numFmtId="0" fontId="3" fillId="3" borderId="0" xfId="0" applyFont="1" applyFill="1"/>
    <xf numFmtId="0" fontId="8" fillId="0" borderId="0" xfId="0" applyFont="1" applyAlignment="1">
      <alignment horizontal="center"/>
    </xf>
    <xf numFmtId="164" fontId="8" fillId="0" borderId="0" xfId="1" applyNumberFormat="1" applyFont="1" applyAlignment="1">
      <alignment horizontal="center"/>
    </xf>
    <xf numFmtId="43" fontId="8" fillId="0" borderId="0" xfId="1" applyFont="1" applyAlignment="1">
      <alignment horizontal="center"/>
    </xf>
    <xf numFmtId="10" fontId="8" fillId="0" borderId="0" xfId="0" applyNumberFormat="1" applyFont="1" applyAlignment="1">
      <alignment horizontal="center"/>
    </xf>
    <xf numFmtId="10" fontId="0" fillId="4" borderId="0" xfId="2" applyNumberFormat="1" applyFont="1" applyFill="1" applyAlignment="1">
      <alignment horizontal="center"/>
    </xf>
    <xf numFmtId="2" fontId="0" fillId="4" borderId="0" xfId="0" applyNumberFormat="1" applyFill="1" applyAlignment="1">
      <alignment horizontal="center"/>
    </xf>
    <xf numFmtId="0" fontId="9" fillId="0" borderId="0" xfId="0" applyFont="1"/>
    <xf numFmtId="10" fontId="0" fillId="0" borderId="0" xfId="2" applyNumberFormat="1" applyFont="1" applyFill="1" applyAlignment="1">
      <alignment horizontal="center"/>
    </xf>
    <xf numFmtId="43" fontId="8" fillId="0" borderId="0" xfId="1" applyFont="1" applyFill="1" applyAlignment="1">
      <alignment horizontal="center"/>
    </xf>
    <xf numFmtId="2" fontId="0" fillId="0" borderId="0" xfId="0" applyNumberFormat="1" applyAlignment="1">
      <alignment horizontal="center"/>
    </xf>
    <xf numFmtId="0" fontId="3" fillId="0" borderId="1" xfId="0" applyFont="1" applyBorder="1"/>
    <xf numFmtId="10" fontId="0" fillId="0" borderId="1" xfId="0" applyNumberFormat="1" applyBorder="1"/>
    <xf numFmtId="43" fontId="0" fillId="0" borderId="1" xfId="0" applyNumberFormat="1" applyBorder="1"/>
    <xf numFmtId="0" fontId="3" fillId="0" borderId="4" xfId="0" applyFont="1" applyBorder="1"/>
    <xf numFmtId="10" fontId="0" fillId="0" borderId="4" xfId="0" applyNumberFormat="1" applyBorder="1"/>
    <xf numFmtId="10" fontId="0" fillId="0" borderId="4" xfId="2" applyNumberFormat="1" applyFont="1" applyBorder="1"/>
    <xf numFmtId="43" fontId="0" fillId="0" borderId="4" xfId="0" applyNumberFormat="1" applyBorder="1"/>
    <xf numFmtId="10" fontId="8" fillId="0" borderId="0" xfId="0" applyNumberFormat="1" applyFont="1"/>
    <xf numFmtId="0" fontId="10" fillId="5" borderId="0" xfId="0" applyFont="1" applyFill="1"/>
    <xf numFmtId="0" fontId="3" fillId="5" borderId="0" xfId="0" applyFont="1" applyFill="1"/>
    <xf numFmtId="0" fontId="0" fillId="0" borderId="5" xfId="0" applyBorder="1"/>
    <xf numFmtId="10" fontId="0" fillId="4" borderId="0" xfId="0" applyNumberFormat="1" applyFill="1"/>
    <xf numFmtId="43" fontId="0" fillId="0" borderId="5" xfId="0" applyNumberFormat="1" applyBorder="1"/>
    <xf numFmtId="10" fontId="0" fillId="4" borderId="0" xfId="2" applyNumberFormat="1" applyFont="1" applyFill="1"/>
    <xf numFmtId="0" fontId="3" fillId="0" borderId="4" xfId="0" applyFont="1" applyBorder="1" applyAlignment="1">
      <alignment horizontal="right"/>
    </xf>
    <xf numFmtId="2" fontId="0" fillId="0" borderId="0" xfId="0" applyNumberFormat="1"/>
    <xf numFmtId="165" fontId="8" fillId="0" borderId="0" xfId="1" applyNumberFormat="1" applyFont="1"/>
    <xf numFmtId="10" fontId="0" fillId="0" borderId="0" xfId="0" applyNumberFormat="1"/>
    <xf numFmtId="165" fontId="8" fillId="0" borderId="5" xfId="1" applyNumberFormat="1" applyFont="1" applyBorder="1"/>
    <xf numFmtId="10" fontId="0" fillId="0" borderId="5" xfId="2" applyNumberFormat="1" applyFont="1" applyBorder="1"/>
    <xf numFmtId="9" fontId="0" fillId="0" borderId="0" xfId="0" applyNumberFormat="1"/>
    <xf numFmtId="165" fontId="0" fillId="0" borderId="0" xfId="1" applyNumberFormat="1" applyFont="1"/>
    <xf numFmtId="9" fontId="0" fillId="0" borderId="0" xfId="2" applyFont="1"/>
    <xf numFmtId="0" fontId="0" fillId="0" borderId="6" xfId="0" applyBorder="1"/>
    <xf numFmtId="43" fontId="0" fillId="4" borderId="6" xfId="1" applyFont="1" applyFill="1" applyBorder="1"/>
    <xf numFmtId="0" fontId="3" fillId="0" borderId="0" xfId="0" applyFont="1" applyAlignment="1">
      <alignment horizontal="right"/>
    </xf>
    <xf numFmtId="10" fontId="3" fillId="0" borderId="0" xfId="0" applyNumberFormat="1" applyFont="1" applyAlignment="1">
      <alignment horizontal="right"/>
    </xf>
    <xf numFmtId="10" fontId="0" fillId="0" borderId="0" xfId="2" applyNumberFormat="1" applyFont="1" applyFill="1" applyBorder="1"/>
    <xf numFmtId="0" fontId="3" fillId="6" borderId="0" xfId="0" applyFont="1" applyFill="1"/>
    <xf numFmtId="166" fontId="3" fillId="6" borderId="0" xfId="2" applyNumberFormat="1" applyFont="1" applyFill="1"/>
    <xf numFmtId="0" fontId="16" fillId="0" borderId="0" xfId="3" applyFont="1" applyAlignment="1">
      <alignment horizontal="center"/>
    </xf>
    <xf numFmtId="0" fontId="2" fillId="2" borderId="0" xfId="0" applyFont="1" applyFill="1" applyAlignment="1">
      <alignment horizontal="center"/>
    </xf>
    <xf numFmtId="43" fontId="0" fillId="4" borderId="0" xfId="1" applyFont="1" applyFill="1"/>
    <xf numFmtId="0" fontId="17" fillId="0" borderId="0" xfId="0" applyFont="1"/>
    <xf numFmtId="43" fontId="0" fillId="0" borderId="0" xfId="0" applyNumberFormat="1"/>
    <xf numFmtId="0" fontId="2" fillId="2" borderId="0" xfId="0" applyFont="1" applyFill="1"/>
    <xf numFmtId="0" fontId="11" fillId="0" borderId="0" xfId="0" applyFont="1"/>
    <xf numFmtId="0" fontId="2" fillId="0" borderId="0" xfId="0" applyFont="1"/>
    <xf numFmtId="164" fontId="0" fillId="0" borderId="0" xfId="1" applyNumberFormat="1" applyFont="1"/>
    <xf numFmtId="43" fontId="0" fillId="0" borderId="0" xfId="1" applyFont="1" applyAlignment="1">
      <alignment horizontal="center"/>
    </xf>
    <xf numFmtId="0" fontId="3" fillId="0" borderId="0" xfId="0" applyFont="1"/>
    <xf numFmtId="0" fontId="20" fillId="0" borderId="0" xfId="0" applyFont="1" applyAlignment="1">
      <alignment wrapText="1"/>
    </xf>
    <xf numFmtId="0" fontId="17" fillId="0" borderId="0" xfId="0" applyFont="1" applyAlignment="1">
      <alignment horizontal="center"/>
    </xf>
    <xf numFmtId="0" fontId="2" fillId="2" borderId="0" xfId="3" applyFont="1" applyFill="1" applyAlignment="1">
      <alignment horizontal="left" vertical="center" wrapText="1"/>
    </xf>
    <xf numFmtId="0" fontId="8" fillId="0" borderId="0" xfId="0" applyFont="1"/>
    <xf numFmtId="165" fontId="0" fillId="0" borderId="0" xfId="0" applyNumberFormat="1"/>
    <xf numFmtId="0" fontId="20" fillId="0" borderId="0" xfId="0" applyFont="1"/>
    <xf numFmtId="0" fontId="21" fillId="4" borderId="0" xfId="0" applyFont="1" applyFill="1" applyAlignment="1">
      <alignment horizontal="center"/>
    </xf>
    <xf numFmtId="0" fontId="0" fillId="4" borderId="0" xfId="0" applyFill="1"/>
    <xf numFmtId="0" fontId="0" fillId="5" borderId="0" xfId="0" applyFill="1"/>
    <xf numFmtId="10" fontId="0" fillId="5" borderId="0" xfId="0" applyNumberFormat="1" applyFill="1"/>
    <xf numFmtId="0" fontId="2" fillId="0" borderId="0" xfId="3" applyFont="1" applyAlignment="1">
      <alignment horizontal="left" vertical="center" wrapText="1"/>
    </xf>
    <xf numFmtId="0" fontId="17" fillId="0" borderId="0" xfId="3" applyFont="1" applyAlignment="1">
      <alignment horizontal="left" vertical="center" wrapText="1"/>
    </xf>
    <xf numFmtId="165" fontId="19" fillId="0" borderId="0" xfId="0" applyNumberFormat="1" applyFont="1" applyAlignment="1">
      <alignment wrapText="1"/>
    </xf>
    <xf numFmtId="10" fontId="17" fillId="0" borderId="0" xfId="0" applyNumberFormat="1" applyFont="1" applyAlignment="1">
      <alignment wrapText="1"/>
    </xf>
    <xf numFmtId="10" fontId="17" fillId="4" borderId="0" xfId="0" applyNumberFormat="1" applyFont="1" applyFill="1" applyAlignment="1">
      <alignment wrapText="1"/>
    </xf>
    <xf numFmtId="43" fontId="20" fillId="0" borderId="0" xfId="1" applyFont="1" applyBorder="1" applyAlignment="1">
      <alignment wrapText="1"/>
    </xf>
    <xf numFmtId="43" fontId="20" fillId="0" borderId="0" xfId="1" applyFont="1"/>
    <xf numFmtId="165" fontId="3" fillId="0" borderId="16" xfId="0" applyNumberFormat="1" applyFont="1" applyBorder="1"/>
    <xf numFmtId="43" fontId="20" fillId="4" borderId="0" xfId="1" applyFont="1" applyFill="1" applyBorder="1" applyAlignment="1">
      <alignment wrapText="1"/>
    </xf>
    <xf numFmtId="9" fontId="17" fillId="0" borderId="0" xfId="0" applyNumberFormat="1" applyFont="1" applyAlignment="1">
      <alignment wrapText="1"/>
    </xf>
    <xf numFmtId="43" fontId="3" fillId="0" borderId="1" xfId="0" applyNumberFormat="1" applyFont="1" applyBorder="1"/>
    <xf numFmtId="43" fontId="3" fillId="0" borderId="0" xfId="0" applyNumberFormat="1" applyFont="1"/>
    <xf numFmtId="0" fontId="0" fillId="0" borderId="0" xfId="0" applyAlignment="1">
      <alignment horizontal="left"/>
    </xf>
    <xf numFmtId="0" fontId="20" fillId="0" borderId="0" xfId="0" applyFont="1" applyAlignment="1">
      <alignment vertical="center" wrapText="1"/>
    </xf>
    <xf numFmtId="0" fontId="23" fillId="0" borderId="0" xfId="0" applyFont="1"/>
    <xf numFmtId="167" fontId="17" fillId="4" borderId="0" xfId="0" applyNumberFormat="1" applyFont="1" applyFill="1" applyAlignment="1">
      <alignment wrapText="1"/>
    </xf>
    <xf numFmtId="43" fontId="17" fillId="4" borderId="0" xfId="1" applyFont="1" applyFill="1" applyBorder="1" applyAlignment="1">
      <alignment wrapText="1"/>
    </xf>
    <xf numFmtId="43" fontId="20" fillId="0" borderId="0" xfId="1" applyFont="1" applyFill="1" applyBorder="1" applyAlignment="1">
      <alignment wrapText="1"/>
    </xf>
    <xf numFmtId="168" fontId="3" fillId="0" borderId="0" xfId="0" applyNumberFormat="1" applyFont="1"/>
    <xf numFmtId="43" fontId="11" fillId="0" borderId="0" xfId="0" applyNumberFormat="1" applyFont="1"/>
    <xf numFmtId="0" fontId="0" fillId="0" borderId="0" xfId="0" applyAlignment="1">
      <alignment wrapText="1"/>
    </xf>
    <xf numFmtId="0" fontId="0" fillId="2" borderId="0" xfId="0" applyFill="1"/>
    <xf numFmtId="0" fontId="0" fillId="7" borderId="0" xfId="0" applyFill="1"/>
    <xf numFmtId="0" fontId="3" fillId="0" borderId="17" xfId="0" applyFont="1" applyBorder="1"/>
    <xf numFmtId="0" fontId="18" fillId="0" borderId="20" xfId="0" applyFont="1" applyBorder="1" applyAlignment="1">
      <alignment horizontal="center" vertical="center"/>
    </xf>
    <xf numFmtId="0" fontId="18" fillId="0" borderId="20" xfId="0" applyFont="1" applyBorder="1" applyAlignment="1">
      <alignment horizontal="center" vertical="center" wrapText="1"/>
    </xf>
    <xf numFmtId="0" fontId="18" fillId="0" borderId="0" xfId="0" applyFont="1" applyAlignment="1">
      <alignment horizontal="center" vertical="center"/>
    </xf>
    <xf numFmtId="0" fontId="18" fillId="0" borderId="0" xfId="0" applyFont="1" applyAlignment="1">
      <alignment horizontal="center" vertical="center" wrapText="1"/>
    </xf>
    <xf numFmtId="4" fontId="0" fillId="0" borderId="0" xfId="0" applyNumberFormat="1"/>
    <xf numFmtId="10" fontId="0" fillId="0" borderId="0" xfId="0" applyNumberFormat="1" applyAlignment="1">
      <alignment horizontal="center"/>
    </xf>
    <xf numFmtId="165" fontId="0" fillId="0" borderId="0" xfId="1" applyNumberFormat="1" applyFont="1" applyAlignment="1">
      <alignment vertical="center"/>
    </xf>
    <xf numFmtId="43" fontId="0" fillId="0" borderId="0" xfId="1" applyFont="1" applyAlignment="1">
      <alignment vertical="center"/>
    </xf>
    <xf numFmtId="43" fontId="0" fillId="0" borderId="0" xfId="0" applyNumberFormat="1" applyAlignment="1">
      <alignment vertical="center"/>
    </xf>
    <xf numFmtId="10" fontId="0" fillId="0" borderId="0" xfId="2" applyNumberFormat="1" applyFont="1" applyAlignment="1">
      <alignment horizontal="center" vertical="center"/>
    </xf>
    <xf numFmtId="0" fontId="17" fillId="0" borderId="21" xfId="0" applyFont="1" applyBorder="1"/>
    <xf numFmtId="0" fontId="2" fillId="2" borderId="0" xfId="0" applyFont="1" applyFill="1" applyAlignment="1">
      <alignment horizontal="center" wrapText="1"/>
    </xf>
    <xf numFmtId="0" fontId="0" fillId="8" borderId="0" xfId="0" applyFill="1" applyAlignment="1">
      <alignment horizontal="center"/>
    </xf>
    <xf numFmtId="43" fontId="0" fillId="6" borderId="0" xfId="1" applyFont="1" applyFill="1" applyAlignment="1">
      <alignment horizontal="center"/>
    </xf>
    <xf numFmtId="0" fontId="0" fillId="6" borderId="0" xfId="0" applyFill="1" applyAlignment="1">
      <alignment horizontal="center"/>
    </xf>
    <xf numFmtId="168" fontId="0" fillId="6" borderId="0" xfId="1" applyNumberFormat="1" applyFont="1" applyFill="1" applyAlignment="1">
      <alignment horizontal="center"/>
    </xf>
    <xf numFmtId="43" fontId="0" fillId="0" borderId="0" xfId="1" applyFont="1" applyFill="1" applyAlignment="1">
      <alignment horizontal="center"/>
    </xf>
    <xf numFmtId="43" fontId="0" fillId="0" borderId="0" xfId="0" applyNumberFormat="1" applyAlignment="1">
      <alignment horizontal="center"/>
    </xf>
    <xf numFmtId="168" fontId="0" fillId="0" borderId="0" xfId="1" applyNumberFormat="1" applyFont="1" applyFill="1" applyAlignment="1">
      <alignment horizontal="center"/>
    </xf>
    <xf numFmtId="168" fontId="0" fillId="0" borderId="0" xfId="0" applyNumberFormat="1" applyAlignment="1">
      <alignment horizontal="center"/>
    </xf>
    <xf numFmtId="168" fontId="0" fillId="0" borderId="0" xfId="1" applyNumberFormat="1" applyFont="1" applyAlignment="1">
      <alignment horizontal="center"/>
    </xf>
    <xf numFmtId="0" fontId="0" fillId="6" borderId="0" xfId="0" applyFill="1"/>
    <xf numFmtId="168" fontId="0" fillId="6" borderId="0" xfId="0" applyNumberFormat="1" applyFill="1"/>
    <xf numFmtId="43" fontId="0" fillId="6" borderId="0" xfId="1" applyFont="1" applyFill="1"/>
    <xf numFmtId="168" fontId="3" fillId="6" borderId="0" xfId="0" applyNumberFormat="1" applyFont="1" applyFill="1"/>
    <xf numFmtId="0" fontId="4" fillId="2" borderId="0" xfId="0" applyFont="1" applyFill="1"/>
    <xf numFmtId="0" fontId="3" fillId="6" borderId="23" xfId="0" applyFont="1" applyFill="1" applyBorder="1"/>
    <xf numFmtId="43" fontId="3" fillId="6" borderId="23" xfId="1" applyFont="1" applyFill="1" applyBorder="1"/>
    <xf numFmtId="0" fontId="3" fillId="0" borderId="0" xfId="0" applyFont="1" applyAlignment="1">
      <alignment horizontal="center"/>
    </xf>
    <xf numFmtId="43" fontId="0" fillId="0" borderId="0" xfId="1" applyFont="1" applyAlignment="1"/>
    <xf numFmtId="0" fontId="21" fillId="0" borderId="0" xfId="0" applyFont="1" applyAlignment="1">
      <alignment wrapText="1"/>
    </xf>
    <xf numFmtId="0" fontId="3" fillId="0" borderId="17" xfId="0" applyFont="1" applyBorder="1" applyAlignment="1">
      <alignment horizontal="center" vertical="center"/>
    </xf>
    <xf numFmtId="0" fontId="25" fillId="0" borderId="0" xfId="7"/>
    <xf numFmtId="0" fontId="10" fillId="0" borderId="0" xfId="0" applyFont="1" applyAlignment="1">
      <alignment wrapText="1"/>
    </xf>
    <xf numFmtId="167" fontId="8" fillId="0" borderId="0" xfId="0" applyNumberFormat="1" applyFont="1"/>
    <xf numFmtId="0" fontId="20" fillId="4" borderId="0" xfId="0" applyFont="1" applyFill="1"/>
    <xf numFmtId="0" fontId="20" fillId="4" borderId="0" xfId="0" applyFont="1" applyFill="1" applyAlignment="1">
      <alignment wrapText="1"/>
    </xf>
    <xf numFmtId="0" fontId="9" fillId="0" borderId="0" xfId="0" applyFont="1" applyAlignment="1">
      <alignment horizontal="left"/>
    </xf>
    <xf numFmtId="0" fontId="17" fillId="0" borderId="0" xfId="0" applyFont="1" applyAlignment="1">
      <alignment wrapText="1"/>
    </xf>
    <xf numFmtId="43" fontId="3" fillId="0" borderId="0" xfId="1" applyFont="1" applyFill="1" applyBorder="1"/>
    <xf numFmtId="0" fontId="17" fillId="9" borderId="0" xfId="0" applyFont="1" applyFill="1" applyAlignment="1">
      <alignment vertical="center" wrapText="1"/>
    </xf>
    <xf numFmtId="165" fontId="0" fillId="0" borderId="0" xfId="1" applyNumberFormat="1" applyFont="1" applyAlignment="1">
      <alignment horizontal="center" vertical="center"/>
    </xf>
    <xf numFmtId="43" fontId="0" fillId="0" borderId="0" xfId="1" applyFont="1" applyAlignment="1">
      <alignment horizontal="center" vertical="center"/>
    </xf>
    <xf numFmtId="43" fontId="0" fillId="0" borderId="0" xfId="0" applyNumberFormat="1" applyAlignment="1">
      <alignment horizontal="center" vertical="center"/>
    </xf>
    <xf numFmtId="0" fontId="22" fillId="0" borderId="0" xfId="0" applyFont="1" applyAlignment="1">
      <alignment horizontal="center" vertical="center"/>
    </xf>
    <xf numFmtId="43" fontId="21" fillId="0" borderId="0" xfId="1" applyFont="1" applyBorder="1" applyAlignment="1">
      <alignment horizontal="center" vertical="center" wrapText="1"/>
    </xf>
    <xf numFmtId="43" fontId="21" fillId="0" borderId="0" xfId="1" applyFont="1"/>
    <xf numFmtId="43" fontId="21" fillId="0" borderId="0" xfId="1" applyFont="1" applyAlignment="1">
      <alignment horizontal="center" wrapText="1"/>
    </xf>
    <xf numFmtId="9" fontId="20" fillId="0" borderId="0" xfId="2" applyFont="1" applyBorder="1" applyAlignment="1">
      <alignment wrapText="1"/>
    </xf>
    <xf numFmtId="0" fontId="20" fillId="0" borderId="0" xfId="0" applyFont="1" applyAlignment="1">
      <alignment vertical="top" wrapText="1"/>
    </xf>
    <xf numFmtId="10" fontId="0" fillId="0" borderId="1" xfId="2" applyNumberFormat="1" applyFont="1" applyBorder="1"/>
    <xf numFmtId="167" fontId="0" fillId="0" borderId="1" xfId="2" applyNumberFormat="1" applyFont="1" applyBorder="1"/>
    <xf numFmtId="9" fontId="8" fillId="0" borderId="5" xfId="0" applyNumberFormat="1" applyFont="1" applyBorder="1"/>
    <xf numFmtId="43" fontId="0" fillId="0" borderId="0" xfId="2" applyNumberFormat="1" applyFont="1"/>
    <xf numFmtId="9" fontId="0" fillId="0" borderId="0" xfId="1" applyNumberFormat="1" applyFont="1"/>
    <xf numFmtId="9" fontId="0" fillId="0" borderId="5" xfId="2" applyFont="1" applyBorder="1"/>
    <xf numFmtId="0" fontId="2" fillId="2" borderId="0" xfId="3" applyFont="1" applyFill="1" applyAlignment="1">
      <alignment horizontal="center" vertical="center" wrapText="1"/>
    </xf>
    <xf numFmtId="0" fontId="2" fillId="2" borderId="0" xfId="3" applyFont="1" applyFill="1" applyAlignment="1">
      <alignment horizontal="left" vertical="center"/>
    </xf>
    <xf numFmtId="10" fontId="0" fillId="0" borderId="0" xfId="1" applyNumberFormat="1" applyFont="1"/>
    <xf numFmtId="9" fontId="0" fillId="4" borderId="0" xfId="2" applyFont="1" applyFill="1"/>
    <xf numFmtId="9" fontId="20" fillId="4" borderId="0" xfId="2" applyFont="1" applyFill="1"/>
    <xf numFmtId="9" fontId="20" fillId="0" borderId="0" xfId="1" applyNumberFormat="1" applyFont="1"/>
    <xf numFmtId="43" fontId="3" fillId="4" borderId="0" xfId="1" applyFont="1" applyFill="1" applyBorder="1"/>
    <xf numFmtId="164" fontId="0" fillId="4" borderId="0" xfId="1" applyNumberFormat="1" applyFont="1" applyFill="1"/>
    <xf numFmtId="43" fontId="17" fillId="0" borderId="0" xfId="0" applyNumberFormat="1" applyFont="1" applyAlignment="1">
      <alignment wrapText="1"/>
    </xf>
    <xf numFmtId="43" fontId="4" fillId="0" borderId="0" xfId="0" applyNumberFormat="1" applyFont="1"/>
    <xf numFmtId="0" fontId="10" fillId="0" borderId="0" xfId="0" applyFont="1"/>
    <xf numFmtId="0" fontId="20" fillId="0" borderId="0" xfId="0" applyFont="1" applyAlignment="1">
      <alignment horizontal="right" wrapText="1"/>
    </xf>
    <xf numFmtId="0" fontId="20" fillId="4" borderId="0" xfId="0" applyFont="1" applyFill="1" applyAlignment="1">
      <alignment wrapText="1"/>
    </xf>
    <xf numFmtId="0" fontId="16" fillId="2" borderId="0" xfId="3" applyFont="1" applyFill="1" applyAlignment="1">
      <alignment horizontal="center"/>
    </xf>
    <xf numFmtId="0" fontId="17" fillId="9" borderId="9" xfId="0" applyFont="1" applyFill="1" applyBorder="1" applyAlignment="1">
      <alignment vertical="center" wrapText="1"/>
    </xf>
    <xf numFmtId="0" fontId="17" fillId="9" borderId="10" xfId="0" applyFont="1" applyFill="1" applyBorder="1" applyAlignment="1">
      <alignment vertical="center" wrapText="1"/>
    </xf>
    <xf numFmtId="0" fontId="17" fillId="9" borderId="11" xfId="0" applyFont="1" applyFill="1" applyBorder="1" applyAlignment="1">
      <alignment vertical="center" wrapText="1"/>
    </xf>
    <xf numFmtId="0" fontId="17" fillId="9" borderId="12" xfId="0" applyFont="1" applyFill="1" applyBorder="1" applyAlignment="1">
      <alignment vertical="center" wrapText="1"/>
    </xf>
    <xf numFmtId="0" fontId="17" fillId="9" borderId="0" xfId="0" applyFont="1" applyFill="1" applyAlignment="1">
      <alignment vertical="center" wrapText="1"/>
    </xf>
    <xf numFmtId="0" fontId="17" fillId="9" borderId="13" xfId="0" applyFont="1" applyFill="1" applyBorder="1" applyAlignment="1">
      <alignment vertical="center" wrapText="1"/>
    </xf>
    <xf numFmtId="0" fontId="17" fillId="9" borderId="14" xfId="0" applyFont="1" applyFill="1" applyBorder="1" applyAlignment="1">
      <alignment vertical="center" wrapText="1"/>
    </xf>
    <xf numFmtId="0" fontId="17" fillId="9" borderId="8" xfId="0" applyFont="1" applyFill="1" applyBorder="1" applyAlignment="1">
      <alignment vertical="center" wrapText="1"/>
    </xf>
    <xf numFmtId="0" fontId="17" fillId="9" borderId="15" xfId="0" applyFont="1" applyFill="1" applyBorder="1" applyAlignment="1">
      <alignment vertical="center" wrapText="1"/>
    </xf>
    <xf numFmtId="0" fontId="20" fillId="0" borderId="0" xfId="0" applyFont="1" applyAlignment="1">
      <alignment vertical="center" wrapText="1"/>
    </xf>
    <xf numFmtId="0" fontId="24" fillId="2" borderId="0" xfId="3" applyFont="1" applyFill="1" applyAlignment="1">
      <alignment horizontal="center"/>
    </xf>
    <xf numFmtId="0" fontId="5" fillId="2" borderId="0" xfId="0" applyFont="1" applyFill="1"/>
    <xf numFmtId="0" fontId="0" fillId="0" borderId="2" xfId="0" applyBorder="1" applyAlignment="1">
      <alignment horizontal="center"/>
    </xf>
    <xf numFmtId="0" fontId="0" fillId="0" borderId="3" xfId="0" applyBorder="1" applyAlignment="1">
      <alignment horizontal="center"/>
    </xf>
    <xf numFmtId="0" fontId="10" fillId="5" borderId="0" xfId="0" applyFont="1" applyFill="1"/>
    <xf numFmtId="164" fontId="8" fillId="0" borderId="0" xfId="1" applyNumberFormat="1" applyFont="1" applyAlignment="1">
      <alignment horizontal="center"/>
    </xf>
    <xf numFmtId="0" fontId="20" fillId="0" borderId="0" xfId="0" applyFont="1" applyAlignment="1">
      <alignment wrapText="1"/>
    </xf>
    <xf numFmtId="0" fontId="2" fillId="2" borderId="0" xfId="3" applyFont="1" applyFill="1" applyAlignment="1">
      <alignment horizontal="left" vertical="center"/>
    </xf>
    <xf numFmtId="0" fontId="2" fillId="2" borderId="0" xfId="3" applyFont="1" applyFill="1" applyAlignment="1">
      <alignment horizontal="left" vertical="center" wrapText="1"/>
    </xf>
    <xf numFmtId="0" fontId="20" fillId="0" borderId="9" xfId="0" applyFont="1" applyBorder="1" applyAlignment="1">
      <alignment horizontal="left" vertical="center" wrapText="1"/>
    </xf>
    <xf numFmtId="0" fontId="20" fillId="0" borderId="10" xfId="0" applyFont="1" applyBorder="1" applyAlignment="1">
      <alignment horizontal="left" vertical="center" wrapText="1"/>
    </xf>
    <xf numFmtId="0" fontId="20" fillId="0" borderId="11" xfId="0" applyFont="1" applyBorder="1" applyAlignment="1">
      <alignment horizontal="left" vertical="center" wrapText="1"/>
    </xf>
    <xf numFmtId="0" fontId="20" fillId="0" borderId="12" xfId="0" applyFont="1" applyBorder="1" applyAlignment="1">
      <alignment horizontal="left" vertical="center" wrapText="1"/>
    </xf>
    <xf numFmtId="0" fontId="20" fillId="0" borderId="0" xfId="0" applyFont="1" applyAlignment="1">
      <alignment horizontal="left" vertical="center" wrapText="1"/>
    </xf>
    <xf numFmtId="0" fontId="20" fillId="0" borderId="13" xfId="0" applyFont="1" applyBorder="1" applyAlignment="1">
      <alignment horizontal="left" vertical="center" wrapText="1"/>
    </xf>
    <xf numFmtId="0" fontId="20" fillId="0" borderId="14" xfId="0" applyFont="1" applyBorder="1" applyAlignment="1">
      <alignment horizontal="left" vertical="center" wrapText="1"/>
    </xf>
    <xf numFmtId="0" fontId="20" fillId="0" borderId="8" xfId="0" applyFont="1" applyBorder="1" applyAlignment="1">
      <alignment horizontal="left" vertical="center" wrapText="1"/>
    </xf>
    <xf numFmtId="0" fontId="20" fillId="0" borderId="15" xfId="0" applyFont="1" applyBorder="1" applyAlignment="1">
      <alignment horizontal="left" vertical="center" wrapText="1"/>
    </xf>
    <xf numFmtId="0" fontId="20" fillId="0" borderId="0" xfId="0" applyFont="1" applyAlignment="1">
      <alignment horizontal="right" wrapText="1"/>
    </xf>
    <xf numFmtId="0" fontId="20" fillId="0" borderId="0" xfId="0" applyFont="1" applyAlignment="1">
      <alignment horizontal="center"/>
    </xf>
    <xf numFmtId="10" fontId="0" fillId="0" borderId="0" xfId="2" applyNumberFormat="1" applyFont="1" applyAlignment="1">
      <alignment horizontal="center"/>
    </xf>
    <xf numFmtId="0" fontId="3" fillId="0" borderId="9" xfId="0" applyFont="1" applyBorder="1" applyAlignment="1">
      <alignment horizontal="center"/>
    </xf>
    <xf numFmtId="0" fontId="3" fillId="0" borderId="11" xfId="0" applyFont="1" applyBorder="1" applyAlignment="1">
      <alignment horizontal="center"/>
    </xf>
    <xf numFmtId="0" fontId="3" fillId="0" borderId="18" xfId="0" applyFont="1" applyBorder="1" applyAlignment="1">
      <alignment horizontal="center"/>
    </xf>
    <xf numFmtId="0" fontId="3" fillId="0" borderId="7" xfId="0" applyFont="1" applyBorder="1" applyAlignment="1">
      <alignment horizontal="center"/>
    </xf>
    <xf numFmtId="0" fontId="3" fillId="0" borderId="19" xfId="0" applyFont="1" applyBorder="1" applyAlignment="1">
      <alignment horizontal="center"/>
    </xf>
    <xf numFmtId="165" fontId="21" fillId="0" borderId="0" xfId="1" applyNumberFormat="1" applyFont="1" applyAlignment="1">
      <alignment horizontal="center" vertical="center"/>
    </xf>
    <xf numFmtId="0" fontId="20" fillId="0" borderId="9" xfId="0" applyFont="1" applyBorder="1" applyAlignment="1">
      <alignment vertical="center" wrapText="1"/>
    </xf>
    <xf numFmtId="0" fontId="20" fillId="0" borderId="10" xfId="0" applyFont="1" applyBorder="1" applyAlignment="1">
      <alignment vertical="center" wrapText="1"/>
    </xf>
    <xf numFmtId="0" fontId="20" fillId="0" borderId="11" xfId="0" applyFont="1" applyBorder="1" applyAlignment="1">
      <alignment vertical="center" wrapText="1"/>
    </xf>
    <xf numFmtId="0" fontId="20" fillId="0" borderId="12" xfId="0" applyFont="1" applyBorder="1" applyAlignment="1">
      <alignment vertical="center" wrapText="1"/>
    </xf>
    <xf numFmtId="0" fontId="20" fillId="0" borderId="13" xfId="0" applyFont="1" applyBorder="1" applyAlignment="1">
      <alignment vertical="center" wrapText="1"/>
    </xf>
    <xf numFmtId="0" fontId="20" fillId="0" borderId="14" xfId="0" applyFont="1" applyBorder="1" applyAlignment="1">
      <alignment vertical="center" wrapText="1"/>
    </xf>
    <xf numFmtId="0" fontId="20" fillId="0" borderId="8" xfId="0" applyFont="1" applyBorder="1" applyAlignment="1">
      <alignment vertical="center" wrapText="1"/>
    </xf>
    <xf numFmtId="0" fontId="20" fillId="0" borderId="15" xfId="0" applyFont="1" applyBorder="1" applyAlignment="1">
      <alignment vertical="center" wrapText="1"/>
    </xf>
    <xf numFmtId="43" fontId="21" fillId="0" borderId="0" xfId="1" applyFont="1" applyBorder="1" applyAlignment="1">
      <alignment horizontal="center" vertical="center" wrapText="1"/>
    </xf>
    <xf numFmtId="43" fontId="21" fillId="0" borderId="0" xfId="1" applyFont="1" applyAlignment="1">
      <alignment horizontal="center" wrapText="1"/>
    </xf>
    <xf numFmtId="0" fontId="2" fillId="2" borderId="22" xfId="0" applyFont="1" applyFill="1" applyBorder="1" applyAlignment="1">
      <alignment horizontal="center"/>
    </xf>
    <xf numFmtId="0" fontId="2" fillId="2" borderId="0" xfId="0" applyFont="1" applyFill="1" applyAlignment="1">
      <alignment horizontal="center"/>
    </xf>
    <xf numFmtId="0" fontId="2" fillId="2" borderId="0" xfId="0" applyFont="1" applyFill="1"/>
    <xf numFmtId="0" fontId="20" fillId="0" borderId="9" xfId="0" applyFont="1" applyBorder="1" applyAlignment="1">
      <alignment vertical="top" wrapText="1"/>
    </xf>
    <xf numFmtId="0" fontId="20" fillId="0" borderId="10" xfId="0" applyFont="1" applyBorder="1" applyAlignment="1">
      <alignment vertical="top" wrapText="1"/>
    </xf>
    <xf numFmtId="0" fontId="20" fillId="0" borderId="11" xfId="0" applyFont="1" applyBorder="1" applyAlignment="1">
      <alignment vertical="top" wrapText="1"/>
    </xf>
    <xf numFmtId="0" fontId="20" fillId="0" borderId="12" xfId="0" applyFont="1" applyBorder="1" applyAlignment="1">
      <alignment vertical="top" wrapText="1"/>
    </xf>
    <xf numFmtId="0" fontId="20" fillId="0" borderId="0" xfId="0" applyFont="1" applyAlignment="1">
      <alignment vertical="top" wrapText="1"/>
    </xf>
    <xf numFmtId="0" fontId="20" fillId="0" borderId="13" xfId="0" applyFont="1" applyBorder="1" applyAlignment="1">
      <alignment vertical="top" wrapText="1"/>
    </xf>
    <xf numFmtId="0" fontId="20" fillId="0" borderId="14" xfId="0" applyFont="1" applyBorder="1" applyAlignment="1">
      <alignment vertical="top" wrapText="1"/>
    </xf>
    <xf numFmtId="0" fontId="20" fillId="0" borderId="8" xfId="0" applyFont="1" applyBorder="1" applyAlignment="1">
      <alignment vertical="top" wrapText="1"/>
    </xf>
    <xf numFmtId="0" fontId="20" fillId="0" borderId="15" xfId="0" applyFont="1" applyBorder="1" applyAlignment="1">
      <alignment vertical="top" wrapText="1"/>
    </xf>
    <xf numFmtId="0" fontId="20" fillId="0" borderId="9" xfId="0" applyFont="1" applyBorder="1" applyAlignment="1">
      <alignment wrapText="1"/>
    </xf>
    <xf numFmtId="0" fontId="20" fillId="0" borderId="10" xfId="0" applyFont="1" applyBorder="1" applyAlignment="1">
      <alignment wrapText="1"/>
    </xf>
    <xf numFmtId="0" fontId="20" fillId="0" borderId="11" xfId="0" applyFont="1" applyBorder="1" applyAlignment="1">
      <alignment wrapText="1"/>
    </xf>
    <xf numFmtId="0" fontId="20" fillId="0" borderId="12" xfId="0" applyFont="1" applyBorder="1" applyAlignment="1">
      <alignment wrapText="1"/>
    </xf>
    <xf numFmtId="0" fontId="20" fillId="0" borderId="13" xfId="0" applyFont="1" applyBorder="1" applyAlignment="1">
      <alignment wrapText="1"/>
    </xf>
    <xf numFmtId="0" fontId="20" fillId="0" borderId="14" xfId="0" applyFont="1" applyBorder="1" applyAlignment="1">
      <alignment wrapText="1"/>
    </xf>
    <xf numFmtId="0" fontId="20" fillId="0" borderId="8" xfId="0" applyFont="1" applyBorder="1" applyAlignment="1">
      <alignment wrapText="1"/>
    </xf>
    <xf numFmtId="0" fontId="20" fillId="0" borderId="15" xfId="0" applyFont="1" applyBorder="1" applyAlignment="1">
      <alignment wrapText="1"/>
    </xf>
    <xf numFmtId="9" fontId="20" fillId="4" borderId="0" xfId="1" applyNumberFormat="1" applyFont="1" applyFill="1"/>
    <xf numFmtId="0" fontId="20" fillId="0" borderId="0" xfId="0" applyFont="1" applyBorder="1" applyAlignment="1">
      <alignment horizontal="left" vertical="center" wrapText="1"/>
    </xf>
    <xf numFmtId="0" fontId="0" fillId="0" borderId="0" xfId="0" applyBorder="1"/>
    <xf numFmtId="0" fontId="20" fillId="0" borderId="0" xfId="0" applyFont="1" applyBorder="1" applyAlignment="1">
      <alignment horizontal="left" vertical="center" wrapText="1"/>
    </xf>
    <xf numFmtId="0" fontId="20" fillId="0" borderId="0" xfId="0" applyFont="1" applyAlignment="1">
      <alignment horizontal="center" vertical="center" wrapText="1"/>
    </xf>
  </cellXfs>
  <cellStyles count="15">
    <cellStyle name="Comma" xfId="1" builtinId="3"/>
    <cellStyle name="Comma 2" xfId="5" xr:uid="{F943E927-92DE-44A2-97F4-763FDDEC525A}"/>
    <cellStyle name="Comma 2 2" xfId="13" xr:uid="{7DC6C35E-1403-4481-959F-5D4F867A8DE4}"/>
    <cellStyle name="Comma 3" xfId="9" xr:uid="{FBC9770D-D4CD-4644-BA1C-1335DC857678}"/>
    <cellStyle name="Comma 4" xfId="12" xr:uid="{7F6028E2-3A0C-4422-A9F6-89509F50E4AF}"/>
    <cellStyle name="Hyperlink" xfId="7" builtinId="8"/>
    <cellStyle name="Normal" xfId="0" builtinId="0"/>
    <cellStyle name="Normal 2" xfId="3" xr:uid="{DA42CC58-EA18-4836-A698-CEA13D2924BF}"/>
    <cellStyle name="Normal 2 2" xfId="8" xr:uid="{FAE5CE69-2E04-4692-9577-A70C2D9061D2}"/>
    <cellStyle name="Normal 3" xfId="10" xr:uid="{C051DF01-24B7-49DA-9D29-941457CC137A}"/>
    <cellStyle name="Normal 4" xfId="4" xr:uid="{D74781FD-EEB6-4C04-81A7-411AAD08CDCB}"/>
    <cellStyle name="Percent" xfId="2" builtinId="5"/>
    <cellStyle name="Percent 2" xfId="6" xr:uid="{065CF056-69F5-4EDE-A856-B79BB3D35D6B}"/>
    <cellStyle name="Percent 2 2" xfId="14" xr:uid="{A8646B7D-D21E-4E7B-B70B-73D73EB9EB09}"/>
    <cellStyle name="Percent 4" xfId="11" xr:uid="{798E3141-EE73-4D7C-A79F-01B33662D26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Equity Value</a:t>
            </a:r>
            <a:r>
              <a:rPr lang="en-US" b="1" baseline="0">
                <a:solidFill>
                  <a:schemeClr val="bg1"/>
                </a:solidFill>
              </a:rPr>
              <a:t> Summary</a:t>
            </a:r>
            <a:endParaRPr lang="en-US" b="1">
              <a:solidFill>
                <a:schemeClr val="bg1"/>
              </a:solidFill>
            </a:endParaRPr>
          </a:p>
        </c:rich>
      </c:tx>
      <c:overlay val="0"/>
      <c:spPr>
        <a:solidFill>
          <a:srgbClr val="00206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rgbClr val="002060"/>
            </a:solidFill>
            <a:ln>
              <a:noFill/>
            </a:ln>
            <a:effectLst/>
          </c:spPr>
          <c:invertIfNegative val="0"/>
          <c:cat>
            <c:strRef>
              <c:f>'Compr Scenario Analysis-DCF'!$B$6:$B$11</c:f>
              <c:strCache>
                <c:ptCount val="6"/>
                <c:pt idx="0">
                  <c:v>WACC</c:v>
                </c:pt>
                <c:pt idx="1">
                  <c:v>Terminal Growth Rate</c:v>
                </c:pt>
                <c:pt idx="2">
                  <c:v>Intrinsic Growth Rate</c:v>
                </c:pt>
                <c:pt idx="3">
                  <c:v>Revenue Growth Rate</c:v>
                </c:pt>
                <c:pt idx="4">
                  <c:v>EBIT Margin</c:v>
                </c:pt>
                <c:pt idx="5">
                  <c:v>Tax Rate</c:v>
                </c:pt>
              </c:strCache>
            </c:strRef>
          </c:cat>
          <c:val>
            <c:numRef>
              <c:f>'Compr Scenario Analysis-DCF'!$D$6:$D$11</c:f>
              <c:numCache>
                <c:formatCode>_(* #,##0.00_);_(* \(#,##0.00\);_(* "-"??_);_(@_)</c:formatCode>
                <c:ptCount val="6"/>
                <c:pt idx="0">
                  <c:v>78.492571999871032</c:v>
                </c:pt>
                <c:pt idx="1">
                  <c:v>30.018155110084912</c:v>
                </c:pt>
                <c:pt idx="2">
                  <c:v>26.615728195682173</c:v>
                </c:pt>
                <c:pt idx="3">
                  <c:v>47.310838355280808</c:v>
                </c:pt>
                <c:pt idx="4">
                  <c:v>47.378361865672048</c:v>
                </c:pt>
                <c:pt idx="5">
                  <c:v>29.699868632212322</c:v>
                </c:pt>
              </c:numCache>
            </c:numRef>
          </c:val>
          <c:extLst>
            <c:ext xmlns:c16="http://schemas.microsoft.com/office/drawing/2014/chart" uri="{C3380CC4-5D6E-409C-BE32-E72D297353CC}">
              <c16:uniqueId val="{00000000-9E38-4533-A7AF-20EE9DEB436A}"/>
            </c:ext>
          </c:extLst>
        </c:ser>
        <c:ser>
          <c:idx val="1"/>
          <c:order val="1"/>
          <c:spPr>
            <a:solidFill>
              <a:schemeClr val="accent1">
                <a:lumMod val="40000"/>
                <a:lumOff val="60000"/>
              </a:schemeClr>
            </a:solidFill>
            <a:ln>
              <a:noFill/>
            </a:ln>
            <a:effectLst/>
          </c:spPr>
          <c:invertIfNegative val="0"/>
          <c:cat>
            <c:strRef>
              <c:f>'Compr Scenario Analysis-DCF'!$B$6:$B$11</c:f>
              <c:strCache>
                <c:ptCount val="6"/>
                <c:pt idx="0">
                  <c:v>WACC</c:v>
                </c:pt>
                <c:pt idx="1">
                  <c:v>Terminal Growth Rate</c:v>
                </c:pt>
                <c:pt idx="2">
                  <c:v>Intrinsic Growth Rate</c:v>
                </c:pt>
                <c:pt idx="3">
                  <c:v>Revenue Growth Rate</c:v>
                </c:pt>
                <c:pt idx="4">
                  <c:v>EBIT Margin</c:v>
                </c:pt>
                <c:pt idx="5">
                  <c:v>Tax Rate</c:v>
                </c:pt>
              </c:strCache>
            </c:strRef>
          </c:cat>
          <c:val>
            <c:numRef>
              <c:f>'Compr Scenario Analysis-DCF'!$E$6:$E$11</c:f>
              <c:numCache>
                <c:formatCode>_(* #,##0.00_);_(* \(#,##0.00\);_(* "-"??_);_(@_)</c:formatCode>
                <c:ptCount val="6"/>
                <c:pt idx="0">
                  <c:v>16.589623730052633</c:v>
                </c:pt>
                <c:pt idx="1">
                  <c:v>24.094270797282086</c:v>
                </c:pt>
                <c:pt idx="2">
                  <c:v>23.449764641475753</c:v>
                </c:pt>
                <c:pt idx="3">
                  <c:v>12.371297078628288</c:v>
                </c:pt>
                <c:pt idx="4">
                  <c:v>2.6871309714858786</c:v>
                </c:pt>
                <c:pt idx="5">
                  <c:v>21.214191880151656</c:v>
                </c:pt>
              </c:numCache>
            </c:numRef>
          </c:val>
          <c:extLst>
            <c:ext xmlns:c16="http://schemas.microsoft.com/office/drawing/2014/chart" uri="{C3380CC4-5D6E-409C-BE32-E72D297353CC}">
              <c16:uniqueId val="{00000001-9E38-4533-A7AF-20EE9DEB436A}"/>
            </c:ext>
          </c:extLst>
        </c:ser>
        <c:dLbls>
          <c:showLegendKey val="0"/>
          <c:showVal val="0"/>
          <c:showCatName val="0"/>
          <c:showSerName val="0"/>
          <c:showPercent val="0"/>
          <c:showBubbleSize val="0"/>
        </c:dLbls>
        <c:gapWidth val="219"/>
        <c:overlap val="-27"/>
        <c:axId val="491519823"/>
        <c:axId val="491509263"/>
      </c:barChart>
      <c:catAx>
        <c:axId val="491519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crossAx val="491509263"/>
        <c:crosses val="autoZero"/>
        <c:auto val="1"/>
        <c:lblAlgn val="ctr"/>
        <c:lblOffset val="100"/>
        <c:noMultiLvlLbl val="0"/>
      </c:catAx>
      <c:valAx>
        <c:axId val="491509263"/>
        <c:scaling>
          <c:orientation val="minMax"/>
        </c:scaling>
        <c:delete val="0"/>
        <c:axPos val="l"/>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crossAx val="4915198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rgbClr val="002060"/>
                </a:solidFill>
                <a:latin typeface="+mn-lt"/>
                <a:ea typeface="+mn-ea"/>
                <a:cs typeface="+mn-cs"/>
              </a:defRPr>
            </a:pPr>
            <a:r>
              <a:rPr lang="en-US" sz="1200" b="1">
                <a:solidFill>
                  <a:srgbClr val="002060"/>
                </a:solidFill>
              </a:rPr>
              <a:t>Football Field Analysis- (Billion</a:t>
            </a:r>
            <a:r>
              <a:rPr lang="en-US" sz="1200" b="1" baseline="0">
                <a:solidFill>
                  <a:srgbClr val="002060"/>
                </a:solidFill>
              </a:rPr>
              <a:t> $</a:t>
            </a:r>
            <a:r>
              <a:rPr lang="en-US" sz="1200" b="1">
                <a:solidFill>
                  <a:srgbClr val="002060"/>
                </a:solidFill>
              </a:rPr>
              <a:t>)</a:t>
            </a:r>
          </a:p>
        </c:rich>
      </c:tx>
      <c:overlay val="0"/>
      <c:spPr>
        <a:noFill/>
        <a:ln>
          <a:noFill/>
        </a:ln>
        <a:effectLst/>
      </c:spPr>
      <c:txPr>
        <a:bodyPr rot="0" spcFirstLastPara="1" vertOverflow="ellipsis" vert="horz" wrap="square" anchor="ctr" anchorCtr="1"/>
        <a:lstStyle/>
        <a:p>
          <a:pPr>
            <a:defRPr sz="1200" b="1" i="0" u="none" strike="noStrike" kern="1200" spc="0" baseline="0">
              <a:solidFill>
                <a:srgbClr val="002060"/>
              </a:solidFill>
              <a:latin typeface="+mn-lt"/>
              <a:ea typeface="+mn-ea"/>
              <a:cs typeface="+mn-cs"/>
            </a:defRPr>
          </a:pPr>
          <a:endParaRPr lang="en-US"/>
        </a:p>
      </c:txPr>
    </c:title>
    <c:autoTitleDeleted val="0"/>
    <c:plotArea>
      <c:layout/>
      <c:stockChart>
        <c:ser>
          <c:idx val="0"/>
          <c:order val="0"/>
          <c:spPr>
            <a:ln w="19050" cap="rnd">
              <a:noFill/>
              <a:round/>
            </a:ln>
            <a:effectLst/>
          </c:spPr>
          <c:marker>
            <c:symbol val="none"/>
          </c:marker>
          <c:cat>
            <c:strRef>
              <c:f>'Football Field Analysis'!$N$4:$N$7</c:f>
              <c:strCache>
                <c:ptCount val="4"/>
                <c:pt idx="0">
                  <c:v>Relative Valuation</c:v>
                </c:pt>
                <c:pt idx="1">
                  <c:v>DCF Best case</c:v>
                </c:pt>
                <c:pt idx="2">
                  <c:v>DCF Base</c:v>
                </c:pt>
                <c:pt idx="3">
                  <c:v>DCF Worst Case</c:v>
                </c:pt>
              </c:strCache>
            </c:strRef>
          </c:cat>
          <c:val>
            <c:numRef>
              <c:f>'Football Field Analysis'!$O$4:$O$7</c:f>
              <c:numCache>
                <c:formatCode>_(* #,##0.00_);_(* \(#,##0.00\);_(* "-"??_);_(@_)</c:formatCode>
                <c:ptCount val="4"/>
                <c:pt idx="0">
                  <c:v>34.850941258553256</c:v>
                </c:pt>
                <c:pt idx="1">
                  <c:v>26.615728195682173</c:v>
                </c:pt>
                <c:pt idx="2">
                  <c:v>25.032746418578956</c:v>
                </c:pt>
                <c:pt idx="3">
                  <c:v>2.6871309714858786</c:v>
                </c:pt>
              </c:numCache>
            </c:numRef>
          </c:val>
          <c:smooth val="0"/>
          <c:extLst>
            <c:ext xmlns:c16="http://schemas.microsoft.com/office/drawing/2014/chart" uri="{C3380CC4-5D6E-409C-BE32-E72D297353CC}">
              <c16:uniqueId val="{00000000-DCBA-4A0D-AA2E-03905ECC9385}"/>
            </c:ext>
          </c:extLst>
        </c:ser>
        <c:ser>
          <c:idx val="1"/>
          <c:order val="1"/>
          <c:spPr>
            <a:ln w="19050" cap="rnd">
              <a:noFill/>
              <a:round/>
            </a:ln>
            <a:effectLst/>
          </c:spPr>
          <c:marker>
            <c:symbol val="none"/>
          </c:marker>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'Football Field Analysis'!$N$4:$N$7</c:f>
              <c:strCache>
                <c:ptCount val="4"/>
                <c:pt idx="0">
                  <c:v>Relative Valuation</c:v>
                </c:pt>
                <c:pt idx="1">
                  <c:v>DCF Best case</c:v>
                </c:pt>
                <c:pt idx="2">
                  <c:v>DCF Base</c:v>
                </c:pt>
                <c:pt idx="3">
                  <c:v>DCF Worst Case</c:v>
                </c:pt>
              </c:strCache>
            </c:strRef>
          </c:cat>
          <c:val>
            <c:numRef>
              <c:f>'Football Field Analysis'!$P$4:$P$7</c:f>
              <c:numCache>
                <c:formatCode>_(* #,##0.00_);_(* \(#,##0.00\);_(* "-"??_);_(@_)</c:formatCode>
                <c:ptCount val="4"/>
                <c:pt idx="0">
                  <c:v>34.850941258553256</c:v>
                </c:pt>
                <c:pt idx="1">
                  <c:v>26.615728195682173</c:v>
                </c:pt>
                <c:pt idx="2">
                  <c:v>25.032746418578956</c:v>
                </c:pt>
                <c:pt idx="3">
                  <c:v>2.6871309714858786</c:v>
                </c:pt>
              </c:numCache>
            </c:numRef>
          </c:val>
          <c:smooth val="0"/>
          <c:extLst>
            <c:ext xmlns:c16="http://schemas.microsoft.com/office/drawing/2014/chart" uri="{C3380CC4-5D6E-409C-BE32-E72D297353CC}">
              <c16:uniqueId val="{00000001-DCBA-4A0D-AA2E-03905ECC9385}"/>
            </c:ext>
          </c:extLst>
        </c:ser>
        <c:ser>
          <c:idx val="2"/>
          <c:order val="2"/>
          <c:spPr>
            <a:ln w="19050" cap="rnd">
              <a:noFill/>
              <a:round/>
            </a:ln>
            <a:effectLst/>
          </c:spPr>
          <c:marker>
            <c:symbol val="none"/>
          </c:marker>
          <c:cat>
            <c:strRef>
              <c:f>'Football Field Analysis'!$N$4:$N$7</c:f>
              <c:strCache>
                <c:ptCount val="4"/>
                <c:pt idx="0">
                  <c:v>Relative Valuation</c:v>
                </c:pt>
                <c:pt idx="1">
                  <c:v>DCF Best case</c:v>
                </c:pt>
                <c:pt idx="2">
                  <c:v>DCF Base</c:v>
                </c:pt>
                <c:pt idx="3">
                  <c:v>DCF Worst Case</c:v>
                </c:pt>
              </c:strCache>
            </c:strRef>
          </c:cat>
          <c:val>
            <c:numRef>
              <c:f>'Football Field Analysis'!$Q$4:$Q$7</c:f>
              <c:numCache>
                <c:formatCode>_(* #,##0.00_);_(* \(#,##0.00\);_(* "-"??_);_(@_)</c:formatCode>
                <c:ptCount val="4"/>
                <c:pt idx="0">
                  <c:v>35.603999999999999</c:v>
                </c:pt>
                <c:pt idx="1">
                  <c:v>78.492571999871032</c:v>
                </c:pt>
                <c:pt idx="2">
                  <c:v>25.032746418578956</c:v>
                </c:pt>
                <c:pt idx="3">
                  <c:v>24.094270797282086</c:v>
                </c:pt>
              </c:numCache>
            </c:numRef>
          </c:val>
          <c:smooth val="0"/>
          <c:extLst>
            <c:ext xmlns:c16="http://schemas.microsoft.com/office/drawing/2014/chart" uri="{C3380CC4-5D6E-409C-BE32-E72D297353CC}">
              <c16:uniqueId val="{00000002-DCBA-4A0D-AA2E-03905ECC9385}"/>
            </c:ext>
          </c:extLst>
        </c:ser>
        <c:ser>
          <c:idx val="3"/>
          <c:order val="3"/>
          <c:spPr>
            <a:ln w="19050" cap="rnd">
              <a:noFill/>
              <a:round/>
            </a:ln>
            <a:effectLst/>
          </c:spPr>
          <c:marker>
            <c:symbol val="none"/>
          </c:marker>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'Football Field Analysis'!$N$4:$N$7</c:f>
              <c:strCache>
                <c:ptCount val="4"/>
                <c:pt idx="0">
                  <c:v>Relative Valuation</c:v>
                </c:pt>
                <c:pt idx="1">
                  <c:v>DCF Best case</c:v>
                </c:pt>
                <c:pt idx="2">
                  <c:v>DCF Base</c:v>
                </c:pt>
                <c:pt idx="3">
                  <c:v>DCF Worst Case</c:v>
                </c:pt>
              </c:strCache>
            </c:strRef>
          </c:cat>
          <c:val>
            <c:numRef>
              <c:f>'Football Field Analysis'!$R$4:$R$7</c:f>
              <c:numCache>
                <c:formatCode>_(* #,##0.00_);_(* \(#,##0.00\);_(* "-"??_);_(@_)</c:formatCode>
                <c:ptCount val="4"/>
                <c:pt idx="0">
                  <c:v>35.603999999999999</c:v>
                </c:pt>
                <c:pt idx="1">
                  <c:v>78.492571999871032</c:v>
                </c:pt>
                <c:pt idx="2">
                  <c:v>25.032746418578956</c:v>
                </c:pt>
                <c:pt idx="3">
                  <c:v>24.094270797282086</c:v>
                </c:pt>
              </c:numCache>
            </c:numRef>
          </c:val>
          <c:smooth val="0"/>
          <c:extLst>
            <c:ext xmlns:c16="http://schemas.microsoft.com/office/drawing/2014/chart" uri="{C3380CC4-5D6E-409C-BE32-E72D297353CC}">
              <c16:uniqueId val="{00000003-DCBA-4A0D-AA2E-03905ECC9385}"/>
            </c:ext>
          </c:extLst>
        </c:ser>
        <c:dLbls>
          <c:showLegendKey val="0"/>
          <c:showVal val="0"/>
          <c:showCatName val="0"/>
          <c:showSerName val="0"/>
          <c:showPercent val="0"/>
          <c:showBubbleSize val="0"/>
        </c:dLbls>
        <c:upDownBars>
          <c:gapWidth val="150"/>
          <c:upBars>
            <c:spPr>
              <a:solidFill>
                <a:srgbClr val="002060"/>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870358879"/>
        <c:axId val="870370399"/>
      </c:stockChart>
      <c:catAx>
        <c:axId val="870358879"/>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870370399"/>
        <c:crosses val="autoZero"/>
        <c:auto val="1"/>
        <c:lblAlgn val="ctr"/>
        <c:lblOffset val="1000"/>
        <c:noMultiLvlLbl val="0"/>
      </c:catAx>
      <c:valAx>
        <c:axId val="870370399"/>
        <c:scaling>
          <c:orientation val="minMax"/>
        </c:scaling>
        <c:delete val="0"/>
        <c:axPos val="l"/>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en-US"/>
          </a:p>
        </c:txPr>
        <c:crossAx val="8703588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6</xdr:col>
      <xdr:colOff>434340</xdr:colOff>
      <xdr:row>1</xdr:row>
      <xdr:rowOff>68580</xdr:rowOff>
    </xdr:from>
    <xdr:to>
      <xdr:col>10</xdr:col>
      <xdr:colOff>259080</xdr:colOff>
      <xdr:row>17</xdr:row>
      <xdr:rowOff>68580</xdr:rowOff>
    </xdr:to>
    <xdr:graphicFrame macro="">
      <xdr:nvGraphicFramePr>
        <xdr:cNvPr id="2" name="Chart 1">
          <a:extLst>
            <a:ext uri="{FF2B5EF4-FFF2-40B4-BE49-F238E27FC236}">
              <a16:creationId xmlns:a16="http://schemas.microsoft.com/office/drawing/2014/main" id="{9A09C8D1-C389-4E5B-979F-8F9294C583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236220</xdr:colOff>
      <xdr:row>3</xdr:row>
      <xdr:rowOff>53340</xdr:rowOff>
    </xdr:from>
    <xdr:to>
      <xdr:col>10</xdr:col>
      <xdr:colOff>190500</xdr:colOff>
      <xdr:row>14</xdr:row>
      <xdr:rowOff>53340</xdr:rowOff>
    </xdr:to>
    <xdr:graphicFrame macro="">
      <xdr:nvGraphicFramePr>
        <xdr:cNvPr id="2" name="Chart 1">
          <a:extLst>
            <a:ext uri="{FF2B5EF4-FFF2-40B4-BE49-F238E27FC236}">
              <a16:creationId xmlns:a16="http://schemas.microsoft.com/office/drawing/2014/main" id="{41F96F37-C221-4D0C-9A8E-794709B9B4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30480</xdr:colOff>
      <xdr:row>3</xdr:row>
      <xdr:rowOff>15240</xdr:rowOff>
    </xdr:from>
    <xdr:to>
      <xdr:col>8</xdr:col>
      <xdr:colOff>335280</xdr:colOff>
      <xdr:row>21</xdr:row>
      <xdr:rowOff>160020</xdr:rowOff>
    </xdr:to>
    <xdr:sp macro="" textlink="">
      <xdr:nvSpPr>
        <xdr:cNvPr id="2" name="Rectangle: Rounded Corners 1">
          <a:extLst>
            <a:ext uri="{FF2B5EF4-FFF2-40B4-BE49-F238E27FC236}">
              <a16:creationId xmlns:a16="http://schemas.microsoft.com/office/drawing/2014/main" id="{A223A08D-9AB0-14AE-2468-B10769C2D29C}"/>
            </a:ext>
          </a:extLst>
        </xdr:cNvPr>
        <xdr:cNvSpPr/>
      </xdr:nvSpPr>
      <xdr:spPr>
        <a:xfrm>
          <a:off x="640080" y="563880"/>
          <a:ext cx="4572000" cy="3436620"/>
        </a:xfrm>
        <a:prstGeom prst="roundRect">
          <a:avLst/>
        </a:prstGeom>
        <a:solidFill>
          <a:srgbClr val="002060"/>
        </a:solidFill>
        <a:ln>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u="sng" kern="1200">
              <a:solidFill>
                <a:schemeClr val="bg1"/>
              </a:solidFill>
            </a:rPr>
            <a:t>Strenghts</a:t>
          </a:r>
        </a:p>
        <a:p>
          <a:pPr algn="l"/>
          <a:r>
            <a:rPr lang="en-US" b="1"/>
            <a:t>1) Market Leadership</a:t>
          </a:r>
          <a:r>
            <a:rPr lang="en-US"/>
            <a:t>: OpenAI’s flagship product, </a:t>
          </a:r>
          <a:r>
            <a:rPr lang="en-US" b="1"/>
            <a:t>ChatGPT</a:t>
          </a:r>
          <a:r>
            <a:rPr lang="en-US"/>
            <a:t>, dominates the conversational AI space, achieving </a:t>
          </a:r>
          <a:r>
            <a:rPr lang="en-US" b="1"/>
            <a:t>100M users within two months</a:t>
          </a:r>
          <a:r>
            <a:rPr lang="en-US"/>
            <a:t> of launch, and currently</a:t>
          </a:r>
          <a:r>
            <a:rPr lang="en-US" baseline="0"/>
            <a:t> having 250 Million Active Monthly users. It also has 1M+ Paid Enterprise/Business Customers and 10M+ individual users of the premium version </a:t>
          </a:r>
          <a:r>
            <a:rPr lang="en-US"/>
            <a:t>showcasing high user adoption. </a:t>
          </a:r>
        </a:p>
        <a:p>
          <a:pPr algn="l"/>
          <a:endParaRPr lang="en-US"/>
        </a:p>
        <a:p>
          <a:pPr algn="l"/>
          <a:r>
            <a:rPr lang="en-US" b="1"/>
            <a:t>2) Revenue Growth</a:t>
          </a:r>
          <a:r>
            <a:rPr lang="en-US"/>
            <a:t>: Estimated </a:t>
          </a:r>
          <a:r>
            <a:rPr lang="en-US" b="1"/>
            <a:t>$3.6 billion in revenue for 2024</a:t>
          </a:r>
          <a:r>
            <a:rPr lang="en-US"/>
            <a:t>, with potential to grow at </a:t>
          </a:r>
          <a:r>
            <a:rPr lang="en-US" b="1"/>
            <a:t>30-35% CAGR</a:t>
          </a:r>
          <a:r>
            <a:rPr lang="en-US" b="0"/>
            <a:t>.</a:t>
          </a:r>
          <a:r>
            <a:rPr lang="en-US" b="0" baseline="0"/>
            <a:t> Reuturs has estimated the revenue to be 11.6B$ in 2025.</a:t>
          </a:r>
        </a:p>
        <a:p>
          <a:pPr algn="l"/>
          <a:endParaRPr lang="en-US" b="0" baseline="0"/>
        </a:p>
        <a:p>
          <a:pPr algn="l"/>
          <a:r>
            <a:rPr lang="en-US" b="1" baseline="0"/>
            <a:t>3)</a:t>
          </a:r>
          <a:r>
            <a:rPr lang="en-US" b="1"/>
            <a:t>Strategic Partnerships</a:t>
          </a:r>
          <a:r>
            <a:rPr lang="en-US"/>
            <a:t>: Backed by </a:t>
          </a:r>
          <a:r>
            <a:rPr lang="en-US" b="1"/>
            <a:t>Microsoft</a:t>
          </a:r>
          <a:r>
            <a:rPr lang="en-US"/>
            <a:t> with a </a:t>
          </a:r>
          <a:r>
            <a:rPr lang="en-US" b="1"/>
            <a:t>$13B</a:t>
          </a:r>
          <a:r>
            <a:rPr lang="en-US"/>
            <a:t> investment, providing both financial stability and integration opportunities (e.g., Azure OpenAI services).</a:t>
          </a:r>
        </a:p>
        <a:p>
          <a:pPr algn="l"/>
          <a:endParaRPr lang="en-US"/>
        </a:p>
        <a:p>
          <a:pPr algn="l"/>
          <a:r>
            <a:rPr lang="en-US" b="1"/>
            <a:t>4) First-Mover Advantage</a:t>
          </a:r>
          <a:r>
            <a:rPr lang="en-US"/>
            <a:t>: Pioneering advanced models like GPT-4.5 and GPT-5 ensures a competitive edge in innovation.</a:t>
          </a:r>
          <a:endParaRPr lang="en-US" sz="1100" b="1" u="sng" kern="1200">
            <a:solidFill>
              <a:schemeClr val="bg1"/>
            </a:solidFill>
          </a:endParaRPr>
        </a:p>
      </xdr:txBody>
    </xdr:sp>
    <xdr:clientData/>
  </xdr:twoCellAnchor>
  <xdr:twoCellAnchor>
    <xdr:from>
      <xdr:col>9</xdr:col>
      <xdr:colOff>121920</xdr:colOff>
      <xdr:row>3</xdr:row>
      <xdr:rowOff>68580</xdr:rowOff>
    </xdr:from>
    <xdr:to>
      <xdr:col>16</xdr:col>
      <xdr:colOff>426720</xdr:colOff>
      <xdr:row>22</xdr:row>
      <xdr:rowOff>30480</xdr:rowOff>
    </xdr:to>
    <xdr:sp macro="" textlink="">
      <xdr:nvSpPr>
        <xdr:cNvPr id="3" name="Rectangle: Rounded Corners 2">
          <a:extLst>
            <a:ext uri="{FF2B5EF4-FFF2-40B4-BE49-F238E27FC236}">
              <a16:creationId xmlns:a16="http://schemas.microsoft.com/office/drawing/2014/main" id="{AF579F0C-0C96-4E18-B469-43B623ABAA78}"/>
            </a:ext>
          </a:extLst>
        </xdr:cNvPr>
        <xdr:cNvSpPr/>
      </xdr:nvSpPr>
      <xdr:spPr>
        <a:xfrm>
          <a:off x="5608320" y="617220"/>
          <a:ext cx="4572000" cy="3436620"/>
        </a:xfrm>
        <a:prstGeom prst="roundRect">
          <a:avLst/>
        </a:prstGeom>
        <a:solidFill>
          <a:schemeClr val="accent1">
            <a:lumMod val="60000"/>
            <a:lumOff val="40000"/>
          </a:schemeClr>
        </a:solidFill>
        <a:ln>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u="sng" kern="1200">
              <a:solidFill>
                <a:schemeClr val="bg1"/>
              </a:solidFill>
            </a:rPr>
            <a:t>Weaknesses</a:t>
          </a:r>
        </a:p>
        <a:p>
          <a:pPr algn="l"/>
          <a:r>
            <a:rPr lang="en-US" b="1"/>
            <a:t>1) High Operating Costs:</a:t>
          </a:r>
          <a:r>
            <a:rPr lang="en-US"/>
            <a:t> Estimated </a:t>
          </a:r>
          <a:r>
            <a:rPr lang="en-US" b="1"/>
            <a:t>$100M+ annually</a:t>
          </a:r>
          <a:r>
            <a:rPr lang="en-US"/>
            <a:t> for training and scaling GPT models.</a:t>
          </a:r>
        </a:p>
        <a:p>
          <a:pPr algn="l"/>
          <a:endParaRPr lang="en-US" b="1"/>
        </a:p>
        <a:p>
          <a:pPr algn="l"/>
          <a:r>
            <a:rPr lang="en-US" b="1"/>
            <a:t>2) Profitability Challenge:</a:t>
          </a:r>
          <a:r>
            <a:rPr lang="en-US"/>
            <a:t> Operating margins remain tight at around </a:t>
          </a:r>
          <a:r>
            <a:rPr lang="en-US" b="1"/>
            <a:t>10-15%</a:t>
          </a:r>
          <a:r>
            <a:rPr lang="en-US"/>
            <a:t>, reflecting dependency on scale.</a:t>
          </a:r>
        </a:p>
        <a:p>
          <a:pPr algn="l"/>
          <a:endParaRPr lang="en-US" b="1"/>
        </a:p>
        <a:p>
          <a:pPr algn="l"/>
          <a:r>
            <a:rPr lang="en-US" b="1"/>
            <a:t>3) Limited Monetization Diversification:</a:t>
          </a:r>
          <a:r>
            <a:rPr lang="en-US"/>
            <a:t> Over </a:t>
          </a:r>
          <a:r>
            <a:rPr lang="en-US" b="1"/>
            <a:t>80% of revenue</a:t>
          </a:r>
          <a:r>
            <a:rPr lang="en-US"/>
            <a:t> relies on API and subscription services (ChatGPT Plus).</a:t>
          </a:r>
          <a:endParaRPr lang="en-US" sz="1100" b="1" u="sng" kern="1200">
            <a:solidFill>
              <a:schemeClr val="bg1"/>
            </a:solidFill>
          </a:endParaRPr>
        </a:p>
      </xdr:txBody>
    </xdr:sp>
    <xdr:clientData/>
  </xdr:twoCellAnchor>
  <xdr:twoCellAnchor>
    <xdr:from>
      <xdr:col>1</xdr:col>
      <xdr:colOff>60960</xdr:colOff>
      <xdr:row>23</xdr:row>
      <xdr:rowOff>160020</xdr:rowOff>
    </xdr:from>
    <xdr:to>
      <xdr:col>8</xdr:col>
      <xdr:colOff>365760</xdr:colOff>
      <xdr:row>42</xdr:row>
      <xdr:rowOff>121920</xdr:rowOff>
    </xdr:to>
    <xdr:sp macro="" textlink="">
      <xdr:nvSpPr>
        <xdr:cNvPr id="4" name="Rectangle: Rounded Corners 3">
          <a:extLst>
            <a:ext uri="{FF2B5EF4-FFF2-40B4-BE49-F238E27FC236}">
              <a16:creationId xmlns:a16="http://schemas.microsoft.com/office/drawing/2014/main" id="{0AF27B09-0F73-4417-8886-135471BBCD69}"/>
            </a:ext>
          </a:extLst>
        </xdr:cNvPr>
        <xdr:cNvSpPr/>
      </xdr:nvSpPr>
      <xdr:spPr>
        <a:xfrm>
          <a:off x="670560" y="4366260"/>
          <a:ext cx="4572000" cy="3436620"/>
        </a:xfrm>
        <a:prstGeom prst="roundRect">
          <a:avLst/>
        </a:prstGeom>
        <a:solidFill>
          <a:schemeClr val="bg1">
            <a:lumMod val="65000"/>
          </a:schemeClr>
        </a:solidFill>
        <a:ln>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u="sng" kern="1200">
              <a:solidFill>
                <a:schemeClr val="bg1"/>
              </a:solidFill>
            </a:rPr>
            <a:t>Opportunities</a:t>
          </a:r>
        </a:p>
        <a:p>
          <a:pPr algn="l"/>
          <a:r>
            <a:rPr lang="en-US" b="1"/>
            <a:t>1) AI Market Expansion:</a:t>
          </a:r>
          <a:r>
            <a:rPr lang="en-US"/>
            <a:t> Global AI market projected to grow from </a:t>
          </a:r>
          <a:r>
            <a:rPr lang="en-US" b="1"/>
            <a:t>$207B (2023)</a:t>
          </a:r>
          <a:r>
            <a:rPr lang="en-US"/>
            <a:t> to </a:t>
          </a:r>
          <a:r>
            <a:rPr lang="en-US" b="1"/>
            <a:t>$1.8T (2030)</a:t>
          </a:r>
          <a:r>
            <a:rPr lang="en-US"/>
            <a:t>; OpenAI could capture </a:t>
          </a:r>
          <a:r>
            <a:rPr lang="en-US" b="1"/>
            <a:t>10-12%</a:t>
          </a:r>
          <a:r>
            <a:rPr lang="en-US"/>
            <a:t> of this growth</a:t>
          </a:r>
          <a:r>
            <a:rPr lang="en-US" baseline="0"/>
            <a:t> which would give it a turnover of 210B$+.</a:t>
          </a:r>
        </a:p>
        <a:p>
          <a:pPr algn="l"/>
          <a:endParaRPr lang="en-US" b="1" baseline="0"/>
        </a:p>
        <a:p>
          <a:pPr algn="l"/>
          <a:r>
            <a:rPr lang="en-US" b="1" baseline="0"/>
            <a:t>2) </a:t>
          </a:r>
          <a:r>
            <a:rPr lang="en-US" b="1"/>
            <a:t>Enterprise Expansion:</a:t>
          </a:r>
          <a:r>
            <a:rPr lang="en-US"/>
            <a:t> Focus on B2B solutions like Codex and AI-powered productivity tools could boost revenues by </a:t>
          </a:r>
          <a:r>
            <a:rPr lang="en-US" b="1"/>
            <a:t>50%+</a:t>
          </a:r>
          <a:r>
            <a:rPr lang="en-US"/>
            <a:t>.</a:t>
          </a:r>
        </a:p>
        <a:p>
          <a:pPr algn="l"/>
          <a:endParaRPr lang="en-US" b="1"/>
        </a:p>
        <a:p>
          <a:pPr algn="l"/>
          <a:r>
            <a:rPr lang="en-US" b="1"/>
            <a:t>3) New Product Lines:</a:t>
          </a:r>
          <a:r>
            <a:rPr lang="en-US"/>
            <a:t> Potential in healthcare, education, and legal AI sectors; estimated market value of over </a:t>
          </a:r>
          <a:r>
            <a:rPr lang="en-US" b="1"/>
            <a:t>$300B annually</a:t>
          </a:r>
          <a:r>
            <a:rPr lang="en-US"/>
            <a:t>.</a:t>
          </a:r>
        </a:p>
        <a:p>
          <a:pPr algn="l"/>
          <a:endParaRPr lang="en-US" sz="1100" b="1" u="sng" kern="1200">
            <a:solidFill>
              <a:schemeClr val="bg1"/>
            </a:solidFill>
          </a:endParaRPr>
        </a:p>
        <a:p>
          <a:pPr algn="l"/>
          <a:r>
            <a:rPr lang="en-US" sz="1100" b="1" u="none" kern="1200">
              <a:solidFill>
                <a:schemeClr val="bg1"/>
              </a:solidFill>
            </a:rPr>
            <a:t>4)</a:t>
          </a:r>
          <a:r>
            <a:rPr lang="en-US" sz="1100" b="1" u="none" kern="1200" baseline="0">
              <a:solidFill>
                <a:schemeClr val="bg1"/>
              </a:solidFill>
            </a:rPr>
            <a:t> </a:t>
          </a:r>
          <a:r>
            <a:rPr lang="en-US" b="1"/>
            <a:t>Generative AI Growth</a:t>
          </a:r>
          <a:r>
            <a:rPr lang="en-US"/>
            <a:t>: With the generative AI market expected to grow at a </a:t>
          </a:r>
          <a:r>
            <a:rPr lang="en-US" b="1"/>
            <a:t>34.6% CAGR</a:t>
          </a:r>
          <a:r>
            <a:rPr lang="en-US"/>
            <a:t>, OpenAI can capitalize on increased demand for AI-driven content creation.</a:t>
          </a:r>
          <a:endParaRPr lang="en-US" sz="1100" b="1" u="sng" kern="1200">
            <a:solidFill>
              <a:schemeClr val="bg1"/>
            </a:solidFill>
          </a:endParaRPr>
        </a:p>
      </xdr:txBody>
    </xdr:sp>
    <xdr:clientData/>
  </xdr:twoCellAnchor>
  <xdr:twoCellAnchor>
    <xdr:from>
      <xdr:col>9</xdr:col>
      <xdr:colOff>190500</xdr:colOff>
      <xdr:row>24</xdr:row>
      <xdr:rowOff>0</xdr:rowOff>
    </xdr:from>
    <xdr:to>
      <xdr:col>16</xdr:col>
      <xdr:colOff>495300</xdr:colOff>
      <xdr:row>42</xdr:row>
      <xdr:rowOff>144780</xdr:rowOff>
    </xdr:to>
    <xdr:sp macro="" textlink="">
      <xdr:nvSpPr>
        <xdr:cNvPr id="5" name="Rectangle: Rounded Corners 4">
          <a:extLst>
            <a:ext uri="{FF2B5EF4-FFF2-40B4-BE49-F238E27FC236}">
              <a16:creationId xmlns:a16="http://schemas.microsoft.com/office/drawing/2014/main" id="{67C4A2D0-0D6B-481E-9098-B4800A615182}"/>
            </a:ext>
          </a:extLst>
        </xdr:cNvPr>
        <xdr:cNvSpPr/>
      </xdr:nvSpPr>
      <xdr:spPr>
        <a:xfrm>
          <a:off x="5676900" y="4389120"/>
          <a:ext cx="4572000" cy="3436620"/>
        </a:xfrm>
        <a:prstGeom prst="roundRect">
          <a:avLst/>
        </a:prstGeom>
        <a:solidFill>
          <a:schemeClr val="tx1">
            <a:lumMod val="85000"/>
            <a:lumOff val="15000"/>
          </a:schemeClr>
        </a:solidFill>
        <a:ln>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u="sng" kern="1200">
              <a:solidFill>
                <a:schemeClr val="bg1"/>
              </a:solidFill>
            </a:rPr>
            <a:t>Threats</a:t>
          </a:r>
        </a:p>
        <a:p>
          <a:pPr algn="l"/>
          <a:r>
            <a:rPr lang="en-US" b="1"/>
            <a:t>1) Intense Competition</a:t>
          </a:r>
          <a:r>
            <a:rPr lang="en-US"/>
            <a:t>: Rivals like </a:t>
          </a:r>
          <a:r>
            <a:rPr lang="en-US" b="1"/>
            <a:t>Google (Bard)</a:t>
          </a:r>
          <a:r>
            <a:rPr lang="en-US"/>
            <a:t>, </a:t>
          </a:r>
          <a:r>
            <a:rPr lang="en-US" b="1"/>
            <a:t>Anthropic (Claude)</a:t>
          </a:r>
          <a:r>
            <a:rPr lang="en-US"/>
            <a:t>, and </a:t>
          </a:r>
          <a:r>
            <a:rPr lang="en-US" b="1"/>
            <a:t>Meta (Llama models)</a:t>
          </a:r>
          <a:r>
            <a:rPr lang="en-US"/>
            <a:t> are aggressively innovating and investing.</a:t>
          </a:r>
        </a:p>
        <a:p>
          <a:pPr algn="l"/>
          <a:endParaRPr lang="en-US" b="1"/>
        </a:p>
        <a:p>
          <a:pPr algn="l"/>
          <a:r>
            <a:rPr lang="en-US" b="1"/>
            <a:t>2) Economic Pressures</a:t>
          </a:r>
          <a:r>
            <a:rPr lang="en-US"/>
            <a:t>: A potential decline in venture funding could tighten resources for R&amp;D and scaling.</a:t>
          </a:r>
        </a:p>
        <a:p>
          <a:pPr algn="l"/>
          <a:endParaRPr lang="en-US" b="1"/>
        </a:p>
        <a:p>
          <a:pPr algn="l"/>
          <a:r>
            <a:rPr lang="en-US" b="1"/>
            <a:t>3) Data Privacy Concerns</a:t>
          </a:r>
          <a:r>
            <a:rPr lang="en-US"/>
            <a:t>: Rising regulatory actions globally, such as </a:t>
          </a:r>
          <a:r>
            <a:rPr lang="en-US" b="1"/>
            <a:t>GDPR</a:t>
          </a:r>
          <a:r>
            <a:rPr lang="en-US"/>
            <a:t> in the EU,fine of 15M Euros by Italy could increase compliance costs and limit data accessibility.</a:t>
          </a:r>
        </a:p>
        <a:p>
          <a:pPr algn="l"/>
          <a:endParaRPr lang="en-US" b="1"/>
        </a:p>
        <a:p>
          <a:pPr algn="l"/>
          <a:r>
            <a:rPr lang="en-US" b="1"/>
            <a:t>4) Dependency on Microsoft</a:t>
          </a:r>
          <a:r>
            <a:rPr lang="en-US"/>
            <a:t>: Over-reliance on Microsoft may limit operational flexibility and diversification efforts.</a:t>
          </a:r>
        </a:p>
        <a:p>
          <a:pPr algn="l"/>
          <a:endParaRPr lang="en-US" sz="1100" b="1" u="sng" kern="1200">
            <a:solidFill>
              <a:schemeClr val="bg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100" b="1" u="none" kern="1200">
              <a:solidFill>
                <a:schemeClr val="bg1"/>
              </a:solidFill>
            </a:rPr>
            <a:t>5) </a:t>
          </a:r>
          <a:r>
            <a:rPr lang="en-US" b="1"/>
            <a:t>Economic Slowdowns:</a:t>
          </a:r>
          <a:r>
            <a:rPr lang="en-US"/>
            <a:t> Cuts in corporate IT budgets could reduce demand for AI services by </a:t>
          </a:r>
          <a:r>
            <a:rPr lang="en-US" b="1"/>
            <a:t>10-15%</a:t>
          </a:r>
          <a:r>
            <a:rPr lang="en-US"/>
            <a:t> in challenging years.</a:t>
          </a:r>
        </a:p>
        <a:p>
          <a:pPr algn="l"/>
          <a:endParaRPr lang="en-US" sz="1100" b="1" u="sng" kern="1200">
            <a:solidFill>
              <a:schemeClr val="bg1"/>
            </a:solidFil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Dell\Desktop\Upwork%20and%20Assirience%20work\Financial%20Modelling%20Whole\DCF_Discounted%20Cash%20Flow%20Model%20for%20Valu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ime formulas"/>
      <sheetName val="Integrated FS"/>
      <sheetName val="WACC, Ke, Kd calc"/>
      <sheetName val="Goal Seek, data table, scen ana"/>
      <sheetName val="Scenario manager"/>
      <sheetName val="Scenario Summary "/>
      <sheetName val="Free Cashflows to Firm"/>
      <sheetName val="WACC"/>
      <sheetName val="PV of CF"/>
      <sheetName val="FV Perpetuity"/>
      <sheetName val="FV EBITDA"/>
      <sheetName val="NPV Formula"/>
      <sheetName val="DCF"/>
    </sheetNames>
    <sheetDataSet>
      <sheetData sheetId="0" refreshError="1"/>
      <sheetData sheetId="1"/>
      <sheetData sheetId="2">
        <row r="3">
          <cell r="C3">
            <v>0.04</v>
          </cell>
        </row>
        <row r="4">
          <cell r="C4">
            <v>0.1</v>
          </cell>
        </row>
        <row r="5">
          <cell r="C5">
            <v>1.25</v>
          </cell>
        </row>
        <row r="8">
          <cell r="C8">
            <v>0.14000000000000001</v>
          </cell>
        </row>
        <row r="9">
          <cell r="C9">
            <v>0.3</v>
          </cell>
        </row>
        <row r="12">
          <cell r="C12">
            <v>125000</v>
          </cell>
        </row>
        <row r="13">
          <cell r="C13">
            <v>125000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home.treasury.gov/policy-issues/financing-the-government/interest-rate-statistics?data=yield" TargetMode="External"/><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8B3F0-E5CB-48DF-A994-F051FDED54FD}">
  <sheetPr>
    <tabColor theme="0" tint="-0.249977111117893"/>
  </sheetPr>
  <dimension ref="B2:N43"/>
  <sheetViews>
    <sheetView showGridLines="0" topLeftCell="A15" workbookViewId="0">
      <selection activeCell="B41" sqref="B41:K41"/>
    </sheetView>
  </sheetViews>
  <sheetFormatPr defaultRowHeight="14.4" x14ac:dyDescent="0.3"/>
  <cols>
    <col min="7" max="7" width="22.5546875" customWidth="1"/>
  </cols>
  <sheetData>
    <row r="2" spans="2:14" x14ac:dyDescent="0.3">
      <c r="B2" s="164" t="str">
        <f>"Assumptions for Valuation Modelling-"&amp;'Raw Data for Relative Valuation'!B5</f>
        <v>Assumptions for Valuation Modelling-Open AI</v>
      </c>
      <c r="C2" s="164"/>
      <c r="D2" s="164"/>
      <c r="E2" s="164"/>
      <c r="F2" s="164"/>
      <c r="G2" s="164"/>
    </row>
    <row r="4" spans="2:14" x14ac:dyDescent="0.3">
      <c r="B4" s="130" t="s">
        <v>113</v>
      </c>
      <c r="C4" s="130"/>
      <c r="D4" s="130"/>
      <c r="E4" s="130"/>
      <c r="F4" s="130"/>
      <c r="G4" s="130"/>
      <c r="H4" s="130"/>
      <c r="I4" s="130"/>
      <c r="J4" s="68"/>
      <c r="K4" s="68"/>
      <c r="L4" s="68"/>
      <c r="M4" s="68"/>
      <c r="N4" s="68"/>
    </row>
    <row r="5" spans="2:14" x14ac:dyDescent="0.3">
      <c r="B5" s="130"/>
      <c r="C5" s="130"/>
      <c r="D5" s="130"/>
      <c r="E5" s="130"/>
      <c r="F5" s="130"/>
      <c r="G5" s="130"/>
      <c r="H5" s="130"/>
      <c r="I5" s="130"/>
      <c r="J5" s="68"/>
      <c r="K5" s="68"/>
      <c r="L5" s="68"/>
      <c r="M5" s="68"/>
      <c r="N5" s="68"/>
    </row>
    <row r="6" spans="2:14" x14ac:dyDescent="0.3">
      <c r="B6" s="130" t="s">
        <v>185</v>
      </c>
      <c r="C6" s="130"/>
      <c r="D6" s="130"/>
      <c r="E6" s="130"/>
      <c r="F6" s="130"/>
      <c r="G6" s="130"/>
      <c r="H6" s="130"/>
      <c r="I6" s="130"/>
      <c r="J6" s="68"/>
      <c r="K6" s="68"/>
      <c r="L6" s="68"/>
      <c r="M6" s="68"/>
      <c r="N6" s="68"/>
    </row>
    <row r="7" spans="2:14" x14ac:dyDescent="0.3">
      <c r="B7" s="130"/>
      <c r="C7" s="130"/>
      <c r="D7" s="130"/>
      <c r="E7" s="130"/>
      <c r="F7" s="130"/>
      <c r="G7" s="130"/>
      <c r="H7" s="130"/>
      <c r="I7" s="130"/>
      <c r="J7" s="68"/>
      <c r="K7" s="68"/>
      <c r="L7" s="68"/>
      <c r="M7" s="68"/>
      <c r="N7" s="68"/>
    </row>
    <row r="8" spans="2:14" x14ac:dyDescent="0.3">
      <c r="B8" s="130" t="s">
        <v>186</v>
      </c>
      <c r="C8" s="130"/>
      <c r="D8" s="130"/>
      <c r="E8" s="130"/>
      <c r="F8" s="130"/>
      <c r="G8" s="130"/>
      <c r="H8" s="130"/>
      <c r="I8" s="130"/>
      <c r="J8" s="68"/>
      <c r="K8" s="68"/>
      <c r="L8" s="68"/>
      <c r="M8" s="68"/>
      <c r="N8" s="68"/>
    </row>
    <row r="9" spans="2:14" x14ac:dyDescent="0.3">
      <c r="B9" s="130"/>
      <c r="C9" s="130"/>
      <c r="D9" s="130"/>
      <c r="E9" s="130"/>
      <c r="F9" s="130"/>
      <c r="G9" s="130"/>
      <c r="H9" s="130"/>
      <c r="I9" s="130"/>
      <c r="J9" s="68"/>
      <c r="K9" s="68"/>
      <c r="L9" s="68"/>
      <c r="M9" s="68"/>
      <c r="N9" s="68"/>
    </row>
    <row r="10" spans="2:14" x14ac:dyDescent="0.3">
      <c r="B10" s="130" t="s">
        <v>187</v>
      </c>
      <c r="C10" s="130"/>
      <c r="D10" s="130"/>
      <c r="E10" s="130"/>
      <c r="F10" s="130"/>
      <c r="G10" s="130"/>
      <c r="H10" s="130"/>
      <c r="I10" s="130"/>
      <c r="J10" s="68"/>
      <c r="K10" s="68"/>
      <c r="L10" s="68"/>
      <c r="M10" s="68"/>
      <c r="N10" s="68"/>
    </row>
    <row r="11" spans="2:14" x14ac:dyDescent="0.3">
      <c r="B11" s="130"/>
      <c r="C11" s="130"/>
      <c r="D11" s="130"/>
      <c r="E11" s="130"/>
      <c r="F11" s="130"/>
      <c r="G11" s="130"/>
      <c r="H11" s="130"/>
      <c r="I11" s="130"/>
      <c r="J11" s="68"/>
      <c r="K11" s="68"/>
      <c r="L11" s="68"/>
      <c r="M11" s="68"/>
      <c r="N11" s="68"/>
    </row>
    <row r="12" spans="2:14" x14ac:dyDescent="0.3">
      <c r="B12" s="130" t="s">
        <v>188</v>
      </c>
      <c r="C12" s="130"/>
      <c r="D12" s="130"/>
      <c r="E12" s="130"/>
      <c r="F12" s="130"/>
      <c r="G12" s="130"/>
      <c r="H12" s="130"/>
      <c r="I12" s="130"/>
      <c r="J12" s="68"/>
      <c r="K12" s="68"/>
      <c r="L12" s="68"/>
      <c r="M12" s="68"/>
      <c r="N12" s="68"/>
    </row>
    <row r="13" spans="2:14" x14ac:dyDescent="0.3">
      <c r="B13" s="130"/>
      <c r="C13" s="130"/>
      <c r="D13" s="130"/>
      <c r="E13" s="130"/>
      <c r="F13" s="130"/>
      <c r="G13" s="130"/>
      <c r="H13" s="130"/>
      <c r="I13" s="130"/>
      <c r="J13" s="68"/>
      <c r="K13" s="68"/>
      <c r="L13" s="68"/>
      <c r="M13" s="68"/>
      <c r="N13" s="68"/>
    </row>
    <row r="14" spans="2:14" x14ac:dyDescent="0.3">
      <c r="B14" s="130" t="s">
        <v>189</v>
      </c>
      <c r="C14" s="130"/>
      <c r="D14" s="130"/>
      <c r="E14" s="130"/>
      <c r="F14" s="130"/>
      <c r="G14" s="130"/>
      <c r="H14" s="130"/>
      <c r="I14" s="130"/>
      <c r="J14" s="68"/>
      <c r="K14" s="68"/>
      <c r="L14" s="68"/>
      <c r="M14" s="68"/>
      <c r="N14" s="68"/>
    </row>
    <row r="15" spans="2:14" x14ac:dyDescent="0.3">
      <c r="B15" s="130"/>
      <c r="C15" s="130"/>
      <c r="D15" s="130"/>
      <c r="E15" s="130"/>
      <c r="F15" s="130"/>
      <c r="G15" s="130"/>
      <c r="H15" s="130"/>
      <c r="I15" s="130"/>
      <c r="J15" s="68"/>
      <c r="K15" s="68"/>
      <c r="L15" s="68"/>
      <c r="M15" s="68"/>
      <c r="N15" s="68"/>
    </row>
    <row r="16" spans="2:14" x14ac:dyDescent="0.3">
      <c r="B16" s="130" t="s">
        <v>190</v>
      </c>
      <c r="C16" s="130"/>
      <c r="D16" s="130"/>
      <c r="E16" s="130"/>
      <c r="F16" s="130"/>
      <c r="G16" s="130"/>
      <c r="H16" s="130"/>
      <c r="I16" s="130"/>
      <c r="J16" s="68"/>
      <c r="K16" s="68"/>
      <c r="L16" s="68"/>
      <c r="M16" s="68"/>
      <c r="N16" s="68"/>
    </row>
    <row r="17" spans="2:14" x14ac:dyDescent="0.3">
      <c r="B17" s="130"/>
      <c r="C17" s="130"/>
      <c r="D17" s="130"/>
      <c r="E17" s="130"/>
      <c r="F17" s="130"/>
      <c r="G17" s="130"/>
      <c r="H17" s="130"/>
      <c r="I17" s="130"/>
      <c r="J17" s="68"/>
      <c r="K17" s="68"/>
      <c r="L17" s="68"/>
      <c r="M17" s="68"/>
      <c r="N17" s="68"/>
    </row>
    <row r="18" spans="2:14" x14ac:dyDescent="0.3">
      <c r="B18" s="130" t="s">
        <v>196</v>
      </c>
      <c r="C18" s="130"/>
      <c r="D18" s="130"/>
      <c r="E18" s="130"/>
      <c r="F18" s="130"/>
      <c r="G18" s="130"/>
      <c r="H18" s="130"/>
      <c r="I18" s="130"/>
      <c r="J18" s="68"/>
      <c r="K18" s="68"/>
      <c r="L18" s="68"/>
      <c r="M18" s="68"/>
      <c r="N18" s="68"/>
    </row>
    <row r="19" spans="2:14" x14ac:dyDescent="0.3">
      <c r="B19" s="130"/>
      <c r="C19" s="130"/>
      <c r="D19" s="130"/>
      <c r="E19" s="130"/>
      <c r="F19" s="130"/>
      <c r="G19" s="130"/>
      <c r="H19" s="130"/>
      <c r="I19" s="130"/>
      <c r="J19" s="68"/>
      <c r="K19" s="68"/>
      <c r="L19" s="68"/>
      <c r="M19" s="68"/>
      <c r="N19" s="68"/>
    </row>
    <row r="20" spans="2:14" x14ac:dyDescent="0.3">
      <c r="B20" s="130" t="s">
        <v>195</v>
      </c>
      <c r="C20" s="130"/>
      <c r="D20" s="130"/>
      <c r="E20" s="130"/>
      <c r="F20" s="130"/>
      <c r="G20" s="130"/>
      <c r="H20" s="130"/>
      <c r="I20" s="130"/>
      <c r="J20" s="68"/>
      <c r="K20" s="68"/>
      <c r="L20" s="68"/>
      <c r="M20" s="68"/>
      <c r="N20" s="68"/>
    </row>
    <row r="21" spans="2:14" x14ac:dyDescent="0.3">
      <c r="B21" s="130"/>
      <c r="C21" s="130"/>
      <c r="D21" s="130"/>
      <c r="E21" s="130"/>
      <c r="F21" s="130"/>
      <c r="G21" s="130"/>
      <c r="H21" s="130"/>
      <c r="I21" s="130"/>
      <c r="J21" s="68"/>
      <c r="K21" s="68"/>
      <c r="L21" s="68"/>
      <c r="M21" s="68"/>
      <c r="N21" s="68"/>
    </row>
    <row r="22" spans="2:14" x14ac:dyDescent="0.3">
      <c r="B22" s="130" t="s">
        <v>194</v>
      </c>
      <c r="C22" s="130"/>
      <c r="D22" s="130"/>
      <c r="E22" s="130"/>
      <c r="F22" s="130"/>
      <c r="G22" s="130"/>
      <c r="H22" s="130"/>
      <c r="I22" s="130"/>
      <c r="J22" s="68"/>
      <c r="K22" s="68"/>
      <c r="L22" s="68"/>
      <c r="M22" s="68"/>
      <c r="N22" s="68"/>
    </row>
    <row r="23" spans="2:14" x14ac:dyDescent="0.3">
      <c r="B23" s="130"/>
      <c r="C23" s="130"/>
      <c r="D23" s="130"/>
      <c r="E23" s="130"/>
      <c r="F23" s="130"/>
      <c r="G23" s="130"/>
      <c r="H23" s="130"/>
      <c r="I23" s="130"/>
      <c r="J23" s="68"/>
      <c r="K23" s="68"/>
      <c r="L23" s="68"/>
      <c r="M23" s="68"/>
      <c r="N23" s="68"/>
    </row>
    <row r="24" spans="2:14" x14ac:dyDescent="0.3">
      <c r="B24" s="130" t="s">
        <v>193</v>
      </c>
      <c r="C24" s="130"/>
      <c r="D24" s="130"/>
      <c r="E24" s="130"/>
      <c r="F24" s="130"/>
      <c r="G24" s="130"/>
      <c r="H24" s="130"/>
      <c r="I24" s="130"/>
      <c r="J24" s="68"/>
      <c r="K24" s="68"/>
      <c r="L24" s="68"/>
      <c r="M24" s="68"/>
      <c r="N24" s="68"/>
    </row>
    <row r="25" spans="2:14" x14ac:dyDescent="0.3">
      <c r="B25" s="131"/>
      <c r="C25" s="131"/>
      <c r="D25" s="131"/>
      <c r="E25" s="131"/>
      <c r="F25" s="131"/>
      <c r="G25" s="131"/>
      <c r="H25" s="131"/>
      <c r="I25" s="131"/>
      <c r="J25" s="68"/>
      <c r="K25" s="68"/>
      <c r="L25" s="68"/>
      <c r="M25" s="68"/>
      <c r="N25" s="68"/>
    </row>
    <row r="26" spans="2:14" x14ac:dyDescent="0.3">
      <c r="B26" s="130" t="s">
        <v>197</v>
      </c>
      <c r="C26" s="131"/>
      <c r="D26" s="131"/>
      <c r="E26" s="131"/>
      <c r="F26" s="131"/>
      <c r="G26" s="131"/>
      <c r="H26" s="131"/>
      <c r="I26" s="131"/>
      <c r="J26" s="68"/>
      <c r="K26" s="68"/>
      <c r="L26" s="68"/>
      <c r="M26" s="68"/>
      <c r="N26" s="68"/>
    </row>
    <row r="27" spans="2:14" x14ac:dyDescent="0.3">
      <c r="B27" s="131"/>
      <c r="C27" s="131"/>
      <c r="D27" s="131"/>
      <c r="E27" s="131"/>
      <c r="F27" s="131"/>
      <c r="G27" s="131"/>
      <c r="H27" s="131"/>
      <c r="I27" s="131"/>
      <c r="J27" s="68"/>
      <c r="K27" s="68"/>
      <c r="L27" s="68"/>
      <c r="M27" s="68"/>
      <c r="N27" s="68"/>
    </row>
    <row r="28" spans="2:14" x14ac:dyDescent="0.3">
      <c r="B28" s="130" t="s">
        <v>198</v>
      </c>
      <c r="C28" s="130"/>
      <c r="D28" s="130"/>
      <c r="E28" s="130"/>
      <c r="F28" s="130"/>
      <c r="G28" s="130"/>
      <c r="H28" s="130"/>
      <c r="I28" s="130"/>
      <c r="J28" s="68"/>
      <c r="K28" s="68"/>
      <c r="L28" s="68"/>
      <c r="M28" s="68"/>
      <c r="N28" s="68"/>
    </row>
    <row r="29" spans="2:14" x14ac:dyDescent="0.3">
      <c r="B29" s="130"/>
      <c r="C29" s="130"/>
      <c r="D29" s="130"/>
      <c r="E29" s="130"/>
      <c r="F29" s="130"/>
      <c r="G29" s="130"/>
      <c r="H29" s="130"/>
      <c r="I29" s="130"/>
      <c r="J29" s="68"/>
      <c r="K29" s="68"/>
      <c r="L29" s="68"/>
      <c r="M29" s="68"/>
      <c r="N29" s="68"/>
    </row>
    <row r="30" spans="2:14" x14ac:dyDescent="0.3">
      <c r="B30" s="130" t="s">
        <v>199</v>
      </c>
      <c r="C30" s="130"/>
      <c r="D30" s="130"/>
      <c r="E30" s="130"/>
      <c r="F30" s="130"/>
      <c r="G30" s="130"/>
      <c r="H30" s="130"/>
      <c r="I30" s="130"/>
      <c r="J30" s="68"/>
      <c r="K30" s="68"/>
      <c r="L30" s="68"/>
      <c r="M30" s="68"/>
      <c r="N30" s="68"/>
    </row>
    <row r="31" spans="2:14" x14ac:dyDescent="0.3">
      <c r="B31" s="130"/>
      <c r="C31" s="130"/>
      <c r="D31" s="130"/>
      <c r="E31" s="130"/>
      <c r="F31" s="130"/>
      <c r="G31" s="130"/>
      <c r="H31" s="130"/>
      <c r="I31" s="130"/>
      <c r="J31" s="68"/>
      <c r="K31" s="68"/>
      <c r="L31" s="68"/>
      <c r="M31" s="68"/>
      <c r="N31" s="68"/>
    </row>
    <row r="32" spans="2:14" x14ac:dyDescent="0.3">
      <c r="B32" s="130" t="s">
        <v>200</v>
      </c>
      <c r="C32" s="130"/>
      <c r="D32" s="130"/>
      <c r="E32" s="130"/>
      <c r="F32" s="130"/>
      <c r="G32" s="130"/>
      <c r="H32" s="130"/>
      <c r="I32" s="130"/>
      <c r="J32" s="68"/>
      <c r="K32" s="68"/>
      <c r="L32" s="68"/>
      <c r="M32" s="68"/>
      <c r="N32" s="68"/>
    </row>
    <row r="33" spans="2:14" x14ac:dyDescent="0.3">
      <c r="B33" s="130"/>
      <c r="C33" s="130"/>
      <c r="D33" s="130"/>
      <c r="E33" s="130"/>
      <c r="F33" s="130"/>
      <c r="G33" s="130"/>
      <c r="H33" s="130"/>
      <c r="I33" s="130"/>
      <c r="J33" s="68"/>
      <c r="K33" s="68"/>
      <c r="L33" s="68"/>
      <c r="M33" s="68"/>
      <c r="N33" s="68"/>
    </row>
    <row r="34" spans="2:14" x14ac:dyDescent="0.3">
      <c r="B34" s="130" t="s">
        <v>201</v>
      </c>
      <c r="C34" s="130"/>
      <c r="D34" s="130"/>
      <c r="E34" s="130"/>
      <c r="F34" s="130"/>
      <c r="G34" s="130"/>
      <c r="H34" s="130"/>
      <c r="I34" s="130"/>
      <c r="J34" s="68"/>
      <c r="K34" s="68"/>
      <c r="L34" s="68"/>
      <c r="M34" s="68"/>
      <c r="N34" s="68"/>
    </row>
    <row r="35" spans="2:14" x14ac:dyDescent="0.3">
      <c r="B35" s="130"/>
      <c r="C35" s="130"/>
      <c r="D35" s="130"/>
      <c r="E35" s="130"/>
      <c r="F35" s="130"/>
      <c r="G35" s="130"/>
      <c r="H35" s="130"/>
      <c r="I35" s="130"/>
      <c r="J35" s="68"/>
      <c r="K35" s="68"/>
      <c r="L35" s="68"/>
      <c r="M35" s="68"/>
      <c r="N35" s="68"/>
    </row>
    <row r="36" spans="2:14" x14ac:dyDescent="0.3">
      <c r="B36" s="163" t="s">
        <v>202</v>
      </c>
      <c r="C36" s="163"/>
      <c r="D36" s="163"/>
      <c r="E36" s="163"/>
      <c r="F36" s="163"/>
      <c r="G36" s="163"/>
      <c r="H36" s="163"/>
      <c r="I36" s="163"/>
      <c r="J36" s="163"/>
      <c r="K36" s="163"/>
      <c r="L36" s="68"/>
      <c r="M36" s="68"/>
      <c r="N36" s="68"/>
    </row>
    <row r="37" spans="2:14" x14ac:dyDescent="0.3">
      <c r="B37" s="163"/>
      <c r="C37" s="163"/>
      <c r="D37" s="163"/>
      <c r="E37" s="163"/>
      <c r="F37" s="163"/>
      <c r="G37" s="163"/>
      <c r="H37" s="163"/>
      <c r="I37" s="163"/>
      <c r="J37" s="163"/>
      <c r="K37" s="163"/>
      <c r="L37" s="68"/>
      <c r="M37" s="68"/>
      <c r="N37" s="68"/>
    </row>
    <row r="38" spans="2:14" x14ac:dyDescent="0.3">
      <c r="B38" s="130"/>
      <c r="C38" s="130"/>
      <c r="D38" s="130"/>
      <c r="E38" s="130"/>
      <c r="F38" s="130"/>
      <c r="G38" s="130"/>
      <c r="H38" s="130"/>
      <c r="I38" s="130"/>
      <c r="J38" s="68"/>
      <c r="K38" s="68"/>
      <c r="L38" s="68"/>
      <c r="M38" s="68"/>
      <c r="N38" s="68"/>
    </row>
    <row r="39" spans="2:14" x14ac:dyDescent="0.3">
      <c r="B39" s="130" t="s">
        <v>203</v>
      </c>
      <c r="C39" s="130"/>
      <c r="D39" s="130"/>
      <c r="E39" s="130"/>
      <c r="F39" s="130"/>
      <c r="G39" s="130"/>
      <c r="H39" s="130"/>
      <c r="I39" s="130"/>
      <c r="J39" s="68"/>
      <c r="K39" s="68"/>
      <c r="L39" s="68"/>
      <c r="M39" s="68"/>
      <c r="N39" s="68"/>
    </row>
    <row r="40" spans="2:14" x14ac:dyDescent="0.3">
      <c r="B40" s="130"/>
      <c r="C40" s="130"/>
      <c r="D40" s="130"/>
      <c r="E40" s="130"/>
      <c r="F40" s="130"/>
      <c r="G40" s="130"/>
      <c r="H40" s="130"/>
      <c r="I40" s="130"/>
      <c r="J40" s="68"/>
      <c r="K40" s="68"/>
      <c r="L40" s="68"/>
      <c r="M40" s="68"/>
      <c r="N40" s="68"/>
    </row>
    <row r="41" spans="2:14" ht="14.4" customHeight="1" x14ac:dyDescent="0.3">
      <c r="B41" s="163" t="s">
        <v>204</v>
      </c>
      <c r="C41" s="163"/>
      <c r="D41" s="163"/>
      <c r="E41" s="163"/>
      <c r="F41" s="163"/>
      <c r="G41" s="163"/>
      <c r="H41" s="163"/>
      <c r="I41" s="163"/>
      <c r="J41" s="163"/>
      <c r="K41" s="163"/>
      <c r="L41" s="131"/>
      <c r="M41" s="131"/>
      <c r="N41" s="131"/>
    </row>
    <row r="42" spans="2:14" ht="14.4" customHeight="1" x14ac:dyDescent="0.3">
      <c r="B42" s="131"/>
      <c r="C42" s="131"/>
      <c r="D42" s="131"/>
      <c r="E42" s="131"/>
      <c r="F42" s="131"/>
      <c r="G42" s="131"/>
      <c r="H42" s="131"/>
      <c r="I42" s="131"/>
      <c r="J42" s="131"/>
      <c r="K42" s="131"/>
      <c r="L42" s="131"/>
      <c r="M42" s="131"/>
      <c r="N42" s="131"/>
    </row>
    <row r="43" spans="2:14" ht="16.8" customHeight="1" x14ac:dyDescent="0.3">
      <c r="B43" s="163" t="s">
        <v>206</v>
      </c>
      <c r="C43" s="163"/>
      <c r="D43" s="163"/>
      <c r="E43" s="163"/>
      <c r="F43" s="163"/>
      <c r="G43" s="163"/>
      <c r="H43" s="163"/>
      <c r="I43" s="163"/>
      <c r="J43" s="163"/>
      <c r="K43" s="163"/>
      <c r="L43" s="163"/>
      <c r="M43" s="131"/>
      <c r="N43" s="131"/>
    </row>
  </sheetData>
  <mergeCells count="4">
    <mergeCell ref="B43:L43"/>
    <mergeCell ref="B2:G2"/>
    <mergeCell ref="B36:K37"/>
    <mergeCell ref="B41:K4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5CC6A-F364-445C-8C6B-425D9520A842}">
  <sheetPr>
    <tabColor theme="4" tint="0.59999389629810485"/>
  </sheetPr>
  <dimension ref="B2:R21"/>
  <sheetViews>
    <sheetView showGridLines="0" workbookViewId="0">
      <selection activeCell="B2" sqref="B2:F2"/>
    </sheetView>
  </sheetViews>
  <sheetFormatPr defaultRowHeight="14.4" x14ac:dyDescent="0.3"/>
  <cols>
    <col min="3" max="3" width="33" customWidth="1"/>
  </cols>
  <sheetData>
    <row r="2" spans="2:18" ht="15" thickBot="1" x14ac:dyDescent="0.35">
      <c r="B2" s="164" t="str">
        <f>"Selection of the Peer Companies"&amp;" - "&amp;'Raw Data for Relative Valuation'!B5</f>
        <v>Selection of the Peer Companies - Open AI</v>
      </c>
      <c r="C2" s="164"/>
      <c r="D2" s="164"/>
      <c r="E2" s="164"/>
      <c r="F2" s="164"/>
    </row>
    <row r="3" spans="2:18" ht="14.4" customHeight="1" x14ac:dyDescent="0.3">
      <c r="B3" s="165" t="s">
        <v>120</v>
      </c>
      <c r="C3" s="166"/>
      <c r="D3" s="166"/>
      <c r="E3" s="166"/>
      <c r="F3" s="166"/>
      <c r="G3" s="166"/>
      <c r="H3" s="167"/>
      <c r="I3" s="135"/>
      <c r="J3" s="135"/>
      <c r="K3" s="135"/>
      <c r="L3" s="135"/>
      <c r="M3" s="135"/>
      <c r="N3" s="135"/>
      <c r="O3" s="135"/>
      <c r="P3" s="135"/>
      <c r="Q3" s="135"/>
      <c r="R3" s="135"/>
    </row>
    <row r="4" spans="2:18" x14ac:dyDescent="0.3">
      <c r="B4" s="168"/>
      <c r="C4" s="169"/>
      <c r="D4" s="169"/>
      <c r="E4" s="169"/>
      <c r="F4" s="169"/>
      <c r="G4" s="169"/>
      <c r="H4" s="170"/>
      <c r="I4" s="135"/>
      <c r="J4" s="135"/>
      <c r="K4" s="135"/>
      <c r="L4" s="135"/>
      <c r="M4" s="135"/>
      <c r="N4" s="135"/>
      <c r="O4" s="135"/>
      <c r="P4" s="135"/>
      <c r="Q4" s="135"/>
      <c r="R4" s="135"/>
    </row>
    <row r="5" spans="2:18" x14ac:dyDescent="0.3">
      <c r="B5" s="168"/>
      <c r="C5" s="169"/>
      <c r="D5" s="169"/>
      <c r="E5" s="169"/>
      <c r="F5" s="169"/>
      <c r="G5" s="169"/>
      <c r="H5" s="170"/>
      <c r="I5" s="135"/>
      <c r="J5" s="135"/>
      <c r="K5" s="135"/>
      <c r="L5" s="135"/>
      <c r="M5" s="135"/>
      <c r="N5" s="135"/>
      <c r="O5" s="135"/>
      <c r="P5" s="135"/>
      <c r="Q5" s="135"/>
      <c r="R5" s="135"/>
    </row>
    <row r="6" spans="2:18" x14ac:dyDescent="0.3">
      <c r="B6" s="168"/>
      <c r="C6" s="169"/>
      <c r="D6" s="169"/>
      <c r="E6" s="169"/>
      <c r="F6" s="169"/>
      <c r="G6" s="169"/>
      <c r="H6" s="170"/>
      <c r="I6" s="135"/>
      <c r="J6" s="135"/>
      <c r="K6" s="135"/>
      <c r="L6" s="135"/>
      <c r="M6" s="135"/>
      <c r="N6" s="135"/>
      <c r="O6" s="135"/>
      <c r="P6" s="135"/>
      <c r="Q6" s="135"/>
      <c r="R6" s="135"/>
    </row>
    <row r="7" spans="2:18" x14ac:dyDescent="0.3">
      <c r="B7" s="168"/>
      <c r="C7" s="169"/>
      <c r="D7" s="169"/>
      <c r="E7" s="169"/>
      <c r="F7" s="169"/>
      <c r="G7" s="169"/>
      <c r="H7" s="170"/>
      <c r="I7" s="135"/>
      <c r="J7" s="135"/>
      <c r="K7" s="135"/>
      <c r="L7" s="135"/>
      <c r="M7" s="135"/>
      <c r="N7" s="135"/>
      <c r="O7" s="135"/>
      <c r="P7" s="135"/>
      <c r="Q7" s="135"/>
      <c r="R7" s="135"/>
    </row>
    <row r="8" spans="2:18" x14ac:dyDescent="0.3">
      <c r="B8" s="168"/>
      <c r="C8" s="169"/>
      <c r="D8" s="169"/>
      <c r="E8" s="169"/>
      <c r="F8" s="169"/>
      <c r="G8" s="169"/>
      <c r="H8" s="170"/>
      <c r="I8" s="135"/>
      <c r="J8" s="135"/>
      <c r="K8" s="135"/>
      <c r="L8" s="135"/>
      <c r="M8" s="135"/>
      <c r="N8" s="135"/>
      <c r="O8" s="135"/>
      <c r="P8" s="135"/>
      <c r="Q8" s="135"/>
      <c r="R8" s="135"/>
    </row>
    <row r="9" spans="2:18" x14ac:dyDescent="0.3">
      <c r="B9" s="168"/>
      <c r="C9" s="169"/>
      <c r="D9" s="169"/>
      <c r="E9" s="169"/>
      <c r="F9" s="169"/>
      <c r="G9" s="169"/>
      <c r="H9" s="170"/>
      <c r="I9" s="135"/>
      <c r="J9" s="135"/>
      <c r="K9" s="135"/>
      <c r="L9" s="135"/>
      <c r="M9" s="135"/>
      <c r="N9" s="135"/>
      <c r="O9" s="135"/>
      <c r="P9" s="135"/>
      <c r="Q9" s="135"/>
      <c r="R9" s="135"/>
    </row>
    <row r="10" spans="2:18" x14ac:dyDescent="0.3">
      <c r="B10" s="168"/>
      <c r="C10" s="169"/>
      <c r="D10" s="169"/>
      <c r="E10" s="169"/>
      <c r="F10" s="169"/>
      <c r="G10" s="169"/>
      <c r="H10" s="170"/>
      <c r="I10" s="135"/>
      <c r="J10" s="135"/>
      <c r="K10" s="135"/>
      <c r="L10" s="135"/>
      <c r="M10" s="135"/>
      <c r="N10" s="135"/>
      <c r="O10" s="135"/>
      <c r="P10" s="135"/>
      <c r="Q10" s="135"/>
      <c r="R10" s="135"/>
    </row>
    <row r="11" spans="2:18" x14ac:dyDescent="0.3">
      <c r="B11" s="168"/>
      <c r="C11" s="169"/>
      <c r="D11" s="169"/>
      <c r="E11" s="169"/>
      <c r="F11" s="169"/>
      <c r="G11" s="169"/>
      <c r="H11" s="170"/>
      <c r="I11" s="135"/>
      <c r="J11" s="135"/>
      <c r="K11" s="135"/>
      <c r="L11" s="135"/>
      <c r="M11" s="135"/>
      <c r="N11" s="135"/>
      <c r="O11" s="135"/>
      <c r="P11" s="135"/>
      <c r="Q11" s="135"/>
      <c r="R11" s="135"/>
    </row>
    <row r="12" spans="2:18" x14ac:dyDescent="0.3">
      <c r="B12" s="168"/>
      <c r="C12" s="169"/>
      <c r="D12" s="169"/>
      <c r="E12" s="169"/>
      <c r="F12" s="169"/>
      <c r="G12" s="169"/>
      <c r="H12" s="170"/>
      <c r="I12" s="135"/>
      <c r="J12" s="135"/>
      <c r="K12" s="135"/>
      <c r="L12" s="135"/>
      <c r="M12" s="135"/>
      <c r="N12" s="135"/>
      <c r="O12" s="135"/>
      <c r="P12" s="135"/>
      <c r="Q12" s="135"/>
      <c r="R12" s="135"/>
    </row>
    <row r="13" spans="2:18" ht="15" thickBot="1" x14ac:dyDescent="0.35">
      <c r="B13" s="171"/>
      <c r="C13" s="172"/>
      <c r="D13" s="172"/>
      <c r="E13" s="172"/>
      <c r="F13" s="172"/>
      <c r="G13" s="172"/>
      <c r="H13" s="173"/>
      <c r="I13" s="135"/>
      <c r="J13" s="135"/>
      <c r="K13" s="135"/>
      <c r="L13" s="135"/>
      <c r="M13" s="135"/>
      <c r="N13" s="135"/>
      <c r="O13" s="135"/>
      <c r="P13" s="135"/>
      <c r="Q13" s="135"/>
      <c r="R13" s="135"/>
    </row>
    <row r="14" spans="2:18" x14ac:dyDescent="0.3">
      <c r="B14" s="135"/>
      <c r="C14" s="135"/>
      <c r="D14" s="135"/>
      <c r="E14" s="135"/>
      <c r="F14" s="135"/>
      <c r="G14" s="135"/>
      <c r="H14" s="135"/>
      <c r="I14" s="135"/>
      <c r="J14" s="135"/>
      <c r="K14" s="135"/>
      <c r="L14" s="135"/>
      <c r="M14" s="135"/>
      <c r="N14" s="135"/>
      <c r="O14" s="135"/>
      <c r="P14" s="135"/>
      <c r="Q14" s="135"/>
      <c r="R14" s="135"/>
    </row>
    <row r="15" spans="2:18" x14ac:dyDescent="0.3">
      <c r="B15" s="135"/>
      <c r="C15" s="135"/>
      <c r="D15" s="135"/>
      <c r="E15" s="135"/>
      <c r="F15" s="135"/>
      <c r="G15" s="135"/>
      <c r="H15" s="135"/>
      <c r="I15" s="135"/>
      <c r="J15" s="135"/>
      <c r="K15" s="135"/>
      <c r="L15" s="135"/>
      <c r="M15" s="135"/>
      <c r="N15" s="135"/>
      <c r="O15" s="135"/>
      <c r="P15" s="135"/>
      <c r="Q15" s="135"/>
      <c r="R15" s="135"/>
    </row>
    <row r="16" spans="2:18" x14ac:dyDescent="0.3">
      <c r="B16" s="135"/>
      <c r="C16" s="135"/>
      <c r="D16" s="135"/>
      <c r="E16" s="135"/>
      <c r="F16" s="135"/>
      <c r="G16" s="135"/>
      <c r="H16" s="135"/>
      <c r="I16" s="135"/>
      <c r="J16" s="135"/>
      <c r="K16" s="135"/>
      <c r="L16" s="135"/>
      <c r="M16" s="135"/>
      <c r="N16" s="135"/>
      <c r="O16" s="135"/>
      <c r="P16" s="135"/>
      <c r="Q16" s="135"/>
      <c r="R16" s="135"/>
    </row>
    <row r="17" spans="2:18" x14ac:dyDescent="0.3">
      <c r="B17" s="135"/>
      <c r="C17" s="135"/>
      <c r="D17" s="135"/>
      <c r="E17" s="135"/>
      <c r="F17" s="135"/>
      <c r="G17" s="135"/>
      <c r="H17" s="135"/>
      <c r="I17" s="135"/>
      <c r="J17" s="135"/>
      <c r="K17" s="135"/>
      <c r="L17" s="135"/>
      <c r="M17" s="135"/>
      <c r="N17" s="135"/>
      <c r="O17" s="135"/>
      <c r="P17" s="135"/>
      <c r="Q17" s="135"/>
      <c r="R17" s="135"/>
    </row>
    <row r="18" spans="2:18" x14ac:dyDescent="0.3">
      <c r="B18" s="135"/>
      <c r="C18" s="135"/>
      <c r="D18" s="135"/>
      <c r="E18" s="135"/>
      <c r="F18" s="135"/>
      <c r="G18" s="135"/>
      <c r="H18" s="135"/>
      <c r="I18" s="135"/>
      <c r="J18" s="135"/>
      <c r="K18" s="135"/>
      <c r="L18" s="135"/>
      <c r="M18" s="135"/>
      <c r="N18" s="135"/>
      <c r="O18" s="135"/>
      <c r="P18" s="135"/>
      <c r="Q18" s="135"/>
      <c r="R18" s="135"/>
    </row>
    <row r="19" spans="2:18" x14ac:dyDescent="0.3">
      <c r="B19" s="135"/>
      <c r="C19" s="135"/>
      <c r="D19" s="135"/>
      <c r="E19" s="135"/>
      <c r="F19" s="135"/>
      <c r="G19" s="135"/>
      <c r="H19" s="135"/>
      <c r="I19" s="135"/>
      <c r="J19" s="135"/>
      <c r="K19" s="135"/>
      <c r="L19" s="135"/>
      <c r="M19" s="135"/>
      <c r="N19" s="135"/>
      <c r="O19" s="135"/>
      <c r="P19" s="135"/>
      <c r="Q19" s="135"/>
      <c r="R19" s="135"/>
    </row>
    <row r="20" spans="2:18" x14ac:dyDescent="0.3">
      <c r="B20" s="135"/>
      <c r="C20" s="135"/>
      <c r="D20" s="135"/>
      <c r="E20" s="135"/>
      <c r="F20" s="135"/>
      <c r="G20" s="135"/>
      <c r="H20" s="135"/>
      <c r="I20" s="135"/>
      <c r="J20" s="135"/>
      <c r="K20" s="135"/>
      <c r="L20" s="135"/>
      <c r="M20" s="135"/>
      <c r="N20" s="135"/>
      <c r="O20" s="135"/>
      <c r="P20" s="135"/>
      <c r="Q20" s="135"/>
      <c r="R20" s="135"/>
    </row>
    <row r="21" spans="2:18" x14ac:dyDescent="0.3">
      <c r="B21" s="135"/>
      <c r="C21" s="135"/>
      <c r="D21" s="135"/>
      <c r="E21" s="135"/>
      <c r="F21" s="135"/>
      <c r="G21" s="135"/>
      <c r="H21" s="135"/>
      <c r="I21" s="135"/>
      <c r="J21" s="135"/>
      <c r="K21" s="135"/>
      <c r="L21" s="135"/>
      <c r="M21" s="135"/>
      <c r="N21" s="135"/>
      <c r="O21" s="135"/>
      <c r="P21" s="135"/>
      <c r="Q21" s="135"/>
      <c r="R21" s="135"/>
    </row>
  </sheetData>
  <mergeCells count="2">
    <mergeCell ref="B2:F2"/>
    <mergeCell ref="B3:H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2D6AD-E3A3-42AF-B6BB-8B6093DF4221}">
  <sheetPr>
    <tabColor rgb="FF002060"/>
    <pageSetUpPr autoPageBreaks="0"/>
  </sheetPr>
  <dimension ref="B2:T56"/>
  <sheetViews>
    <sheetView showGridLines="0" topLeftCell="A34" zoomScaleNormal="100" workbookViewId="0">
      <selection activeCell="B44" sqref="B44"/>
    </sheetView>
  </sheetViews>
  <sheetFormatPr defaultRowHeight="14.4" x14ac:dyDescent="0.3"/>
  <cols>
    <col min="1" max="1" width="1.88671875" customWidth="1"/>
    <col min="2" max="2" width="42" customWidth="1"/>
    <col min="3" max="3" width="14.5546875" bestFit="1" customWidth="1"/>
    <col min="4" max="4" width="9.6640625" bestFit="1" customWidth="1"/>
    <col min="5" max="5" width="11.109375" bestFit="1" customWidth="1"/>
    <col min="6" max="6" width="18.33203125" customWidth="1"/>
    <col min="7" max="7" width="16.109375" bestFit="1" customWidth="1"/>
    <col min="8" max="8" width="11" bestFit="1" customWidth="1"/>
    <col min="10" max="10" width="11" bestFit="1" customWidth="1"/>
    <col min="11" max="11" width="11.77734375" customWidth="1"/>
    <col min="12" max="12" width="14.109375" customWidth="1"/>
    <col min="13" max="13" width="11.44140625" bestFit="1" customWidth="1"/>
  </cols>
  <sheetData>
    <row r="2" spans="2:12" ht="18" x14ac:dyDescent="0.35">
      <c r="B2" s="175" t="str">
        <f>"WACC Modelling"&amp;" - "&amp;'Raw Data for Relative Valuation'!B5</f>
        <v>WACC Modelling - Open AI</v>
      </c>
      <c r="C2" s="175"/>
      <c r="D2" s="175"/>
      <c r="E2" s="1"/>
    </row>
    <row r="4" spans="2:12" ht="18" x14ac:dyDescent="0.35">
      <c r="B4" s="176" t="s">
        <v>0</v>
      </c>
      <c r="C4" s="176"/>
      <c r="D4" s="176"/>
      <c r="E4" s="176"/>
    </row>
    <row r="6" spans="2:12" x14ac:dyDescent="0.3">
      <c r="B6" s="2" t="s">
        <v>106</v>
      </c>
    </row>
    <row r="7" spans="2:12" x14ac:dyDescent="0.3">
      <c r="G7" s="3"/>
    </row>
    <row r="8" spans="2:12" ht="15" thickBot="1" x14ac:dyDescent="0.35">
      <c r="B8" t="s">
        <v>1</v>
      </c>
    </row>
    <row r="9" spans="2:12" ht="15" thickBot="1" x14ac:dyDescent="0.35">
      <c r="B9" s="4"/>
      <c r="C9" s="4"/>
      <c r="D9" s="4"/>
      <c r="E9" s="4"/>
      <c r="F9" s="177" t="s">
        <v>107</v>
      </c>
      <c r="G9" s="178"/>
      <c r="H9" s="4"/>
      <c r="I9" s="5" t="s">
        <v>2</v>
      </c>
      <c r="J9" s="5" t="s">
        <v>2</v>
      </c>
      <c r="K9" s="5" t="s">
        <v>3</v>
      </c>
      <c r="L9" s="5" t="s">
        <v>4</v>
      </c>
    </row>
    <row r="10" spans="2:12" ht="16.2" x14ac:dyDescent="0.3">
      <c r="B10" s="6" t="s">
        <v>5</v>
      </c>
      <c r="C10" s="6"/>
      <c r="D10" s="6"/>
      <c r="E10" s="7" t="s">
        <v>6</v>
      </c>
      <c r="F10" s="7" t="s">
        <v>7</v>
      </c>
      <c r="G10" s="7" t="s">
        <v>8</v>
      </c>
      <c r="H10" s="7" t="s">
        <v>9</v>
      </c>
      <c r="I10" s="7" t="s">
        <v>10</v>
      </c>
      <c r="J10" s="7" t="s">
        <v>11</v>
      </c>
      <c r="K10" s="7" t="s">
        <v>12</v>
      </c>
      <c r="L10" s="7" t="s">
        <v>13</v>
      </c>
    </row>
    <row r="11" spans="2:12" x14ac:dyDescent="0.3">
      <c r="E11" s="8"/>
      <c r="F11" s="8"/>
      <c r="G11" s="8"/>
      <c r="H11" s="8"/>
      <c r="I11" s="8"/>
      <c r="J11" s="8"/>
      <c r="K11" s="8"/>
      <c r="L11" s="8"/>
    </row>
    <row r="12" spans="2:12" x14ac:dyDescent="0.3">
      <c r="B12" s="9" t="s">
        <v>125</v>
      </c>
      <c r="E12" s="10" t="s">
        <v>121</v>
      </c>
      <c r="F12" s="180" t="s">
        <v>149</v>
      </c>
      <c r="G12" s="180"/>
      <c r="H12" s="13">
        <v>0.21</v>
      </c>
      <c r="I12" s="14">
        <v>0</v>
      </c>
      <c r="J12" s="14">
        <v>0</v>
      </c>
      <c r="K12" s="12">
        <v>0</v>
      </c>
      <c r="L12" s="15">
        <f>K12/(1+(1-H12)*I12)</f>
        <v>0</v>
      </c>
    </row>
    <row r="13" spans="2:12" x14ac:dyDescent="0.3">
      <c r="E13" s="10"/>
      <c r="F13" s="11"/>
      <c r="G13" s="12"/>
      <c r="H13" s="13"/>
      <c r="I13" s="14"/>
      <c r="J13" s="14"/>
      <c r="K13" s="12"/>
      <c r="L13" s="15"/>
    </row>
    <row r="14" spans="2:12" x14ac:dyDescent="0.3">
      <c r="B14" t="str">
        <f>'Raw Data for Relative Valuation'!B7</f>
        <v xml:space="preserve">Aplhabet Inc. </v>
      </c>
      <c r="E14" s="10" t="s">
        <v>121</v>
      </c>
      <c r="F14" s="11">
        <v>29289</v>
      </c>
      <c r="G14" s="11">
        <v>314119</v>
      </c>
      <c r="H14" s="13">
        <f>$H$12</f>
        <v>0.21</v>
      </c>
      <c r="I14" s="14">
        <f>F14/G14</f>
        <v>9.3241733228489845E-2</v>
      </c>
      <c r="J14" s="14">
        <f>F14/(F14+G14)</f>
        <v>8.5289218655360391E-2</v>
      </c>
      <c r="K14" s="12">
        <v>1.05</v>
      </c>
      <c r="L14" s="15">
        <f>K14/(1+(1-H14)*I14)</f>
        <v>0.97796234572350704</v>
      </c>
    </row>
    <row r="15" spans="2:12" x14ac:dyDescent="0.3">
      <c r="B15" t="str">
        <f>'Raw Data for Relative Valuation'!B8</f>
        <v xml:space="preserve">Meta Platforms, Inc. </v>
      </c>
      <c r="E15" s="10" t="s">
        <v>121</v>
      </c>
      <c r="F15" s="11">
        <v>49047</v>
      </c>
      <c r="G15" s="11">
        <v>164529</v>
      </c>
      <c r="H15" s="13">
        <f t="shared" ref="H15:H16" si="0">$H$12</f>
        <v>0.21</v>
      </c>
      <c r="I15" s="14">
        <f t="shared" ref="I15:I16" si="1">F15/G15</f>
        <v>0.29810550115785062</v>
      </c>
      <c r="J15" s="14">
        <f t="shared" ref="J15:J16" si="2">F15/(F15+G15)</f>
        <v>0.2296465895044387</v>
      </c>
      <c r="K15" s="12">
        <v>0.96</v>
      </c>
      <c r="L15" s="15">
        <f t="shared" ref="L15:L16" si="3">K15/(1+(1-H15)*I15)</f>
        <v>0.77701125065692656</v>
      </c>
    </row>
    <row r="16" spans="2:12" x14ac:dyDescent="0.3">
      <c r="B16" t="str">
        <f>'Raw Data for Relative Valuation'!B9</f>
        <v xml:space="preserve">Microsoft Corporation </v>
      </c>
      <c r="E16" s="10" t="s">
        <v>121</v>
      </c>
      <c r="F16" s="11">
        <v>96838</v>
      </c>
      <c r="G16" s="11">
        <v>287723</v>
      </c>
      <c r="H16" s="13">
        <f t="shared" si="0"/>
        <v>0.21</v>
      </c>
      <c r="I16" s="14">
        <f t="shared" si="1"/>
        <v>0.33656676734220065</v>
      </c>
      <c r="J16" s="14">
        <f t="shared" si="2"/>
        <v>0.25181440655708714</v>
      </c>
      <c r="K16" s="12">
        <v>1.08</v>
      </c>
      <c r="L16" s="15">
        <f t="shared" si="3"/>
        <v>0.85315621645102802</v>
      </c>
    </row>
    <row r="17" spans="2:12" x14ac:dyDescent="0.3">
      <c r="E17" s="10"/>
      <c r="F17" s="11"/>
      <c r="G17" s="12"/>
      <c r="H17" s="13"/>
      <c r="I17" s="17"/>
      <c r="J17" s="17"/>
      <c r="K17" s="18"/>
      <c r="L17" s="19"/>
    </row>
    <row r="18" spans="2:12" x14ac:dyDescent="0.3">
      <c r="G18" s="20" t="s">
        <v>14</v>
      </c>
      <c r="H18" s="21">
        <f>AVERAGE(H14:H17)</f>
        <v>0.21</v>
      </c>
      <c r="I18" s="145">
        <f>AVERAGE(I14:I16)</f>
        <v>0.24263800057618035</v>
      </c>
      <c r="J18" s="146">
        <f>AVERAGE(J14:J16)</f>
        <v>0.18891673823896207</v>
      </c>
      <c r="K18" s="22">
        <f>AVERAGE(K14:K16)</f>
        <v>1.03</v>
      </c>
      <c r="L18" s="22">
        <f>AVERAGE(L14:L16)</f>
        <v>0.86937660427715391</v>
      </c>
    </row>
    <row r="19" spans="2:12" x14ac:dyDescent="0.3">
      <c r="B19" t="s">
        <v>15</v>
      </c>
      <c r="G19" s="23" t="s">
        <v>16</v>
      </c>
      <c r="H19" s="24">
        <f>MEDIAN(H14:H17)</f>
        <v>0.21</v>
      </c>
      <c r="I19" s="25">
        <f>MEDIAN(I14:I16)</f>
        <v>0.29810550115785062</v>
      </c>
      <c r="J19" s="25">
        <f>MEDIAN(J14:J16)</f>
        <v>0.2296465895044387</v>
      </c>
      <c r="K19" s="26">
        <f>MEDIAN(K14:K16)</f>
        <v>1.05</v>
      </c>
      <c r="L19" s="26">
        <f>MEDIAN(L14:L16)</f>
        <v>0.85315621645102802</v>
      </c>
    </row>
    <row r="20" spans="2:12" x14ac:dyDescent="0.3">
      <c r="B20" s="53" t="s">
        <v>38</v>
      </c>
    </row>
    <row r="21" spans="2:12" ht="14.4" customHeight="1" x14ac:dyDescent="0.3">
      <c r="B21" s="181" t="s">
        <v>150</v>
      </c>
      <c r="C21" s="181"/>
      <c r="D21" s="61"/>
      <c r="E21" s="61"/>
      <c r="F21" s="61"/>
    </row>
    <row r="22" spans="2:12" x14ac:dyDescent="0.3">
      <c r="B22" s="61"/>
      <c r="C22" s="61"/>
      <c r="D22" s="61"/>
      <c r="E22" s="61"/>
      <c r="F22" s="61"/>
    </row>
    <row r="23" spans="2:12" x14ac:dyDescent="0.3">
      <c r="B23" s="133" t="s">
        <v>39</v>
      </c>
      <c r="C23" s="61"/>
      <c r="D23" s="61"/>
      <c r="E23" s="61"/>
      <c r="F23" s="61"/>
    </row>
    <row r="24" spans="2:12" x14ac:dyDescent="0.3">
      <c r="B24" s="66" t="s">
        <v>151</v>
      </c>
    </row>
    <row r="26" spans="2:12" x14ac:dyDescent="0.3">
      <c r="B26" s="133" t="s">
        <v>40</v>
      </c>
    </row>
    <row r="27" spans="2:12" ht="27" customHeight="1" x14ac:dyDescent="0.3">
      <c r="B27" s="181" t="s">
        <v>152</v>
      </c>
      <c r="C27" s="181"/>
      <c r="D27" s="181"/>
      <c r="E27" s="181"/>
      <c r="F27" s="181"/>
      <c r="G27" s="181"/>
      <c r="H27" s="181"/>
    </row>
    <row r="28" spans="2:12" x14ac:dyDescent="0.3">
      <c r="B28" s="181"/>
      <c r="C28" s="181"/>
      <c r="D28" s="181"/>
      <c r="E28" s="181"/>
      <c r="F28" s="181"/>
      <c r="G28" s="181"/>
      <c r="H28" s="181"/>
    </row>
    <row r="31" spans="2:12" x14ac:dyDescent="0.3">
      <c r="B31" s="23" t="s">
        <v>17</v>
      </c>
      <c r="C31" s="6"/>
      <c r="D31" s="6"/>
      <c r="E31" s="6"/>
      <c r="G31" s="23" t="s">
        <v>18</v>
      </c>
      <c r="H31" s="6"/>
      <c r="I31" s="6"/>
      <c r="J31" s="6"/>
      <c r="K31" s="6"/>
      <c r="L31" s="6"/>
    </row>
    <row r="33" spans="2:20" ht="16.2" x14ac:dyDescent="0.3">
      <c r="B33" t="s">
        <v>205</v>
      </c>
      <c r="E33" s="27">
        <v>0.06</v>
      </c>
      <c r="G33" t="s">
        <v>19</v>
      </c>
      <c r="L33" s="129">
        <v>4.19E-2</v>
      </c>
      <c r="M33" s="179" t="s">
        <v>146</v>
      </c>
      <c r="N33" s="179"/>
      <c r="O33" s="179"/>
      <c r="P33" s="179"/>
      <c r="Q33" s="179"/>
      <c r="R33" s="29"/>
      <c r="S33" s="29"/>
      <c r="T33" s="127" t="s">
        <v>147</v>
      </c>
    </row>
    <row r="34" spans="2:20" x14ac:dyDescent="0.3">
      <c r="B34" s="30" t="s">
        <v>20</v>
      </c>
      <c r="C34" s="30"/>
      <c r="D34" s="30"/>
      <c r="E34" s="147">
        <f>H19</f>
        <v>0.21</v>
      </c>
      <c r="G34" t="s">
        <v>21</v>
      </c>
      <c r="L34" s="129">
        <v>0.13464166666666669</v>
      </c>
      <c r="M34" s="179" t="s">
        <v>148</v>
      </c>
      <c r="N34" s="179"/>
      <c r="O34" s="179"/>
      <c r="P34" s="179"/>
      <c r="Q34" s="179"/>
      <c r="R34" s="179"/>
      <c r="S34" s="179"/>
    </row>
    <row r="35" spans="2:20" x14ac:dyDescent="0.3">
      <c r="B35" t="s">
        <v>22</v>
      </c>
      <c r="E35" s="31">
        <f>E33*(1-E34)</f>
        <v>4.7399999999999998E-2</v>
      </c>
      <c r="G35" t="s">
        <v>23</v>
      </c>
      <c r="L35" s="27">
        <f>L34-L33</f>
        <v>9.2741666666666694E-2</v>
      </c>
    </row>
    <row r="36" spans="2:20" ht="16.2" x14ac:dyDescent="0.3">
      <c r="G36" s="30" t="s">
        <v>24</v>
      </c>
      <c r="H36" s="30"/>
      <c r="I36" s="30"/>
      <c r="J36" s="30"/>
      <c r="K36" s="30"/>
      <c r="L36" s="32">
        <f>L46</f>
        <v>1.0540773600131728</v>
      </c>
    </row>
    <row r="37" spans="2:20" x14ac:dyDescent="0.3">
      <c r="G37" t="s">
        <v>18</v>
      </c>
      <c r="L37" s="33">
        <f>L33+(L35*L36)</f>
        <v>0.13965689116322169</v>
      </c>
    </row>
    <row r="40" spans="2:20" ht="16.2" x14ac:dyDescent="0.3">
      <c r="B40" s="23" t="s">
        <v>153</v>
      </c>
      <c r="C40" s="6"/>
      <c r="D40" s="6"/>
      <c r="E40" s="6"/>
    </row>
    <row r="41" spans="2:20" x14ac:dyDescent="0.3">
      <c r="G41" s="23" t="s">
        <v>25</v>
      </c>
      <c r="H41" s="6"/>
      <c r="I41" s="6"/>
      <c r="J41" s="6"/>
      <c r="K41" s="6"/>
      <c r="L41" s="6"/>
    </row>
    <row r="42" spans="2:20" x14ac:dyDescent="0.3">
      <c r="D42" s="34" t="s">
        <v>26</v>
      </c>
      <c r="E42" s="34" t="s">
        <v>27</v>
      </c>
    </row>
    <row r="43" spans="2:20" x14ac:dyDescent="0.3">
      <c r="B43" t="s">
        <v>35</v>
      </c>
      <c r="C43" s="36"/>
      <c r="D43" s="149">
        <v>0.2</v>
      </c>
      <c r="E43" s="27">
        <f>J18</f>
        <v>0.18891673823896207</v>
      </c>
      <c r="G43" t="s">
        <v>28</v>
      </c>
      <c r="L43" s="35">
        <f>L19</f>
        <v>0.85315621645102802</v>
      </c>
    </row>
    <row r="44" spans="2:20" x14ac:dyDescent="0.3">
      <c r="B44" s="30" t="s">
        <v>34</v>
      </c>
      <c r="C44" s="38"/>
      <c r="D44" s="150">
        <f>100%-D43</f>
        <v>0.8</v>
      </c>
      <c r="E44" s="39">
        <f>E45-E43</f>
        <v>0.81108326176103795</v>
      </c>
      <c r="G44" t="s">
        <v>29</v>
      </c>
      <c r="L44" s="37">
        <f>I19</f>
        <v>0.29810550115785062</v>
      </c>
    </row>
    <row r="45" spans="2:20" x14ac:dyDescent="0.3">
      <c r="B45" t="s">
        <v>30</v>
      </c>
      <c r="C45" s="41"/>
      <c r="D45" s="148">
        <f>SUM(D43:D44)</f>
        <v>1</v>
      </c>
      <c r="E45" s="42">
        <f>D45</f>
        <v>1</v>
      </c>
      <c r="G45" t="s">
        <v>20</v>
      </c>
      <c r="L45" s="40">
        <f>E34</f>
        <v>0.21</v>
      </c>
    </row>
    <row r="46" spans="2:20" x14ac:dyDescent="0.3">
      <c r="G46" s="43" t="s">
        <v>25</v>
      </c>
      <c r="H46" s="43"/>
      <c r="I46" s="43"/>
      <c r="J46" s="43"/>
      <c r="K46" s="43"/>
      <c r="L46" s="44">
        <f>L43*(1+(1-L45)*L44)</f>
        <v>1.0540773600131728</v>
      </c>
    </row>
    <row r="47" spans="2:20" x14ac:dyDescent="0.3">
      <c r="B47" t="s">
        <v>31</v>
      </c>
      <c r="D47" s="33"/>
      <c r="E47" s="33">
        <f>E43/E44</f>
        <v>0.23291904437626143</v>
      </c>
    </row>
    <row r="48" spans="2:20" x14ac:dyDescent="0.3">
      <c r="G48" s="23" t="s">
        <v>32</v>
      </c>
      <c r="H48" s="6"/>
      <c r="I48" s="6"/>
      <c r="J48" s="6"/>
      <c r="K48" s="6"/>
      <c r="L48" s="6"/>
    </row>
    <row r="49" spans="2:12" x14ac:dyDescent="0.3">
      <c r="B49" s="133" t="s">
        <v>154</v>
      </c>
    </row>
    <row r="50" spans="2:12" x14ac:dyDescent="0.3">
      <c r="B50" s="174" t="s">
        <v>155</v>
      </c>
      <c r="C50" s="174"/>
      <c r="D50" s="174"/>
      <c r="E50" s="174"/>
      <c r="G50" t="s">
        <v>18</v>
      </c>
      <c r="K50" s="45"/>
      <c r="L50" s="46">
        <f>L37</f>
        <v>0.13965689116322169</v>
      </c>
    </row>
    <row r="51" spans="2:12" x14ac:dyDescent="0.3">
      <c r="B51" s="174"/>
      <c r="C51" s="174"/>
      <c r="D51" s="174"/>
      <c r="E51" s="174"/>
      <c r="G51" t="s">
        <v>34</v>
      </c>
      <c r="K51" s="37"/>
      <c r="L51" s="37">
        <f>D44</f>
        <v>0.8</v>
      </c>
    </row>
    <row r="52" spans="2:12" x14ac:dyDescent="0.3">
      <c r="B52" s="174"/>
      <c r="C52" s="174"/>
      <c r="D52" s="174"/>
      <c r="E52" s="174"/>
      <c r="K52" s="37"/>
      <c r="L52" s="37"/>
    </row>
    <row r="53" spans="2:12" x14ac:dyDescent="0.3">
      <c r="B53" s="174"/>
      <c r="C53" s="174"/>
      <c r="D53" s="174"/>
      <c r="E53" s="174"/>
      <c r="G53" t="s">
        <v>17</v>
      </c>
      <c r="L53" s="47">
        <f>E35</f>
        <v>4.7399999999999998E-2</v>
      </c>
    </row>
    <row r="54" spans="2:12" x14ac:dyDescent="0.3">
      <c r="B54" s="174"/>
      <c r="C54" s="174"/>
      <c r="D54" s="174"/>
      <c r="E54" s="174"/>
      <c r="G54" t="s">
        <v>35</v>
      </c>
      <c r="L54" s="37">
        <f>D43</f>
        <v>0.2</v>
      </c>
    </row>
    <row r="55" spans="2:12" x14ac:dyDescent="0.3">
      <c r="B55" s="128"/>
      <c r="C55" s="128"/>
      <c r="D55" s="128"/>
      <c r="E55" s="128"/>
    </row>
    <row r="56" spans="2:12" x14ac:dyDescent="0.3">
      <c r="G56" s="48" t="s">
        <v>36</v>
      </c>
      <c r="H56" s="48"/>
      <c r="I56" s="48"/>
      <c r="J56" s="48"/>
      <c r="K56" s="48"/>
      <c r="L56" s="49">
        <f>(L50*L51)+(L53*L54)</f>
        <v>0.12120551293057737</v>
      </c>
    </row>
  </sheetData>
  <mergeCells count="9">
    <mergeCell ref="B50:E54"/>
    <mergeCell ref="B2:D2"/>
    <mergeCell ref="B4:E4"/>
    <mergeCell ref="F9:G9"/>
    <mergeCell ref="M33:Q33"/>
    <mergeCell ref="M34:S34"/>
    <mergeCell ref="F12:G12"/>
    <mergeCell ref="B21:C21"/>
    <mergeCell ref="B27:H28"/>
  </mergeCells>
  <hyperlinks>
    <hyperlink ref="T33" r:id="rId1" xr:uid="{E3CFC9FF-AFB1-401F-A2A1-5A61539A1043}"/>
  </hyperlinks>
  <pageMargins left="0.7" right="0.7" top="0.75" bottom="0.75" header="0.3" footer="0.3"/>
  <pageSetup orientation="portrait"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81924-0E2E-42D8-992C-924ED1E34564}">
  <sheetPr>
    <tabColor theme="0" tint="-0.499984740745262"/>
  </sheetPr>
  <dimension ref="B2:Q36"/>
  <sheetViews>
    <sheetView showGridLines="0" workbookViewId="0">
      <selection activeCell="B1" sqref="B1"/>
    </sheetView>
  </sheetViews>
  <sheetFormatPr defaultRowHeight="14.4" x14ac:dyDescent="0.3"/>
  <sheetData>
    <row r="2" spans="2:15" x14ac:dyDescent="0.3">
      <c r="B2" s="164" t="str">
        <f>"DCF Assumptions"&amp;" - "&amp;'Raw Data for Relative Valuation'!B5</f>
        <v>DCF Assumptions - Open AI</v>
      </c>
      <c r="C2" s="164"/>
      <c r="D2" s="164"/>
      <c r="E2" s="164"/>
      <c r="F2" s="164"/>
      <c r="G2" s="164"/>
      <c r="H2" s="164"/>
      <c r="I2" s="164"/>
      <c r="J2" s="164"/>
    </row>
    <row r="4" spans="2:15" x14ac:dyDescent="0.3">
      <c r="B4" s="16" t="s">
        <v>38</v>
      </c>
      <c r="L4" s="162"/>
    </row>
    <row r="5" spans="2:15" ht="14.4" customHeight="1" x14ac:dyDescent="0.3">
      <c r="B5" s="174" t="s">
        <v>157</v>
      </c>
      <c r="C5" s="174"/>
      <c r="D5" s="174"/>
      <c r="E5" s="174"/>
      <c r="F5" s="174"/>
      <c r="G5" s="174"/>
      <c r="H5" s="174"/>
      <c r="I5" s="174"/>
      <c r="J5" s="174"/>
      <c r="K5" s="174"/>
      <c r="L5" s="174"/>
      <c r="M5" s="174"/>
      <c r="N5" s="174"/>
    </row>
    <row r="6" spans="2:15" x14ac:dyDescent="0.3">
      <c r="B6" s="174"/>
      <c r="C6" s="174"/>
      <c r="D6" s="174"/>
      <c r="E6" s="174"/>
      <c r="F6" s="174"/>
      <c r="G6" s="174"/>
      <c r="H6" s="174"/>
      <c r="I6" s="174"/>
      <c r="J6" s="174"/>
      <c r="K6" s="174"/>
      <c r="L6" s="174"/>
      <c r="M6" s="174"/>
      <c r="N6" s="174"/>
    </row>
    <row r="7" spans="2:15" x14ac:dyDescent="0.3">
      <c r="B7" s="174"/>
      <c r="C7" s="174"/>
      <c r="D7" s="174"/>
      <c r="E7" s="174"/>
      <c r="F7" s="174"/>
      <c r="G7" s="174"/>
      <c r="H7" s="174"/>
      <c r="I7" s="174"/>
      <c r="J7" s="174"/>
      <c r="K7" s="174"/>
      <c r="L7" s="174"/>
      <c r="M7" s="174"/>
      <c r="N7" s="174"/>
    </row>
    <row r="8" spans="2:15" x14ac:dyDescent="0.3">
      <c r="B8" s="84"/>
      <c r="C8" s="84"/>
      <c r="D8" s="84"/>
      <c r="E8" s="84"/>
      <c r="F8" s="84"/>
      <c r="G8" s="84"/>
      <c r="H8" s="84"/>
      <c r="I8" s="84"/>
      <c r="J8" s="84"/>
    </row>
    <row r="9" spans="2:15" x14ac:dyDescent="0.3">
      <c r="B9" s="61"/>
      <c r="C9" s="61"/>
      <c r="D9" s="61"/>
      <c r="E9" s="61"/>
      <c r="F9" s="61"/>
      <c r="G9" s="61"/>
      <c r="H9" s="61"/>
      <c r="I9" s="61"/>
      <c r="J9" s="61"/>
    </row>
    <row r="10" spans="2:15" x14ac:dyDescent="0.3">
      <c r="B10" s="16" t="s">
        <v>39</v>
      </c>
      <c r="L10" s="61"/>
    </row>
    <row r="11" spans="2:15" x14ac:dyDescent="0.3">
      <c r="B11" s="181" t="s">
        <v>158</v>
      </c>
      <c r="C11" s="181"/>
      <c r="D11" s="181"/>
      <c r="E11" s="181"/>
      <c r="F11" s="181"/>
      <c r="G11" s="181"/>
      <c r="H11" s="181"/>
      <c r="I11" s="181"/>
      <c r="J11" s="181"/>
      <c r="K11" s="181"/>
      <c r="L11" s="181"/>
      <c r="M11" s="181"/>
      <c r="N11" s="181"/>
      <c r="O11" s="181"/>
    </row>
    <row r="12" spans="2:15" x14ac:dyDescent="0.3">
      <c r="B12" s="61"/>
      <c r="C12" s="61"/>
      <c r="D12" s="61"/>
      <c r="E12" s="61"/>
      <c r="F12" s="61"/>
      <c r="G12" s="61"/>
      <c r="H12" s="61"/>
      <c r="I12" s="61"/>
      <c r="J12" s="61"/>
      <c r="K12" s="61"/>
    </row>
    <row r="13" spans="2:15" x14ac:dyDescent="0.3">
      <c r="B13" s="16" t="s">
        <v>40</v>
      </c>
    </row>
    <row r="14" spans="2:15" x14ac:dyDescent="0.3">
      <c r="B14" s="181" t="s">
        <v>159</v>
      </c>
      <c r="C14" s="181"/>
      <c r="D14" s="181"/>
      <c r="E14" s="181"/>
      <c r="F14" s="181"/>
      <c r="G14" s="181"/>
      <c r="H14" s="181"/>
      <c r="I14" s="181"/>
      <c r="J14" s="181"/>
      <c r="K14" s="181"/>
      <c r="L14" s="181"/>
      <c r="M14" s="181"/>
      <c r="N14" s="181"/>
      <c r="O14" s="181"/>
    </row>
    <row r="16" spans="2:15" x14ac:dyDescent="0.3">
      <c r="B16" s="16" t="s">
        <v>154</v>
      </c>
    </row>
    <row r="17" spans="2:17" x14ac:dyDescent="0.3">
      <c r="B17" s="181" t="s">
        <v>160</v>
      </c>
      <c r="C17" s="181"/>
      <c r="D17" s="181"/>
      <c r="E17" s="181"/>
      <c r="F17" s="181"/>
      <c r="G17" s="181"/>
      <c r="H17" s="181"/>
      <c r="I17" s="181"/>
      <c r="J17" s="181"/>
      <c r="K17" s="181"/>
      <c r="L17" s="181"/>
      <c r="M17" s="181"/>
      <c r="N17" s="181"/>
      <c r="O17" s="181"/>
    </row>
    <row r="19" spans="2:17" x14ac:dyDescent="0.3">
      <c r="B19" s="16" t="s">
        <v>166</v>
      </c>
    </row>
    <row r="20" spans="2:17" x14ac:dyDescent="0.3">
      <c r="B20" s="181" t="s">
        <v>191</v>
      </c>
      <c r="C20" s="181"/>
      <c r="D20" s="181"/>
      <c r="E20" s="181"/>
      <c r="F20" s="181"/>
      <c r="G20" s="181"/>
      <c r="H20" s="181"/>
      <c r="I20" s="181"/>
      <c r="J20" s="181"/>
      <c r="K20" s="181"/>
      <c r="L20" s="181"/>
      <c r="M20" s="181"/>
      <c r="N20" s="181"/>
      <c r="O20" s="181"/>
      <c r="P20" s="181"/>
      <c r="Q20" s="181"/>
    </row>
    <row r="22" spans="2:17" x14ac:dyDescent="0.3">
      <c r="B22" s="16" t="s">
        <v>167</v>
      </c>
    </row>
    <row r="23" spans="2:17" x14ac:dyDescent="0.3">
      <c r="B23" s="181" t="s">
        <v>192</v>
      </c>
      <c r="C23" s="181"/>
      <c r="D23" s="181"/>
      <c r="E23" s="181"/>
      <c r="F23" s="181"/>
      <c r="G23" s="181"/>
      <c r="H23" s="181"/>
      <c r="I23" s="181"/>
      <c r="J23" s="181"/>
      <c r="K23" s="181"/>
      <c r="L23" s="181"/>
    </row>
    <row r="25" spans="2:17" x14ac:dyDescent="0.3">
      <c r="B25" s="16" t="s">
        <v>172</v>
      </c>
    </row>
    <row r="26" spans="2:17" x14ac:dyDescent="0.3">
      <c r="B26" s="181" t="s">
        <v>173</v>
      </c>
      <c r="C26" s="181"/>
      <c r="D26" s="181"/>
      <c r="E26" s="181"/>
      <c r="F26" s="181"/>
      <c r="G26" s="181"/>
      <c r="H26" s="181"/>
      <c r="I26" s="181"/>
      <c r="J26" s="181"/>
      <c r="K26" s="181"/>
      <c r="L26" s="181"/>
      <c r="M26" s="181"/>
    </row>
    <row r="27" spans="2:17" x14ac:dyDescent="0.3">
      <c r="B27" s="181"/>
      <c r="C27" s="181"/>
      <c r="D27" s="181"/>
      <c r="E27" s="181"/>
      <c r="F27" s="181"/>
      <c r="G27" s="181"/>
      <c r="H27" s="181"/>
      <c r="I27" s="181"/>
      <c r="J27" s="181"/>
      <c r="K27" s="181"/>
      <c r="L27" s="181"/>
      <c r="M27" s="181"/>
    </row>
    <row r="30" spans="2:17" x14ac:dyDescent="0.3">
      <c r="B30" s="72" t="s">
        <v>171</v>
      </c>
      <c r="I30" s="66"/>
    </row>
    <row r="31" spans="2:17" ht="14.4" customHeight="1" x14ac:dyDescent="0.3">
      <c r="B31" s="235" t="s">
        <v>55</v>
      </c>
      <c r="C31" s="235"/>
      <c r="D31" s="235"/>
      <c r="E31" s="235"/>
      <c r="F31" s="235"/>
      <c r="G31" s="235"/>
      <c r="H31" s="235"/>
      <c r="I31" s="235"/>
      <c r="J31" s="235"/>
      <c r="K31" s="235"/>
      <c r="L31" s="235"/>
      <c r="M31" s="235"/>
    </row>
    <row r="32" spans="2:17" x14ac:dyDescent="0.3">
      <c r="B32" s="235"/>
      <c r="C32" s="235"/>
      <c r="D32" s="235"/>
      <c r="E32" s="235"/>
      <c r="F32" s="235"/>
      <c r="G32" s="235"/>
      <c r="H32" s="235"/>
      <c r="I32" s="235"/>
      <c r="J32" s="235"/>
      <c r="K32" s="235"/>
      <c r="L32" s="235"/>
      <c r="M32" s="235"/>
    </row>
    <row r="33" spans="2:13" x14ac:dyDescent="0.3">
      <c r="B33" s="235"/>
      <c r="C33" s="235"/>
      <c r="D33" s="235"/>
      <c r="E33" s="235"/>
      <c r="F33" s="235"/>
      <c r="G33" s="235"/>
      <c r="H33" s="235"/>
      <c r="I33" s="235"/>
      <c r="J33" s="235"/>
      <c r="K33" s="235"/>
      <c r="L33" s="235"/>
      <c r="M33" s="235"/>
    </row>
    <row r="34" spans="2:13" x14ac:dyDescent="0.3">
      <c r="B34" s="235"/>
      <c r="C34" s="235"/>
      <c r="D34" s="235"/>
      <c r="E34" s="235"/>
      <c r="F34" s="235"/>
      <c r="G34" s="235"/>
      <c r="H34" s="235"/>
      <c r="I34" s="235"/>
      <c r="J34" s="235"/>
      <c r="K34" s="235"/>
      <c r="L34" s="235"/>
      <c r="M34" s="235"/>
    </row>
    <row r="35" spans="2:13" x14ac:dyDescent="0.3">
      <c r="B35" s="233"/>
      <c r="C35" s="233"/>
      <c r="D35" s="233"/>
      <c r="E35" s="233"/>
      <c r="F35" s="233"/>
      <c r="G35" s="233"/>
      <c r="H35" s="233"/>
      <c r="I35" s="233"/>
      <c r="J35" s="234"/>
      <c r="K35" s="234"/>
    </row>
    <row r="36" spans="2:13" x14ac:dyDescent="0.3">
      <c r="B36" s="234"/>
      <c r="C36" s="234"/>
      <c r="D36" s="234"/>
      <c r="E36" s="234"/>
      <c r="F36" s="234"/>
      <c r="G36" s="234"/>
      <c r="H36" s="234"/>
      <c r="I36" s="234"/>
      <c r="J36" s="234"/>
      <c r="K36" s="234"/>
    </row>
  </sheetData>
  <mergeCells count="9">
    <mergeCell ref="B31:M34"/>
    <mergeCell ref="B20:Q20"/>
    <mergeCell ref="B26:M27"/>
    <mergeCell ref="B23:L23"/>
    <mergeCell ref="B5:N7"/>
    <mergeCell ref="B11:O11"/>
    <mergeCell ref="B14:O14"/>
    <mergeCell ref="B17:O17"/>
    <mergeCell ref="B2:J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F285C-A3FD-48BF-A160-F5D3BDA32C6F}">
  <sheetPr>
    <tabColor theme="4" tint="-0.499984740745262"/>
  </sheetPr>
  <dimension ref="A2:X92"/>
  <sheetViews>
    <sheetView showGridLines="0" topLeftCell="A63" workbookViewId="0"/>
  </sheetViews>
  <sheetFormatPr defaultRowHeight="14.4" x14ac:dyDescent="0.3"/>
  <cols>
    <col min="2" max="2" width="20.21875" customWidth="1"/>
    <col min="5" max="5" width="18.6640625" customWidth="1"/>
    <col min="7" max="7" width="17.5546875" customWidth="1"/>
    <col min="8" max="8" width="2.109375" customWidth="1"/>
    <col min="9" max="9" width="13.6640625" bestFit="1" customWidth="1"/>
    <col min="10" max="14" width="14.33203125" customWidth="1"/>
    <col min="15" max="15" width="18.21875" customWidth="1"/>
  </cols>
  <sheetData>
    <row r="2" spans="1:17" x14ac:dyDescent="0.3">
      <c r="B2" s="164" t="str">
        <f>"DCF and Sensitivity Analysis"&amp;" - "&amp;'Raw Data for Relative Valuation'!B5</f>
        <v>DCF and Sensitivity Analysis - Open AI</v>
      </c>
      <c r="C2" s="164"/>
      <c r="D2" s="164"/>
      <c r="E2" s="164"/>
      <c r="F2" s="164"/>
      <c r="G2" s="164"/>
      <c r="H2" s="164"/>
      <c r="I2" s="164"/>
      <c r="J2" s="164"/>
      <c r="K2" s="50"/>
      <c r="L2" s="50"/>
      <c r="M2" s="50"/>
      <c r="N2" s="50"/>
    </row>
    <row r="4" spans="1:17" x14ac:dyDescent="0.3">
      <c r="B4" s="53" t="s">
        <v>107</v>
      </c>
      <c r="I4" s="67" t="s">
        <v>47</v>
      </c>
      <c r="J4" s="62"/>
      <c r="K4" s="62"/>
      <c r="L4" s="62"/>
      <c r="M4" s="62"/>
      <c r="N4" s="62"/>
    </row>
    <row r="5" spans="1:17" ht="16.8" customHeight="1" x14ac:dyDescent="0.3">
      <c r="A5" s="16" t="s">
        <v>43</v>
      </c>
      <c r="B5" s="182" t="s">
        <v>156</v>
      </c>
      <c r="C5" s="182"/>
      <c r="D5" s="182"/>
      <c r="E5" s="182"/>
      <c r="F5" s="182"/>
      <c r="G5" s="182"/>
      <c r="H5" s="152"/>
      <c r="I5" s="151">
        <v>2024</v>
      </c>
      <c r="J5" s="151">
        <f>I5+1</f>
        <v>2025</v>
      </c>
      <c r="K5" s="151">
        <f t="shared" ref="K5:N5" si="0">J5+1</f>
        <v>2026</v>
      </c>
      <c r="L5" s="151">
        <f t="shared" si="0"/>
        <v>2027</v>
      </c>
      <c r="M5" s="151">
        <f t="shared" si="0"/>
        <v>2028</v>
      </c>
      <c r="N5" s="151">
        <f t="shared" si="0"/>
        <v>2029</v>
      </c>
    </row>
    <row r="7" spans="1:17" ht="16.2" x14ac:dyDescent="0.3">
      <c r="B7" s="64" t="s">
        <v>87</v>
      </c>
      <c r="I7" s="52">
        <f>'Raw Data for Relative Valuation'!I5</f>
        <v>3600</v>
      </c>
      <c r="J7" s="3">
        <f>I7*(1+$I$8)</f>
        <v>4860</v>
      </c>
      <c r="K7" s="3">
        <f t="shared" ref="K7:N7" si="1">J7*(1+$I$8)</f>
        <v>6561</v>
      </c>
      <c r="L7" s="3">
        <f t="shared" si="1"/>
        <v>8857.35</v>
      </c>
      <c r="M7" s="3">
        <f t="shared" si="1"/>
        <v>11957.422500000001</v>
      </c>
      <c r="N7" s="3">
        <f t="shared" si="1"/>
        <v>16142.520375000002</v>
      </c>
      <c r="O7" s="54"/>
      <c r="Q7" s="42"/>
    </row>
    <row r="8" spans="1:17" ht="16.2" x14ac:dyDescent="0.3">
      <c r="B8" s="66" t="s">
        <v>208</v>
      </c>
      <c r="I8" s="232">
        <v>0.35</v>
      </c>
      <c r="J8" s="3"/>
      <c r="K8" s="3"/>
      <c r="L8" s="3"/>
      <c r="M8" s="3"/>
      <c r="N8" s="3"/>
      <c r="O8" s="54"/>
      <c r="Q8" s="42"/>
    </row>
    <row r="9" spans="1:17" x14ac:dyDescent="0.3">
      <c r="B9" s="66"/>
      <c r="I9" s="52"/>
      <c r="J9" s="3"/>
      <c r="K9" s="3"/>
      <c r="L9" s="3"/>
      <c r="M9" s="3"/>
      <c r="N9" s="3"/>
      <c r="O9" s="54"/>
      <c r="Q9" s="42"/>
    </row>
    <row r="10" spans="1:17" ht="16.2" x14ac:dyDescent="0.3">
      <c r="B10" s="64" t="s">
        <v>162</v>
      </c>
      <c r="I10" s="154">
        <v>0.3</v>
      </c>
      <c r="J10" s="40">
        <f>I10</f>
        <v>0.3</v>
      </c>
      <c r="K10" s="40">
        <f t="shared" ref="K10:N10" si="2">J10</f>
        <v>0.3</v>
      </c>
      <c r="L10" s="40">
        <f t="shared" si="2"/>
        <v>0.3</v>
      </c>
      <c r="M10" s="40">
        <f t="shared" si="2"/>
        <v>0.3</v>
      </c>
      <c r="N10" s="40">
        <f t="shared" si="2"/>
        <v>0.3</v>
      </c>
    </row>
    <row r="11" spans="1:17" x14ac:dyDescent="0.3">
      <c r="B11" s="64" t="s">
        <v>44</v>
      </c>
      <c r="I11" s="52">
        <f>I7*I10</f>
        <v>1080</v>
      </c>
      <c r="J11" s="3">
        <f t="shared" ref="J11:N11" si="3">J7*J10</f>
        <v>1458</v>
      </c>
      <c r="K11" s="3">
        <f t="shared" si="3"/>
        <v>1968.3</v>
      </c>
      <c r="L11" s="3">
        <f t="shared" si="3"/>
        <v>2657.2049999999999</v>
      </c>
      <c r="M11" s="3">
        <f t="shared" si="3"/>
        <v>3587.2267500000003</v>
      </c>
      <c r="N11" s="3">
        <f t="shared" si="3"/>
        <v>4842.7561125000002</v>
      </c>
    </row>
    <row r="12" spans="1:17" x14ac:dyDescent="0.3">
      <c r="B12" s="64"/>
      <c r="I12" s="68"/>
      <c r="J12" s="3"/>
      <c r="K12" s="3"/>
      <c r="L12" s="3"/>
      <c r="M12" s="3"/>
      <c r="N12" s="3"/>
    </row>
    <row r="13" spans="1:17" x14ac:dyDescent="0.3">
      <c r="B13" s="64" t="s">
        <v>48</v>
      </c>
      <c r="I13" s="155">
        <f>WACC!H12</f>
        <v>0.21</v>
      </c>
      <c r="J13" s="156">
        <f>I13</f>
        <v>0.21</v>
      </c>
      <c r="K13" s="156">
        <f t="shared" ref="K13:N13" si="4">J13</f>
        <v>0.21</v>
      </c>
      <c r="L13" s="156">
        <f t="shared" si="4"/>
        <v>0.21</v>
      </c>
      <c r="M13" s="156">
        <f t="shared" si="4"/>
        <v>0.21</v>
      </c>
      <c r="N13" s="156">
        <f t="shared" si="4"/>
        <v>0.21</v>
      </c>
    </row>
    <row r="14" spans="1:17" x14ac:dyDescent="0.3">
      <c r="B14" s="64" t="s">
        <v>45</v>
      </c>
      <c r="I14" s="52">
        <f>I11*(1-I13)</f>
        <v>853.2</v>
      </c>
      <c r="J14" s="3">
        <f t="shared" ref="J14:N14" si="5">J11*(1-J13)</f>
        <v>1151.8200000000002</v>
      </c>
      <c r="K14" s="3">
        <f t="shared" si="5"/>
        <v>1554.9570000000001</v>
      </c>
      <c r="L14" s="3">
        <f t="shared" si="5"/>
        <v>2099.1919499999999</v>
      </c>
      <c r="M14" s="3">
        <f t="shared" si="5"/>
        <v>2833.9091325000004</v>
      </c>
      <c r="N14" s="3">
        <f t="shared" si="5"/>
        <v>3825.7773288750004</v>
      </c>
    </row>
    <row r="15" spans="1:17" x14ac:dyDescent="0.3">
      <c r="B15" s="64"/>
      <c r="I15" s="52"/>
      <c r="J15" s="153"/>
      <c r="K15" s="153"/>
      <c r="L15" s="153"/>
      <c r="M15" s="153"/>
      <c r="N15" s="153"/>
    </row>
    <row r="16" spans="1:17" ht="16.2" x14ac:dyDescent="0.3">
      <c r="B16" s="64" t="s">
        <v>163</v>
      </c>
      <c r="G16" s="42"/>
      <c r="I16" s="52">
        <f>I7*5%</f>
        <v>180</v>
      </c>
      <c r="J16" s="54">
        <f t="shared" ref="J16:N16" si="6">J7*5%</f>
        <v>243</v>
      </c>
      <c r="K16" s="54">
        <f t="shared" si="6"/>
        <v>328.05</v>
      </c>
      <c r="L16" s="54">
        <f t="shared" si="6"/>
        <v>442.86750000000006</v>
      </c>
      <c r="M16" s="54">
        <f t="shared" si="6"/>
        <v>597.87112500000001</v>
      </c>
      <c r="N16" s="54">
        <f t="shared" si="6"/>
        <v>807.12601875000018</v>
      </c>
    </row>
    <row r="17" spans="1:18" ht="16.2" x14ac:dyDescent="0.3">
      <c r="B17" s="64" t="s">
        <v>164</v>
      </c>
      <c r="I17" s="52">
        <f>I7*7%</f>
        <v>252.00000000000003</v>
      </c>
      <c r="J17" s="54">
        <f t="shared" ref="J17:N17" si="7">J7*7%</f>
        <v>340.20000000000005</v>
      </c>
      <c r="K17" s="54">
        <f t="shared" si="7"/>
        <v>459.27000000000004</v>
      </c>
      <c r="L17" s="54">
        <f t="shared" si="7"/>
        <v>620.01450000000011</v>
      </c>
      <c r="M17" s="54">
        <f t="shared" si="7"/>
        <v>837.01957500000015</v>
      </c>
      <c r="N17" s="54">
        <f t="shared" si="7"/>
        <v>1129.9764262500003</v>
      </c>
    </row>
    <row r="18" spans="1:18" ht="16.2" x14ac:dyDescent="0.3">
      <c r="B18" s="64" t="s">
        <v>165</v>
      </c>
      <c r="I18" s="52">
        <f>I7*4%</f>
        <v>144</v>
      </c>
      <c r="J18" s="54">
        <f t="shared" ref="J18:N18" si="8">J7*4%</f>
        <v>194.4</v>
      </c>
      <c r="K18" s="54">
        <f t="shared" si="8"/>
        <v>262.44</v>
      </c>
      <c r="L18" s="54">
        <f t="shared" si="8"/>
        <v>354.29400000000004</v>
      </c>
      <c r="M18" s="54">
        <f t="shared" si="8"/>
        <v>478.29690000000005</v>
      </c>
      <c r="N18" s="54">
        <f t="shared" si="8"/>
        <v>645.70081500000003</v>
      </c>
    </row>
    <row r="19" spans="1:18" x14ac:dyDescent="0.3">
      <c r="B19" s="61"/>
      <c r="C19" s="61"/>
      <c r="D19" s="61"/>
      <c r="E19" s="61"/>
      <c r="F19" s="61"/>
      <c r="G19" s="61"/>
      <c r="H19" s="61"/>
      <c r="I19" s="131"/>
      <c r="J19" s="61"/>
      <c r="K19" s="61"/>
      <c r="L19" s="61"/>
      <c r="M19" s="61"/>
      <c r="N19" s="61"/>
    </row>
    <row r="20" spans="1:18" x14ac:dyDescent="0.3">
      <c r="B20" s="60" t="s">
        <v>161</v>
      </c>
      <c r="C20" s="60"/>
      <c r="D20" s="60"/>
      <c r="E20" s="60"/>
      <c r="F20" s="60"/>
      <c r="G20" s="60"/>
      <c r="H20" s="60"/>
      <c r="I20" s="157">
        <f>I14+I16-I17-I18</f>
        <v>637.20000000000005</v>
      </c>
      <c r="J20" s="134">
        <f t="shared" ref="J20:N20" si="9">J14+J16-J17-J18</f>
        <v>860.22000000000014</v>
      </c>
      <c r="K20" s="134">
        <f t="shared" si="9"/>
        <v>1161.297</v>
      </c>
      <c r="L20" s="134">
        <f t="shared" si="9"/>
        <v>1567.7509499999994</v>
      </c>
      <c r="M20" s="134">
        <f t="shared" si="9"/>
        <v>2116.4637825</v>
      </c>
      <c r="N20" s="134">
        <f t="shared" si="9"/>
        <v>2857.2261063750002</v>
      </c>
    </row>
    <row r="21" spans="1:18" x14ac:dyDescent="0.3">
      <c r="B21" s="61"/>
      <c r="C21" s="61"/>
      <c r="D21" s="61"/>
      <c r="E21" s="61"/>
      <c r="F21" s="61"/>
      <c r="G21" s="61"/>
      <c r="H21" s="61"/>
      <c r="I21" s="131"/>
      <c r="J21" s="61"/>
      <c r="K21" s="61"/>
      <c r="L21" s="61"/>
      <c r="M21" s="61"/>
      <c r="N21" s="61"/>
    </row>
    <row r="22" spans="1:18" x14ac:dyDescent="0.3">
      <c r="B22" t="s">
        <v>49</v>
      </c>
      <c r="C22" s="61"/>
      <c r="D22" s="61"/>
      <c r="E22" s="61"/>
      <c r="F22" s="61"/>
      <c r="G22" s="61"/>
      <c r="H22" s="61"/>
      <c r="I22" s="131">
        <v>0.5</v>
      </c>
      <c r="J22" s="61">
        <f>I22+1</f>
        <v>1.5</v>
      </c>
      <c r="K22" s="61">
        <f t="shared" ref="K22:N22" si="10">J22+1</f>
        <v>2.5</v>
      </c>
      <c r="L22" s="61">
        <f t="shared" si="10"/>
        <v>3.5</v>
      </c>
      <c r="M22" s="61">
        <f t="shared" si="10"/>
        <v>4.5</v>
      </c>
      <c r="N22" s="61">
        <f t="shared" si="10"/>
        <v>5.5</v>
      </c>
    </row>
    <row r="23" spans="1:18" x14ac:dyDescent="0.3">
      <c r="B23" t="s">
        <v>50</v>
      </c>
      <c r="C23" s="61"/>
      <c r="D23" s="61"/>
      <c r="E23" s="61"/>
      <c r="F23" s="61"/>
      <c r="G23" s="61"/>
      <c r="H23" s="61"/>
      <c r="I23" s="158">
        <f>1/(1+$E$29)^I22</f>
        <v>0.94440306470286961</v>
      </c>
      <c r="J23" s="58">
        <f t="shared" ref="J23:N23" si="11">1/(1+$E$29)^J22</f>
        <v>0.84231040055664175</v>
      </c>
      <c r="K23" s="58">
        <f t="shared" si="11"/>
        <v>0.75125424450958422</v>
      </c>
      <c r="L23" s="58">
        <f t="shared" si="11"/>
        <v>0.6700415185669002</v>
      </c>
      <c r="M23" s="58">
        <f t="shared" si="11"/>
        <v>0.59760811986694873</v>
      </c>
      <c r="N23" s="58">
        <f t="shared" si="11"/>
        <v>0.53300497810159386</v>
      </c>
    </row>
    <row r="24" spans="1:18" ht="15" thickBot="1" x14ac:dyDescent="0.35">
      <c r="C24" s="61"/>
      <c r="D24" s="61"/>
      <c r="E24" s="61"/>
      <c r="F24" s="61"/>
      <c r="G24" s="61"/>
      <c r="H24" s="61"/>
      <c r="I24" s="61"/>
      <c r="J24" s="61"/>
      <c r="K24" s="61"/>
      <c r="L24" s="61"/>
      <c r="M24" s="61"/>
      <c r="N24" s="61"/>
    </row>
    <row r="25" spans="1:18" ht="15" thickBot="1" x14ac:dyDescent="0.35">
      <c r="B25" s="121" t="s">
        <v>51</v>
      </c>
      <c r="C25" s="121"/>
      <c r="D25" s="121"/>
      <c r="E25" s="121"/>
      <c r="F25" s="121"/>
      <c r="G25" s="121"/>
      <c r="H25" s="121"/>
      <c r="I25" s="122">
        <f>I20*I23</f>
        <v>601.77363282866861</v>
      </c>
      <c r="J25" s="122">
        <f t="shared" ref="J25:N25" si="12">J20*J23</f>
        <v>724.57225276683448</v>
      </c>
      <c r="K25" s="122">
        <f t="shared" si="12"/>
        <v>872.42930038624661</v>
      </c>
      <c r="L25" s="122">
        <f t="shared" si="12"/>
        <v>1050.4582272727</v>
      </c>
      <c r="M25" s="122">
        <f t="shared" si="12"/>
        <v>1264.8159418263158</v>
      </c>
      <c r="N25" s="122">
        <f t="shared" si="12"/>
        <v>1522.9157382597093</v>
      </c>
    </row>
    <row r="26" spans="1:18" x14ac:dyDescent="0.3">
      <c r="B26" s="61"/>
      <c r="C26" s="61"/>
      <c r="D26" s="61"/>
      <c r="I26" s="61"/>
      <c r="J26" s="61"/>
      <c r="K26" s="61"/>
      <c r="L26" s="61"/>
      <c r="M26" s="61"/>
      <c r="N26" s="61"/>
    </row>
    <row r="27" spans="1:18" ht="16.2" x14ac:dyDescent="0.3">
      <c r="B27" s="69" t="s">
        <v>169</v>
      </c>
      <c r="C27" s="69"/>
      <c r="D27" s="69"/>
      <c r="E27" s="70">
        <v>0.2</v>
      </c>
      <c r="I27" s="61"/>
      <c r="J27" s="61"/>
      <c r="K27" s="61"/>
      <c r="L27" s="61"/>
      <c r="M27" s="61"/>
      <c r="N27" s="61"/>
    </row>
    <row r="28" spans="1:18" ht="16.2" x14ac:dyDescent="0.3">
      <c r="B28" s="69" t="s">
        <v>168</v>
      </c>
      <c r="C28" s="69"/>
      <c r="D28" s="69"/>
      <c r="E28" s="70">
        <v>2.5000000000000001E-2</v>
      </c>
      <c r="F28" s="61"/>
      <c r="G28" s="61"/>
      <c r="H28" s="61"/>
      <c r="I28" s="61"/>
      <c r="J28" s="61"/>
      <c r="K28" s="61"/>
      <c r="L28" s="61"/>
      <c r="M28" s="61"/>
      <c r="N28" s="61"/>
    </row>
    <row r="29" spans="1:18" x14ac:dyDescent="0.3">
      <c r="B29" s="69" t="s">
        <v>36</v>
      </c>
      <c r="C29" s="69"/>
      <c r="D29" s="69"/>
      <c r="E29" s="70">
        <f>WACC!L56</f>
        <v>0.12120551293057737</v>
      </c>
      <c r="F29" s="61"/>
      <c r="G29" s="61"/>
      <c r="H29" s="61"/>
      <c r="I29" s="61"/>
      <c r="J29" s="61"/>
      <c r="K29" s="61"/>
      <c r="L29" s="61"/>
      <c r="M29" s="61"/>
      <c r="N29" s="61"/>
    </row>
    <row r="30" spans="1:18" x14ac:dyDescent="0.3">
      <c r="B30" s="61"/>
      <c r="C30" s="61"/>
      <c r="D30" s="61"/>
      <c r="E30" s="61"/>
      <c r="F30" s="61"/>
      <c r="G30" s="61"/>
      <c r="H30" s="61"/>
      <c r="I30" s="61"/>
      <c r="J30" s="61"/>
      <c r="K30" s="61"/>
      <c r="L30" s="61"/>
      <c r="M30" s="61"/>
      <c r="N30" s="61"/>
    </row>
    <row r="31" spans="1:18" ht="14.4" customHeight="1" x14ac:dyDescent="0.3">
      <c r="A31" s="16" t="s">
        <v>43</v>
      </c>
      <c r="B31" s="183" t="s">
        <v>52</v>
      </c>
      <c r="C31" s="183"/>
      <c r="D31" s="183"/>
      <c r="E31" s="183"/>
      <c r="F31" s="71"/>
      <c r="K31" s="72"/>
      <c r="M31" s="183" t="s">
        <v>175</v>
      </c>
      <c r="N31" s="183"/>
      <c r="O31" s="63"/>
      <c r="P31" s="63"/>
      <c r="Q31" s="63"/>
      <c r="R31" s="63"/>
    </row>
    <row r="32" spans="1:18" x14ac:dyDescent="0.3">
      <c r="K32" s="61"/>
      <c r="L32" s="61"/>
      <c r="N32" s="194" t="s">
        <v>36</v>
      </c>
      <c r="O32" s="194"/>
      <c r="P32" s="194"/>
      <c r="Q32" s="194"/>
      <c r="R32" s="194"/>
    </row>
    <row r="33" spans="1:24" x14ac:dyDescent="0.3">
      <c r="B33" t="s">
        <v>53</v>
      </c>
      <c r="E33" s="54">
        <f>N20*(1+E27)</f>
        <v>3428.67132765</v>
      </c>
      <c r="L33" s="193" t="s">
        <v>176</v>
      </c>
      <c r="M33" s="73">
        <f>E50</f>
        <v>25.032746418578956</v>
      </c>
      <c r="N33" s="74">
        <v>0.06</v>
      </c>
      <c r="O33" s="74">
        <v>0.08</v>
      </c>
      <c r="P33" s="75">
        <v>0.12120551293057737</v>
      </c>
      <c r="Q33" s="74">
        <v>0.14000000000000001</v>
      </c>
      <c r="R33" s="74">
        <v>0.16</v>
      </c>
    </row>
    <row r="34" spans="1:24" x14ac:dyDescent="0.3">
      <c r="B34" t="s">
        <v>36</v>
      </c>
      <c r="E34" s="37">
        <f>E29</f>
        <v>0.12120551293057737</v>
      </c>
      <c r="L34" s="193"/>
      <c r="M34" s="74">
        <v>0.02</v>
      </c>
      <c r="N34" s="76">
        <f t="dataTable" ref="N34:R38" dt2D="1" dtr="1" r1="E29" r2="E28"/>
        <v>69.604950203838257</v>
      </c>
      <c r="O34" s="76">
        <v>44.326742371742966</v>
      </c>
      <c r="P34" s="76">
        <v>24.094270797282086</v>
      </c>
      <c r="Q34" s="76">
        <v>19.593519180207675</v>
      </c>
      <c r="R34" s="77">
        <v>16.188650743713513</v>
      </c>
    </row>
    <row r="35" spans="1:24" x14ac:dyDescent="0.3">
      <c r="B35" t="s">
        <v>54</v>
      </c>
      <c r="E35" s="37">
        <f>E28</f>
        <v>2.5000000000000001E-2</v>
      </c>
      <c r="L35" s="193"/>
      <c r="M35" s="74">
        <v>0.03</v>
      </c>
      <c r="N35" s="76">
        <v>90.342734394581313</v>
      </c>
      <c r="O35" s="76">
        <v>51.811434582184638</v>
      </c>
      <c r="P35" s="76">
        <v>26.074118848538177</v>
      </c>
      <c r="Q35" s="76">
        <v>20.857019168103076</v>
      </c>
      <c r="R35" s="77">
        <v>17.021440792263991</v>
      </c>
    </row>
    <row r="36" spans="1:24" ht="15" thickBot="1" x14ac:dyDescent="0.35">
      <c r="L36" s="193"/>
      <c r="M36" s="75">
        <v>2.5000000000000001E-2</v>
      </c>
      <c r="N36" s="76">
        <v>78.492571999871032</v>
      </c>
      <c r="O36" s="76">
        <v>47.728875194670998</v>
      </c>
      <c r="P36" s="79">
        <v>25.032746418578956</v>
      </c>
      <c r="Q36" s="76">
        <v>20.197801783114173</v>
      </c>
      <c r="R36" s="77">
        <v>16.589623730052633</v>
      </c>
    </row>
    <row r="37" spans="1:24" ht="17.399999999999999" thickTop="1" thickBot="1" x14ac:dyDescent="0.35">
      <c r="B37" s="16" t="s">
        <v>170</v>
      </c>
      <c r="C37" s="65"/>
      <c r="D37" s="65"/>
      <c r="E37" s="78">
        <f>E33/(E34-E35)</f>
        <v>35639.031727050358</v>
      </c>
      <c r="L37" s="193"/>
      <c r="M37" s="74">
        <v>3.5000000000000003E-2</v>
      </c>
      <c r="N37" s="76">
        <v>106.93296174717581</v>
      </c>
      <c r="O37" s="76">
        <v>56.801229389145753</v>
      </c>
      <c r="P37" s="76">
        <v>27.236292419231621</v>
      </c>
      <c r="Q37" s="76">
        <v>21.57901916118616</v>
      </c>
      <c r="R37" s="77">
        <v>17.48780321945226</v>
      </c>
    </row>
    <row r="38" spans="1:24" x14ac:dyDescent="0.3">
      <c r="M38" s="74">
        <v>4.5000000000000005E-2</v>
      </c>
      <c r="N38" s="76">
        <v>173.29387115755367</v>
      </c>
      <c r="O38" s="76">
        <v>71.057785980463251</v>
      </c>
      <c r="P38" s="76">
        <v>30.018155110084912</v>
      </c>
      <c r="Q38" s="76">
        <v>23.251019145168048</v>
      </c>
      <c r="R38" s="77">
        <v>18.54218783744313</v>
      </c>
    </row>
    <row r="39" spans="1:24" x14ac:dyDescent="0.3">
      <c r="M39" s="66" t="s">
        <v>56</v>
      </c>
    </row>
    <row r="40" spans="1:24" ht="13.2" customHeight="1" x14ac:dyDescent="0.3">
      <c r="A40" s="16" t="s">
        <v>43</v>
      </c>
      <c r="B40" s="183" t="s">
        <v>57</v>
      </c>
      <c r="C40" s="183"/>
      <c r="D40" s="63"/>
      <c r="E40" s="63"/>
      <c r="I40" s="66"/>
    </row>
    <row r="41" spans="1:24" x14ac:dyDescent="0.3">
      <c r="I41" s="66"/>
    </row>
    <row r="42" spans="1:24" x14ac:dyDescent="0.3">
      <c r="B42" t="s">
        <v>51</v>
      </c>
      <c r="E42" s="54">
        <f>SUM(I25:N25)</f>
        <v>6036.9650933404755</v>
      </c>
    </row>
    <row r="43" spans="1:24" ht="14.4" customHeight="1" x14ac:dyDescent="0.3">
      <c r="B43" t="s">
        <v>58</v>
      </c>
      <c r="E43" s="3">
        <f>E37*N23</f>
        <v>18995.781325238484</v>
      </c>
      <c r="J43" s="61"/>
      <c r="K43" s="61"/>
      <c r="M43" s="85" t="s">
        <v>177</v>
      </c>
    </row>
    <row r="44" spans="1:24" ht="14.4" customHeight="1" x14ac:dyDescent="0.3">
      <c r="B44" s="60" t="s">
        <v>59</v>
      </c>
      <c r="C44" s="60"/>
      <c r="D44" s="60"/>
      <c r="E44" s="81">
        <f>E42+E43</f>
        <v>25032.746418578958</v>
      </c>
      <c r="J44" s="61"/>
      <c r="K44" s="61"/>
      <c r="M44" s="183" t="s">
        <v>175</v>
      </c>
      <c r="N44" s="183"/>
      <c r="O44" s="183"/>
      <c r="P44" s="63"/>
      <c r="Q44" s="63"/>
      <c r="R44" s="63"/>
    </row>
    <row r="45" spans="1:24" x14ac:dyDescent="0.3">
      <c r="B45" s="60"/>
      <c r="C45" s="60"/>
      <c r="D45" s="60"/>
      <c r="E45" s="82"/>
      <c r="J45" s="61"/>
      <c r="K45" s="61"/>
      <c r="M45" s="73" t="e">
        <f>#REF!</f>
        <v>#REF!</v>
      </c>
      <c r="N45" s="194" t="s">
        <v>36</v>
      </c>
      <c r="O45" s="194"/>
      <c r="P45" s="194"/>
      <c r="Q45" s="194"/>
      <c r="R45" s="194"/>
      <c r="T45" s="74"/>
      <c r="U45" s="74"/>
      <c r="V45" s="86"/>
      <c r="W45" s="74"/>
      <c r="X45" s="74"/>
    </row>
    <row r="46" spans="1:24" x14ac:dyDescent="0.3">
      <c r="B46" s="83" t="s">
        <v>60</v>
      </c>
      <c r="C46" s="60"/>
      <c r="D46" s="60"/>
      <c r="E46" s="54">
        <v>0</v>
      </c>
      <c r="J46" s="61"/>
      <c r="K46" s="61"/>
      <c r="M46" s="160">
        <f>E50</f>
        <v>25.032746418578956</v>
      </c>
      <c r="N46" s="74">
        <v>0.06</v>
      </c>
      <c r="O46" s="74">
        <v>0.08</v>
      </c>
      <c r="P46" s="75">
        <v>0.12120551293057737</v>
      </c>
      <c r="Q46" s="74">
        <v>0.14000000000000001</v>
      </c>
      <c r="R46" s="74">
        <v>0.16</v>
      </c>
    </row>
    <row r="47" spans="1:24" ht="15" thickBot="1" x14ac:dyDescent="0.35">
      <c r="B47" s="83" t="s">
        <v>61</v>
      </c>
      <c r="C47" s="60"/>
      <c r="D47" s="60"/>
      <c r="E47" s="54">
        <v>0</v>
      </c>
      <c r="J47" s="61"/>
      <c r="K47" s="61"/>
      <c r="L47" s="193" t="s">
        <v>46</v>
      </c>
      <c r="M47" s="74">
        <v>0.1</v>
      </c>
      <c r="N47" s="76">
        <f t="dataTable" ref="N47:R51" dt2D="1" dtr="1" r1="E29" r2="E27" ca="1"/>
        <v>72.567490802515849</v>
      </c>
      <c r="O47" s="76">
        <v>44.326742371742966</v>
      </c>
      <c r="P47" s="76">
        <v>23.449764641475753</v>
      </c>
      <c r="Q47" s="76">
        <v>18.989236577301181</v>
      </c>
      <c r="R47" s="77">
        <v>15.654020095261357</v>
      </c>
    </row>
    <row r="48" spans="1:24" ht="15.6" thickTop="1" thickBot="1" x14ac:dyDescent="0.35">
      <c r="B48" s="132" t="s">
        <v>62</v>
      </c>
      <c r="C48" s="65"/>
      <c r="D48" s="65"/>
      <c r="E48" s="78">
        <f>E44+E46+E47</f>
        <v>25032.746418578958</v>
      </c>
      <c r="F48" s="61"/>
      <c r="G48" s="61"/>
      <c r="H48" s="61"/>
      <c r="I48" s="61"/>
      <c r="J48" s="61"/>
      <c r="K48" s="61"/>
      <c r="L48" s="193"/>
      <c r="M48" s="74">
        <v>0.15</v>
      </c>
      <c r="N48" s="76">
        <v>75.530031401193412</v>
      </c>
      <c r="O48" s="76">
        <v>46.027808783206972</v>
      </c>
      <c r="P48" s="88">
        <v>24.24125553002736</v>
      </c>
      <c r="Q48" s="76">
        <v>19.593519180207672</v>
      </c>
      <c r="R48" s="77">
        <v>16.121821912656994</v>
      </c>
    </row>
    <row r="49" spans="1:18" x14ac:dyDescent="0.3">
      <c r="B49" s="61"/>
      <c r="C49" s="61"/>
      <c r="D49" s="61"/>
      <c r="E49" s="61"/>
      <c r="F49" s="61"/>
      <c r="G49" s="61"/>
      <c r="H49" s="61"/>
      <c r="I49" s="61"/>
      <c r="J49" s="61"/>
      <c r="K49" s="61"/>
      <c r="L49" s="193"/>
      <c r="M49" s="75">
        <v>0.2</v>
      </c>
      <c r="N49" s="76">
        <v>78.492571999871032</v>
      </c>
      <c r="O49" s="76">
        <v>47.728875194670998</v>
      </c>
      <c r="P49" s="87">
        <v>25.032746418578956</v>
      </c>
      <c r="Q49" s="76">
        <v>20.197801783114173</v>
      </c>
      <c r="R49" s="77">
        <v>16.589623730052633</v>
      </c>
    </row>
    <row r="50" spans="1:18" ht="14.4" customHeight="1" x14ac:dyDescent="0.3">
      <c r="B50" s="133" t="s">
        <v>174</v>
      </c>
      <c r="C50" s="133"/>
      <c r="D50" s="133"/>
      <c r="E50" s="159">
        <f>(E48*10^6)/10^9</f>
        <v>25.032746418578956</v>
      </c>
      <c r="F50" s="61"/>
      <c r="G50" s="61"/>
      <c r="H50" s="61"/>
      <c r="I50" s="61"/>
      <c r="J50" s="61"/>
      <c r="K50" s="61"/>
      <c r="L50" s="193"/>
      <c r="M50" s="74">
        <v>0.25</v>
      </c>
      <c r="N50" s="76">
        <v>81.45511259854861</v>
      </c>
      <c r="O50" s="76">
        <v>49.429941606135017</v>
      </c>
      <c r="P50" s="76">
        <v>25.82423730713057</v>
      </c>
      <c r="Q50" s="76">
        <v>20.802084386020667</v>
      </c>
      <c r="R50" s="77">
        <v>17.057425547448275</v>
      </c>
    </row>
    <row r="51" spans="1:18" x14ac:dyDescent="0.3">
      <c r="F51" s="61"/>
      <c r="G51" s="61"/>
      <c r="H51" s="61"/>
      <c r="I51" s="61"/>
      <c r="J51" s="61"/>
      <c r="K51" s="61"/>
      <c r="L51" s="193"/>
      <c r="M51" s="74">
        <v>0.3</v>
      </c>
      <c r="N51" s="76">
        <v>84.417653197226173</v>
      </c>
      <c r="O51" s="76">
        <v>51.131008017599044</v>
      </c>
      <c r="P51" s="76">
        <v>26.615728195682173</v>
      </c>
      <c r="Q51" s="76">
        <v>21.406366988927164</v>
      </c>
      <c r="R51" s="77">
        <v>17.525227364843914</v>
      </c>
    </row>
    <row r="52" spans="1:18" x14ac:dyDescent="0.3">
      <c r="F52" s="61"/>
      <c r="G52" s="61"/>
      <c r="H52" s="61"/>
      <c r="I52" s="61"/>
      <c r="J52" s="61"/>
      <c r="K52" s="61"/>
      <c r="M52" s="80"/>
    </row>
    <row r="53" spans="1:18" x14ac:dyDescent="0.3">
      <c r="F53" s="61"/>
      <c r="G53" s="61"/>
      <c r="H53" s="61"/>
      <c r="I53" s="61"/>
      <c r="J53" s="61"/>
      <c r="K53" s="61"/>
      <c r="M53" s="66" t="s">
        <v>64</v>
      </c>
    </row>
    <row r="54" spans="1:18" x14ac:dyDescent="0.3">
      <c r="F54" s="61"/>
      <c r="G54" s="61"/>
      <c r="H54" s="61"/>
      <c r="I54" s="61"/>
      <c r="J54" s="61"/>
      <c r="K54" s="61"/>
      <c r="L54" s="61"/>
      <c r="M54" s="61"/>
      <c r="N54" s="61"/>
    </row>
    <row r="55" spans="1:18" x14ac:dyDescent="0.3">
      <c r="B55" s="85" t="s">
        <v>178</v>
      </c>
      <c r="I55" s="61"/>
      <c r="J55" s="61"/>
      <c r="K55" s="61"/>
      <c r="L55" s="61"/>
      <c r="M55" s="61"/>
      <c r="N55" s="61"/>
    </row>
    <row r="56" spans="1:18" x14ac:dyDescent="0.3">
      <c r="B56" s="183" t="s">
        <v>175</v>
      </c>
      <c r="C56" s="183"/>
      <c r="D56" s="183"/>
      <c r="E56" s="63"/>
      <c r="F56" s="63"/>
      <c r="G56" s="63"/>
      <c r="I56" s="61"/>
      <c r="J56" s="61"/>
      <c r="K56" s="61"/>
      <c r="L56" s="61"/>
      <c r="M56" s="61"/>
      <c r="N56" s="61"/>
    </row>
    <row r="57" spans="1:18" x14ac:dyDescent="0.3">
      <c r="B57" s="73">
        <f>F81</f>
        <v>0</v>
      </c>
      <c r="C57" s="194" t="s">
        <v>36</v>
      </c>
      <c r="D57" s="194"/>
      <c r="E57" s="194"/>
      <c r="F57" s="194"/>
      <c r="G57" s="194"/>
      <c r="I57" s="61"/>
      <c r="J57" s="61"/>
      <c r="K57" s="61"/>
      <c r="L57" s="61"/>
      <c r="M57" s="61"/>
      <c r="N57" s="61"/>
    </row>
    <row r="58" spans="1:18" x14ac:dyDescent="0.3">
      <c r="B58" s="160">
        <f>E50</f>
        <v>25.032746418578956</v>
      </c>
      <c r="C58" s="74">
        <v>0.06</v>
      </c>
      <c r="D58" s="74">
        <v>0.08</v>
      </c>
      <c r="E58" s="75">
        <v>0.12120551293057737</v>
      </c>
      <c r="F58" s="74">
        <v>0.14000000000000001</v>
      </c>
      <c r="G58" s="74">
        <v>0.16</v>
      </c>
      <c r="I58" s="61"/>
      <c r="J58" s="61"/>
      <c r="K58" s="61"/>
    </row>
    <row r="59" spans="1:18" x14ac:dyDescent="0.3">
      <c r="A59" s="193" t="s">
        <v>48</v>
      </c>
      <c r="B59" s="74">
        <v>0.1</v>
      </c>
      <c r="C59" s="76">
        <f t="dataTable" ref="C59:G63" dt2D="1" dtr="1" r1="E29" r2="I13" ca="1"/>
        <v>93.126780338830002</v>
      </c>
      <c r="D59" s="76">
        <v>56.627479044524911</v>
      </c>
      <c r="E59" s="76">
        <v>29.699868632212322</v>
      </c>
      <c r="F59" s="76">
        <v>23.963493640982914</v>
      </c>
      <c r="G59" s="77">
        <v>19.682604425486172</v>
      </c>
      <c r="I59" s="61"/>
      <c r="J59" s="61"/>
      <c r="K59" s="61"/>
    </row>
    <row r="60" spans="1:18" x14ac:dyDescent="0.3">
      <c r="A60" s="193"/>
      <c r="B60" s="74">
        <v>0.15</v>
      </c>
      <c r="C60" s="76">
        <v>86.474867457485004</v>
      </c>
      <c r="D60" s="76">
        <v>52.582659112773129</v>
      </c>
      <c r="E60" s="88">
        <v>27.578449444197162</v>
      </c>
      <c r="F60" s="76">
        <v>22.251815523769853</v>
      </c>
      <c r="G60" s="77">
        <v>18.276704109380017</v>
      </c>
      <c r="I60" s="61"/>
      <c r="J60" s="61"/>
      <c r="K60" s="61"/>
    </row>
    <row r="61" spans="1:18" x14ac:dyDescent="0.3">
      <c r="A61" s="193"/>
      <c r="B61" s="75">
        <v>0.21</v>
      </c>
      <c r="C61" s="76">
        <v>78.492571999871032</v>
      </c>
      <c r="D61" s="76">
        <v>47.728875194670998</v>
      </c>
      <c r="E61" s="87">
        <v>25.032746418578956</v>
      </c>
      <c r="F61" s="76">
        <v>20.197801783114173</v>
      </c>
      <c r="G61" s="77">
        <v>16.589623730052633</v>
      </c>
      <c r="I61" s="61"/>
      <c r="J61" s="61"/>
      <c r="K61" s="61"/>
    </row>
    <row r="62" spans="1:18" x14ac:dyDescent="0.3">
      <c r="A62" s="193"/>
      <c r="B62" s="74">
        <v>0.25</v>
      </c>
      <c r="C62" s="76">
        <v>73.171041694794994</v>
      </c>
      <c r="D62" s="76">
        <v>44.49301924926958</v>
      </c>
      <c r="E62" s="76">
        <v>23.335611068166827</v>
      </c>
      <c r="F62" s="76">
        <v>18.828459289343723</v>
      </c>
      <c r="G62" s="77">
        <v>15.464903477167711</v>
      </c>
      <c r="I62" s="61"/>
      <c r="J62" s="61"/>
      <c r="K62" s="61"/>
    </row>
    <row r="63" spans="1:18" x14ac:dyDescent="0.3">
      <c r="A63" s="193"/>
      <c r="B63" s="74">
        <v>0.3</v>
      </c>
      <c r="C63" s="76">
        <v>66.519128813449996</v>
      </c>
      <c r="D63" s="76">
        <v>40.448199317517791</v>
      </c>
      <c r="E63" s="76">
        <v>21.214191880151656</v>
      </c>
      <c r="F63" s="76">
        <v>17.116781172130651</v>
      </c>
      <c r="G63" s="77">
        <v>14.05900316106155</v>
      </c>
    </row>
    <row r="64" spans="1:18" x14ac:dyDescent="0.3">
      <c r="B64" s="80"/>
    </row>
    <row r="65" spans="1:14" ht="14.4" customHeight="1" x14ac:dyDescent="0.3">
      <c r="B65" s="66" t="s">
        <v>179</v>
      </c>
      <c r="I65" s="84"/>
      <c r="J65" s="84"/>
      <c r="K65" s="61"/>
    </row>
    <row r="66" spans="1:14" x14ac:dyDescent="0.3">
      <c r="B66" s="84"/>
      <c r="C66" s="84"/>
      <c r="D66" s="84"/>
      <c r="E66" s="84"/>
      <c r="F66" s="84"/>
      <c r="G66" s="84"/>
      <c r="H66" s="84"/>
      <c r="I66" s="84"/>
      <c r="J66" s="84"/>
      <c r="K66" s="61"/>
    </row>
    <row r="67" spans="1:14" x14ac:dyDescent="0.3">
      <c r="B67" s="84"/>
      <c r="C67" s="84"/>
      <c r="D67" s="84"/>
      <c r="E67" s="84"/>
      <c r="F67" s="84"/>
      <c r="G67" s="84"/>
      <c r="H67" s="84"/>
      <c r="I67" s="84"/>
      <c r="J67" s="84"/>
      <c r="K67" s="61"/>
    </row>
    <row r="68" spans="1:14" x14ac:dyDescent="0.3">
      <c r="B68" s="84"/>
      <c r="C68" s="84"/>
      <c r="D68" s="84"/>
      <c r="E68" s="84"/>
      <c r="F68" s="84"/>
      <c r="G68" s="84"/>
      <c r="H68" s="84"/>
      <c r="I68" s="84"/>
      <c r="J68" s="84"/>
    </row>
    <row r="69" spans="1:14" x14ac:dyDescent="0.3">
      <c r="B69" s="85" t="s">
        <v>209</v>
      </c>
      <c r="I69" s="61"/>
      <c r="J69" s="61"/>
      <c r="M69" s="66"/>
    </row>
    <row r="70" spans="1:14" x14ac:dyDescent="0.3">
      <c r="B70" s="183" t="s">
        <v>175</v>
      </c>
      <c r="C70" s="183"/>
      <c r="D70" s="183"/>
      <c r="E70" s="63"/>
      <c r="F70" s="63"/>
      <c r="G70" s="63"/>
      <c r="L70" s="61"/>
      <c r="M70" s="61"/>
      <c r="N70" s="61"/>
    </row>
    <row r="71" spans="1:14" ht="14.4" customHeight="1" x14ac:dyDescent="0.3">
      <c r="B71" s="73">
        <f>F95</f>
        <v>0</v>
      </c>
      <c r="C71" s="194" t="s">
        <v>36</v>
      </c>
      <c r="D71" s="194"/>
      <c r="E71" s="194"/>
      <c r="F71" s="194"/>
      <c r="G71" s="194"/>
      <c r="I71" s="61"/>
      <c r="J71" s="61"/>
      <c r="K71" s="61"/>
      <c r="L71" s="61"/>
    </row>
    <row r="72" spans="1:14" x14ac:dyDescent="0.3">
      <c r="B72" s="160">
        <f>$E$50</f>
        <v>25.032746418578956</v>
      </c>
      <c r="C72" s="74">
        <v>0.06</v>
      </c>
      <c r="D72" s="74">
        <v>0.08</v>
      </c>
      <c r="E72" s="75">
        <v>0.12120551293057737</v>
      </c>
      <c r="F72" s="74">
        <v>0.14000000000000001</v>
      </c>
      <c r="G72" s="74">
        <v>0.16</v>
      </c>
      <c r="I72" s="61"/>
      <c r="J72" s="61"/>
      <c r="K72" s="61"/>
    </row>
    <row r="73" spans="1:14" x14ac:dyDescent="0.3">
      <c r="A73" s="193" t="s">
        <v>210</v>
      </c>
      <c r="B73" s="74">
        <v>0.1</v>
      </c>
      <c r="C73" s="76">
        <f t="dataTable" ref="C73:G77" dt2D="1" dtr="1" r1="E29" r2="I10" ca="1"/>
        <v>8.4257563163703395</v>
      </c>
      <c r="D73" s="76">
        <v>5.1234385802189237</v>
      </c>
      <c r="E73" s="76">
        <v>2.6871309714858786</v>
      </c>
      <c r="F73" s="76">
        <v>2.1681256151365504</v>
      </c>
      <c r="G73" s="77">
        <v>1.7808070670677978</v>
      </c>
    </row>
    <row r="74" spans="1:14" x14ac:dyDescent="0.3">
      <c r="A74" s="193"/>
      <c r="B74" s="74">
        <v>0.2</v>
      </c>
      <c r="C74" s="76">
        <v>43.459164158120679</v>
      </c>
      <c r="D74" s="76">
        <v>26.426156887444964</v>
      </c>
      <c r="E74" s="88">
        <v>13.859938695032421</v>
      </c>
      <c r="F74" s="76">
        <v>11.182963699125363</v>
      </c>
      <c r="G74" s="77">
        <v>9.1852153985602172</v>
      </c>
      <c r="I74" s="61"/>
      <c r="J74" s="61"/>
      <c r="K74" s="61"/>
      <c r="L74" s="61"/>
    </row>
    <row r="75" spans="1:14" x14ac:dyDescent="0.3">
      <c r="A75" s="193"/>
      <c r="B75" s="75">
        <v>0.3</v>
      </c>
      <c r="C75" s="76">
        <v>78.492571999871032</v>
      </c>
      <c r="D75" s="76">
        <v>47.728875194670998</v>
      </c>
      <c r="E75" s="87">
        <v>25.032746418578956</v>
      </c>
      <c r="F75" s="76">
        <v>20.197801783114173</v>
      </c>
      <c r="G75" s="77">
        <v>16.589623730052633</v>
      </c>
    </row>
    <row r="76" spans="1:14" x14ac:dyDescent="0.3">
      <c r="A76" s="193"/>
      <c r="B76" s="74">
        <v>0.4</v>
      </c>
      <c r="C76" s="76">
        <v>113.52597984162135</v>
      </c>
      <c r="D76" s="76">
        <v>69.031593501897049</v>
      </c>
      <c r="E76" s="76">
        <v>36.2055541421255</v>
      </c>
      <c r="F76" s="76">
        <v>29.21263986710299</v>
      </c>
      <c r="G76" s="77">
        <v>23.994032061545056</v>
      </c>
    </row>
    <row r="77" spans="1:14" x14ac:dyDescent="0.3">
      <c r="A77" s="193"/>
      <c r="B77" s="74">
        <v>0.5</v>
      </c>
      <c r="C77" s="76">
        <v>148.55938768337174</v>
      </c>
      <c r="D77" s="76">
        <v>90.334311809123093</v>
      </c>
      <c r="E77" s="76">
        <v>47.378361865672048</v>
      </c>
      <c r="F77" s="76">
        <v>38.227477951091799</v>
      </c>
      <c r="G77" s="77">
        <v>31.398440393037472</v>
      </c>
      <c r="I77" s="61"/>
      <c r="J77" s="61"/>
      <c r="K77" s="61"/>
      <c r="L77" s="61"/>
    </row>
    <row r="78" spans="1:14" x14ac:dyDescent="0.3">
      <c r="B78" s="80"/>
    </row>
    <row r="79" spans="1:14" x14ac:dyDescent="0.3">
      <c r="B79" s="66" t="s">
        <v>211</v>
      </c>
    </row>
    <row r="80" spans="1:14" x14ac:dyDescent="0.3">
      <c r="B80" s="61"/>
      <c r="C80" s="61"/>
      <c r="D80" s="61"/>
      <c r="E80" s="61"/>
      <c r="F80" s="61"/>
      <c r="G80" s="61"/>
      <c r="H80" s="61"/>
      <c r="I80" s="61"/>
      <c r="J80" s="61"/>
      <c r="K80" s="61"/>
      <c r="L80" s="61"/>
    </row>
    <row r="82" spans="1:12" x14ac:dyDescent="0.3">
      <c r="B82" s="85" t="s">
        <v>212</v>
      </c>
    </row>
    <row r="83" spans="1:12" x14ac:dyDescent="0.3">
      <c r="B83" s="183" t="s">
        <v>175</v>
      </c>
      <c r="C83" s="183"/>
      <c r="D83" s="183"/>
      <c r="E83" s="63"/>
      <c r="F83" s="63"/>
      <c r="G83" s="63"/>
      <c r="H83" s="61"/>
      <c r="I83" s="61"/>
      <c r="J83" s="61"/>
      <c r="K83" s="61"/>
      <c r="L83" s="61"/>
    </row>
    <row r="84" spans="1:12" x14ac:dyDescent="0.3">
      <c r="B84" s="73">
        <f>F108</f>
        <v>0</v>
      </c>
      <c r="C84" s="194" t="s">
        <v>36</v>
      </c>
      <c r="D84" s="194"/>
      <c r="E84" s="194"/>
      <c r="F84" s="194"/>
      <c r="G84" s="194"/>
    </row>
    <row r="85" spans="1:12" x14ac:dyDescent="0.3">
      <c r="B85" s="160">
        <f>$E$50</f>
        <v>25.032746418578956</v>
      </c>
      <c r="C85" s="74">
        <v>0.06</v>
      </c>
      <c r="D85" s="74">
        <v>0.08</v>
      </c>
      <c r="E85" s="75">
        <v>0.12120551293057737</v>
      </c>
      <c r="F85" s="74">
        <v>0.14000000000000001</v>
      </c>
      <c r="G85" s="74">
        <v>0.16</v>
      </c>
    </row>
    <row r="86" spans="1:12" ht="14.4" customHeight="1" x14ac:dyDescent="0.3">
      <c r="A86" s="236" t="s">
        <v>213</v>
      </c>
      <c r="B86" s="74">
        <v>0.15</v>
      </c>
      <c r="C86" s="76">
        <f t="dataTable" ref="C86:G90" dt2D="1" dtr="1" r1="E29" r2="I8" ca="1"/>
        <v>36.489796781853052</v>
      </c>
      <c r="D86" s="76">
        <v>22.641796622882321</v>
      </c>
      <c r="E86" s="76">
        <v>12.371297078628288</v>
      </c>
      <c r="F86" s="76">
        <v>10.165570040913227</v>
      </c>
      <c r="G86" s="77">
        <v>8.5102127548073732</v>
      </c>
      <c r="H86" s="61"/>
      <c r="I86" s="61"/>
      <c r="J86" s="61"/>
      <c r="K86" s="61"/>
      <c r="L86" s="61"/>
    </row>
    <row r="87" spans="1:12" x14ac:dyDescent="0.3">
      <c r="A87" s="236"/>
      <c r="B87" s="74">
        <v>0.25</v>
      </c>
      <c r="C87" s="76">
        <v>54.222685713070895</v>
      </c>
      <c r="D87" s="76">
        <v>33.253822072027411</v>
      </c>
      <c r="E87" s="88">
        <v>17.748886904693741</v>
      </c>
      <c r="F87" s="76">
        <v>14.434370585967555</v>
      </c>
      <c r="G87" s="77">
        <v>11.954857105468985</v>
      </c>
      <c r="H87" s="61"/>
      <c r="I87" s="61"/>
      <c r="J87" s="61"/>
    </row>
    <row r="88" spans="1:12" x14ac:dyDescent="0.3">
      <c r="A88" s="236"/>
      <c r="B88" s="75">
        <v>0.35</v>
      </c>
      <c r="C88" s="76">
        <v>78.492571999871032</v>
      </c>
      <c r="D88" s="76">
        <v>47.728875194670998</v>
      </c>
      <c r="E88" s="87">
        <v>25.032746418578956</v>
      </c>
      <c r="F88" s="76">
        <v>20.197801783114173</v>
      </c>
      <c r="G88" s="77">
        <v>16.589623730052633</v>
      </c>
    </row>
    <row r="89" spans="1:12" x14ac:dyDescent="0.3">
      <c r="A89" s="236"/>
      <c r="B89" s="74">
        <v>0.45</v>
      </c>
      <c r="C89" s="76">
        <v>110.97505883182477</v>
      </c>
      <c r="D89" s="76">
        <v>67.050892218693832</v>
      </c>
      <c r="E89" s="76">
        <v>34.702005520836387</v>
      </c>
      <c r="F89" s="76">
        <v>27.829225813494077</v>
      </c>
      <c r="G89" s="77">
        <v>22.70984966720081</v>
      </c>
    </row>
    <row r="90" spans="1:12" x14ac:dyDescent="0.3">
      <c r="A90" s="236"/>
      <c r="B90" s="74">
        <v>0.55000000000000004</v>
      </c>
      <c r="C90" s="76">
        <v>153.61129306673212</v>
      </c>
      <c r="D90" s="76">
        <v>92.359146684797892</v>
      </c>
      <c r="E90" s="76">
        <v>47.310838355280808</v>
      </c>
      <c r="F90" s="76">
        <v>37.760270096230883</v>
      </c>
      <c r="G90" s="77">
        <v>30.656781374757866</v>
      </c>
    </row>
    <row r="91" spans="1:12" x14ac:dyDescent="0.3">
      <c r="B91" s="80"/>
    </row>
    <row r="92" spans="1:12" x14ac:dyDescent="0.3">
      <c r="B92" s="66" t="s">
        <v>211</v>
      </c>
    </row>
  </sheetData>
  <mergeCells count="19">
    <mergeCell ref="A86:A90"/>
    <mergeCell ref="B40:C40"/>
    <mergeCell ref="B70:D70"/>
    <mergeCell ref="C71:G71"/>
    <mergeCell ref="A73:A77"/>
    <mergeCell ref="B83:D83"/>
    <mergeCell ref="B56:D56"/>
    <mergeCell ref="C57:G57"/>
    <mergeCell ref="A59:A63"/>
    <mergeCell ref="M31:N31"/>
    <mergeCell ref="N32:R32"/>
    <mergeCell ref="N45:R45"/>
    <mergeCell ref="L47:L51"/>
    <mergeCell ref="M44:O44"/>
    <mergeCell ref="C84:G84"/>
    <mergeCell ref="B2:J2"/>
    <mergeCell ref="B5:G5"/>
    <mergeCell ref="B31:E31"/>
    <mergeCell ref="L33:L37"/>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A44C8-EBC9-465F-BF3E-405D24B98C85}">
  <sheetPr>
    <tabColor rgb="FF00B0F0"/>
  </sheetPr>
  <dimension ref="B2:K20"/>
  <sheetViews>
    <sheetView showGridLines="0" workbookViewId="0">
      <selection activeCell="C1" sqref="C1"/>
    </sheetView>
  </sheetViews>
  <sheetFormatPr defaultRowHeight="14.4" x14ac:dyDescent="0.3"/>
  <cols>
    <col min="2" max="2" width="26.109375" bestFit="1" customWidth="1"/>
    <col min="3" max="4" width="16.77734375" customWidth="1"/>
    <col min="5" max="5" width="18.33203125" customWidth="1"/>
    <col min="8" max="8" width="30.77734375" customWidth="1"/>
    <col min="9" max="11" width="14.77734375" customWidth="1"/>
  </cols>
  <sheetData>
    <row r="2" spans="2:11" x14ac:dyDescent="0.3">
      <c r="B2" s="164" t="str">
        <f>"Comprehensive Sceario Analysis-DCF Method"&amp;" - "&amp;'Raw Data for Relative Valuation'!B5</f>
        <v>Comprehensive Sceario Analysis-DCF Method - Open AI</v>
      </c>
      <c r="C2" s="164"/>
      <c r="D2" s="164"/>
      <c r="E2" s="164"/>
      <c r="F2" s="50"/>
      <c r="G2" s="50"/>
      <c r="H2" s="50"/>
      <c r="I2" s="50"/>
    </row>
    <row r="4" spans="2:11" x14ac:dyDescent="0.3">
      <c r="B4" s="55" t="s">
        <v>183</v>
      </c>
    </row>
    <row r="5" spans="2:11" x14ac:dyDescent="0.3">
      <c r="B5" s="55" t="s">
        <v>65</v>
      </c>
      <c r="C5" s="51" t="s">
        <v>66</v>
      </c>
      <c r="D5" s="51" t="s">
        <v>67</v>
      </c>
      <c r="E5" s="51" t="s">
        <v>68</v>
      </c>
      <c r="H5" s="57"/>
      <c r="I5" s="57"/>
      <c r="J5" s="57"/>
      <c r="K5" s="57"/>
    </row>
    <row r="6" spans="2:11" x14ac:dyDescent="0.3">
      <c r="B6" s="56" t="s">
        <v>36</v>
      </c>
      <c r="C6" s="90">
        <f>'DCF &amp;Sensitivity Analysis'!P49</f>
        <v>25.032746418578956</v>
      </c>
      <c r="D6" s="90">
        <f>'DCF &amp;Sensitivity Analysis'!N36</f>
        <v>78.492571999871032</v>
      </c>
      <c r="E6" s="90">
        <f>'DCF &amp;Sensitivity Analysis'!R36</f>
        <v>16.589623730052633</v>
      </c>
    </row>
    <row r="7" spans="2:11" x14ac:dyDescent="0.3">
      <c r="B7" t="s">
        <v>54</v>
      </c>
      <c r="C7" s="90">
        <f>'DCF &amp;Sensitivity Analysis'!P36</f>
        <v>25.032746418578956</v>
      </c>
      <c r="D7" s="90">
        <f>'DCF &amp;Sensitivity Analysis'!P38</f>
        <v>30.018155110084912</v>
      </c>
      <c r="E7" s="90">
        <f>'DCF &amp;Sensitivity Analysis'!P34</f>
        <v>24.094270797282086</v>
      </c>
    </row>
    <row r="8" spans="2:11" x14ac:dyDescent="0.3">
      <c r="B8" t="s">
        <v>46</v>
      </c>
      <c r="C8" s="90">
        <f>'DCF &amp;Sensitivity Analysis'!P49</f>
        <v>25.032746418578956</v>
      </c>
      <c r="D8" s="90">
        <f>'DCF &amp;Sensitivity Analysis'!P51</f>
        <v>26.615728195682173</v>
      </c>
      <c r="E8" s="90">
        <f>'DCF &amp;Sensitivity Analysis'!P47</f>
        <v>23.449764641475753</v>
      </c>
    </row>
    <row r="9" spans="2:11" x14ac:dyDescent="0.3">
      <c r="B9" t="s">
        <v>213</v>
      </c>
      <c r="C9" s="90">
        <f>'DCF &amp;Sensitivity Analysis'!E88</f>
        <v>25.032746418578956</v>
      </c>
      <c r="D9" s="90">
        <f>'DCF &amp;Sensitivity Analysis'!E90</f>
        <v>47.310838355280808</v>
      </c>
      <c r="E9" s="90">
        <f>'DCF &amp;Sensitivity Analysis'!E86</f>
        <v>12.371297078628288</v>
      </c>
    </row>
    <row r="10" spans="2:11" x14ac:dyDescent="0.3">
      <c r="B10" t="s">
        <v>210</v>
      </c>
      <c r="C10" s="90">
        <f>'DCF &amp;Sensitivity Analysis'!E75</f>
        <v>25.032746418578956</v>
      </c>
      <c r="D10" s="90">
        <f>'DCF &amp;Sensitivity Analysis'!E77</f>
        <v>47.378361865672048</v>
      </c>
      <c r="E10" s="90">
        <f>'DCF &amp;Sensitivity Analysis'!E73</f>
        <v>2.6871309714858786</v>
      </c>
    </row>
    <row r="11" spans="2:11" x14ac:dyDescent="0.3">
      <c r="B11" t="s">
        <v>48</v>
      </c>
      <c r="C11" s="90">
        <f>'DCF &amp;Sensitivity Analysis'!E61</f>
        <v>25.032746418578956</v>
      </c>
      <c r="D11" s="90">
        <f>'DCF &amp;Sensitivity Analysis'!E59</f>
        <v>29.699868632212322</v>
      </c>
      <c r="E11" s="90">
        <f>'DCF &amp;Sensitivity Analysis'!E63</f>
        <v>21.214191880151656</v>
      </c>
    </row>
    <row r="12" spans="2:11" x14ac:dyDescent="0.3">
      <c r="C12" s="90"/>
      <c r="D12" s="90"/>
      <c r="E12" s="90"/>
    </row>
    <row r="13" spans="2:11" x14ac:dyDescent="0.3">
      <c r="B13" s="53" t="s">
        <v>42</v>
      </c>
    </row>
    <row r="14" spans="2:11" ht="14.4" customHeight="1" x14ac:dyDescent="0.3">
      <c r="B14" s="174" t="s">
        <v>214</v>
      </c>
      <c r="C14" s="174"/>
      <c r="D14" s="174"/>
      <c r="E14" s="174"/>
      <c r="F14" s="174"/>
      <c r="G14" s="91"/>
    </row>
    <row r="15" spans="2:11" x14ac:dyDescent="0.3">
      <c r="B15" s="174"/>
      <c r="C15" s="174"/>
      <c r="D15" s="174"/>
      <c r="E15" s="174"/>
      <c r="F15" s="174"/>
      <c r="G15" s="91"/>
    </row>
    <row r="16" spans="2:11" x14ac:dyDescent="0.3">
      <c r="B16" s="174"/>
      <c r="C16" s="174"/>
      <c r="D16" s="174"/>
      <c r="E16" s="174"/>
      <c r="F16" s="174"/>
      <c r="G16" s="91"/>
    </row>
    <row r="17" spans="2:10" x14ac:dyDescent="0.3">
      <c r="B17" s="174"/>
      <c r="C17" s="174"/>
      <c r="D17" s="174"/>
      <c r="E17" s="174"/>
      <c r="F17" s="174"/>
      <c r="G17" s="91"/>
    </row>
    <row r="19" spans="2:10" x14ac:dyDescent="0.3">
      <c r="I19" s="92"/>
      <c r="J19" s="85" t="s">
        <v>67</v>
      </c>
    </row>
    <row r="20" spans="2:10" x14ac:dyDescent="0.3">
      <c r="I20" s="93"/>
      <c r="J20" s="85" t="s">
        <v>68</v>
      </c>
    </row>
  </sheetData>
  <mergeCells count="2">
    <mergeCell ref="B2:E2"/>
    <mergeCell ref="B14:F17"/>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A3BB8-0DF8-4210-BAC1-8307B02F9371}">
  <sheetPr>
    <tabColor theme="4"/>
  </sheetPr>
  <dimension ref="B1:S43"/>
  <sheetViews>
    <sheetView showGridLines="0" workbookViewId="0">
      <selection activeCell="B1" sqref="B1"/>
    </sheetView>
  </sheetViews>
  <sheetFormatPr defaultRowHeight="14.4" x14ac:dyDescent="0.3"/>
  <cols>
    <col min="1" max="1" width="5.5546875" customWidth="1"/>
    <col min="2" max="2" width="43.21875" customWidth="1"/>
    <col min="3" max="3" width="12.5546875" bestFit="1" customWidth="1"/>
    <col min="4" max="4" width="12.5546875" customWidth="1"/>
    <col min="5" max="5" width="18.77734375" customWidth="1"/>
    <col min="6" max="7" width="14.77734375" customWidth="1"/>
    <col min="8" max="8" width="12.44140625" customWidth="1"/>
    <col min="9" max="9" width="15.44140625" customWidth="1"/>
    <col min="10" max="10" width="17.44140625" customWidth="1"/>
    <col min="11" max="11" width="19.21875" customWidth="1"/>
    <col min="12" max="12" width="11.88671875" customWidth="1"/>
    <col min="13" max="13" width="14" customWidth="1"/>
    <col min="15" max="16" width="10.6640625" customWidth="1"/>
    <col min="17" max="17" width="23.5546875" customWidth="1"/>
    <col min="18" max="18" width="12.5546875" customWidth="1"/>
    <col min="19" max="19" width="18.33203125" customWidth="1"/>
  </cols>
  <sheetData>
    <row r="1" spans="2:19" ht="15" thickBot="1" x14ac:dyDescent="0.35"/>
    <row r="2" spans="2:19" x14ac:dyDescent="0.3">
      <c r="C2" s="94" t="s">
        <v>107</v>
      </c>
      <c r="D2" s="60"/>
      <c r="F2" s="126" t="s">
        <v>108</v>
      </c>
      <c r="G2" s="196" t="s">
        <v>107</v>
      </c>
      <c r="H2" s="197"/>
      <c r="I2" s="198" t="s">
        <v>107</v>
      </c>
      <c r="J2" s="199"/>
      <c r="K2" s="199"/>
      <c r="L2" s="200"/>
    </row>
    <row r="3" spans="2:19" ht="46.8" customHeight="1" x14ac:dyDescent="0.3">
      <c r="B3" s="95" t="s">
        <v>37</v>
      </c>
      <c r="C3" s="95" t="s">
        <v>69</v>
      </c>
      <c r="D3" s="96" t="s">
        <v>110</v>
      </c>
      <c r="E3" s="96" t="s">
        <v>114</v>
      </c>
      <c r="F3" s="96" t="s">
        <v>70</v>
      </c>
      <c r="G3" s="96" t="s">
        <v>62</v>
      </c>
      <c r="H3" s="96" t="s">
        <v>59</v>
      </c>
      <c r="I3" s="96" t="s">
        <v>87</v>
      </c>
      <c r="J3" s="96" t="s">
        <v>116</v>
      </c>
      <c r="K3" s="96" t="s">
        <v>71</v>
      </c>
      <c r="L3" s="96" t="s">
        <v>117</v>
      </c>
      <c r="M3" s="96" t="s">
        <v>72</v>
      </c>
      <c r="N3" s="96" t="s">
        <v>73</v>
      </c>
      <c r="O3" s="96" t="s">
        <v>74</v>
      </c>
      <c r="P3" s="96" t="s">
        <v>77</v>
      </c>
      <c r="Q3" s="96" t="s">
        <v>75</v>
      </c>
      <c r="R3" s="96" t="s">
        <v>115</v>
      </c>
      <c r="S3" s="96" t="s">
        <v>76</v>
      </c>
    </row>
    <row r="4" spans="2:19" ht="18" customHeight="1" x14ac:dyDescent="0.3">
      <c r="B4" s="97"/>
      <c r="C4" s="139" t="s">
        <v>40</v>
      </c>
      <c r="D4" s="97"/>
      <c r="E4" s="98"/>
      <c r="F4" s="98"/>
      <c r="G4" s="98"/>
      <c r="H4" s="98"/>
      <c r="I4" s="98"/>
      <c r="J4" s="98"/>
      <c r="K4" s="98"/>
      <c r="L4" s="98"/>
      <c r="M4" s="98"/>
      <c r="N4" s="98"/>
      <c r="O4" s="98"/>
      <c r="P4" s="98"/>
    </row>
    <row r="5" spans="2:19" ht="18" customHeight="1" x14ac:dyDescent="0.3">
      <c r="B5" s="60" t="s">
        <v>125</v>
      </c>
      <c r="C5" s="101">
        <f>157*10^9/10^6</f>
        <v>157000</v>
      </c>
      <c r="D5" s="201" t="s">
        <v>119</v>
      </c>
      <c r="E5" s="201"/>
      <c r="F5" s="201"/>
      <c r="G5" s="201"/>
      <c r="H5" s="201"/>
      <c r="I5" s="3">
        <f>3.6*10^9/10^6</f>
        <v>3600</v>
      </c>
      <c r="J5" s="3">
        <f>-5*10^9/10^6</f>
        <v>-5000</v>
      </c>
      <c r="K5" s="195" t="s">
        <v>119</v>
      </c>
      <c r="L5" s="195"/>
      <c r="M5" s="195"/>
      <c r="N5" s="195"/>
      <c r="O5" s="195"/>
      <c r="P5" s="195"/>
      <c r="Q5" s="195"/>
      <c r="R5" s="195"/>
      <c r="S5" s="195"/>
    </row>
    <row r="6" spans="2:19" x14ac:dyDescent="0.3">
      <c r="C6" s="3"/>
      <c r="D6" s="3"/>
      <c r="E6" s="3"/>
      <c r="F6" s="3"/>
      <c r="G6" s="3"/>
      <c r="H6" s="54"/>
      <c r="I6" s="3"/>
      <c r="J6" s="99"/>
      <c r="K6" s="100"/>
      <c r="L6" s="3"/>
      <c r="M6" s="3"/>
      <c r="N6" s="3"/>
      <c r="O6" s="3"/>
      <c r="P6" s="3"/>
      <c r="Q6" s="3"/>
      <c r="R6" s="3"/>
    </row>
    <row r="7" spans="2:19" ht="18" customHeight="1" x14ac:dyDescent="0.3">
      <c r="B7" t="s">
        <v>144</v>
      </c>
      <c r="C7" s="136">
        <v>2408662</v>
      </c>
      <c r="D7" s="136">
        <v>314119</v>
      </c>
      <c r="E7" s="137">
        <v>197.57</v>
      </c>
      <c r="F7" s="137">
        <v>12384</v>
      </c>
      <c r="G7" s="137">
        <f>(F7*E7)</f>
        <v>2446706.88</v>
      </c>
      <c r="H7" s="138">
        <v>2344721</v>
      </c>
      <c r="I7" s="137">
        <v>339859</v>
      </c>
      <c r="J7" s="137">
        <v>94269</v>
      </c>
      <c r="K7" s="104">
        <v>0.36330000000000001</v>
      </c>
      <c r="L7" s="137">
        <v>123470</v>
      </c>
      <c r="M7" s="138">
        <f>H7/F7</f>
        <v>189.33470607235142</v>
      </c>
      <c r="N7" s="137">
        <f>H7/I7</f>
        <v>6.8990993323701888</v>
      </c>
      <c r="O7" s="137">
        <f>H7/L7</f>
        <v>18.990208147728193</v>
      </c>
      <c r="P7" s="137">
        <v>21.5</v>
      </c>
      <c r="Q7" s="137">
        <v>25.55</v>
      </c>
      <c r="R7" s="137">
        <v>6.03</v>
      </c>
      <c r="S7" s="137">
        <v>6.52</v>
      </c>
    </row>
    <row r="8" spans="2:19" x14ac:dyDescent="0.3">
      <c r="B8" t="s">
        <v>145</v>
      </c>
      <c r="C8" s="136">
        <v>1534258</v>
      </c>
      <c r="D8" s="136">
        <v>164529</v>
      </c>
      <c r="E8" s="59">
        <v>607.75</v>
      </c>
      <c r="F8" s="59">
        <v>2543</v>
      </c>
      <c r="G8" s="137">
        <f>(F8*E8)</f>
        <v>1545508.25</v>
      </c>
      <c r="H8" s="112">
        <v>1512405</v>
      </c>
      <c r="I8" s="112">
        <v>156227</v>
      </c>
      <c r="J8" s="112">
        <v>55539</v>
      </c>
      <c r="K8" s="104">
        <v>0.50700000000000001</v>
      </c>
      <c r="L8" s="59">
        <v>79209</v>
      </c>
      <c r="M8" s="138">
        <f>H8/F8</f>
        <v>594.73259929217454</v>
      </c>
      <c r="N8" s="137">
        <f>H8/I8</f>
        <v>9.6808170162647933</v>
      </c>
      <c r="O8" s="137">
        <f>H8/L8</f>
        <v>19.093852971253266</v>
      </c>
      <c r="P8" s="137">
        <v>23.27</v>
      </c>
      <c r="Q8" s="59">
        <v>28.7</v>
      </c>
      <c r="R8" s="59">
        <v>9.89</v>
      </c>
      <c r="S8" s="137">
        <v>9.32</v>
      </c>
    </row>
    <row r="9" spans="2:19" x14ac:dyDescent="0.3">
      <c r="B9" t="s">
        <v>143</v>
      </c>
      <c r="C9" s="136">
        <v>3266366</v>
      </c>
      <c r="D9" s="137">
        <v>287723</v>
      </c>
      <c r="E9" s="59">
        <v>439.33</v>
      </c>
      <c r="F9" s="59">
        <v>7436</v>
      </c>
      <c r="G9" s="137">
        <f>(F9*E9)</f>
        <v>3266857.88</v>
      </c>
      <c r="H9" s="112">
        <v>3284775</v>
      </c>
      <c r="I9" s="59">
        <v>254190</v>
      </c>
      <c r="J9" s="59">
        <v>90512</v>
      </c>
      <c r="K9" s="104">
        <v>0.53720000000000001</v>
      </c>
      <c r="L9" s="59">
        <v>136552</v>
      </c>
      <c r="M9" s="138">
        <f>H9/F9</f>
        <v>441.73951048951051</v>
      </c>
      <c r="N9" s="137">
        <f>H9/I9</f>
        <v>12.922518588457454</v>
      </c>
      <c r="O9" s="137">
        <f>H9/L9</f>
        <v>24.055121858339682</v>
      </c>
      <c r="P9" s="137">
        <v>29.05</v>
      </c>
      <c r="Q9" s="59">
        <v>36.28</v>
      </c>
      <c r="R9" s="59">
        <v>12.85</v>
      </c>
      <c r="S9" s="137">
        <v>11.35</v>
      </c>
    </row>
    <row r="10" spans="2:19" x14ac:dyDescent="0.3">
      <c r="C10" s="101"/>
      <c r="D10" s="102"/>
      <c r="E10" s="3"/>
      <c r="F10" s="3"/>
      <c r="G10" s="102"/>
      <c r="H10" s="54"/>
      <c r="I10" s="3"/>
      <c r="J10" s="3"/>
      <c r="K10" s="104"/>
      <c r="L10" s="3"/>
      <c r="M10" s="103"/>
      <c r="N10" s="102"/>
      <c r="O10" s="102"/>
      <c r="P10" s="102"/>
      <c r="Q10" s="8"/>
    </row>
    <row r="11" spans="2:19" x14ac:dyDescent="0.3">
      <c r="B11" s="91"/>
      <c r="C11" s="91"/>
      <c r="D11" s="91"/>
      <c r="E11" s="91"/>
      <c r="F11" s="91"/>
      <c r="G11" s="91"/>
      <c r="N11" s="54"/>
    </row>
    <row r="12" spans="2:19" x14ac:dyDescent="0.3">
      <c r="B12" s="53" t="s">
        <v>38</v>
      </c>
      <c r="K12" s="54"/>
    </row>
    <row r="13" spans="2:19" x14ac:dyDescent="0.3">
      <c r="B13" s="174" t="s">
        <v>123</v>
      </c>
      <c r="C13" s="174"/>
      <c r="D13" s="174"/>
      <c r="E13" s="174"/>
      <c r="F13" s="174"/>
      <c r="G13" s="174"/>
      <c r="J13" s="53"/>
    </row>
    <row r="14" spans="2:19" x14ac:dyDescent="0.3">
      <c r="B14" s="174"/>
      <c r="C14" s="174"/>
      <c r="D14" s="174"/>
      <c r="E14" s="174"/>
      <c r="F14" s="174"/>
      <c r="G14" s="174"/>
      <c r="J14" s="84"/>
      <c r="K14" s="84"/>
      <c r="L14" s="84"/>
      <c r="M14" s="84"/>
      <c r="N14" s="84"/>
      <c r="O14" s="84"/>
      <c r="P14" s="84"/>
    </row>
    <row r="15" spans="2:19" x14ac:dyDescent="0.3">
      <c r="B15" s="174"/>
      <c r="C15" s="174"/>
      <c r="D15" s="174"/>
      <c r="E15" s="174"/>
      <c r="F15" s="174"/>
      <c r="G15" s="174"/>
      <c r="J15" s="84"/>
      <c r="K15" s="84"/>
      <c r="L15" s="84"/>
      <c r="M15" s="84"/>
      <c r="N15" s="84"/>
      <c r="O15" s="84"/>
      <c r="P15" s="84"/>
    </row>
    <row r="16" spans="2:19" x14ac:dyDescent="0.3">
      <c r="J16" s="84"/>
      <c r="K16" s="84"/>
      <c r="L16" s="84"/>
      <c r="M16" s="84"/>
      <c r="N16" s="84"/>
      <c r="O16" s="84"/>
      <c r="P16" s="84"/>
    </row>
    <row r="17" spans="2:16" x14ac:dyDescent="0.3">
      <c r="J17" s="84"/>
      <c r="K17" s="84"/>
      <c r="L17" s="84"/>
      <c r="M17" s="84"/>
      <c r="N17" s="84"/>
      <c r="O17" s="84"/>
      <c r="P17" s="84"/>
    </row>
    <row r="18" spans="2:16" x14ac:dyDescent="0.3">
      <c r="B18" s="53" t="s">
        <v>39</v>
      </c>
      <c r="J18" s="84"/>
      <c r="K18" s="84"/>
      <c r="L18" s="84"/>
      <c r="M18" s="84"/>
      <c r="N18" s="84"/>
      <c r="O18" s="84"/>
      <c r="P18" s="84"/>
    </row>
    <row r="19" spans="2:16" x14ac:dyDescent="0.3">
      <c r="B19" s="174" t="s">
        <v>122</v>
      </c>
      <c r="C19" s="174"/>
      <c r="D19" s="174"/>
      <c r="E19" s="174"/>
      <c r="F19" s="174"/>
      <c r="G19" s="174"/>
      <c r="H19" s="174"/>
      <c r="J19" s="84"/>
      <c r="K19" s="84"/>
      <c r="L19" s="84"/>
      <c r="M19" s="84"/>
      <c r="N19" s="84"/>
      <c r="O19" s="84"/>
      <c r="P19" s="84"/>
    </row>
    <row r="20" spans="2:16" x14ac:dyDescent="0.3">
      <c r="B20" s="174"/>
      <c r="C20" s="174"/>
      <c r="D20" s="174"/>
      <c r="E20" s="174"/>
      <c r="F20" s="174"/>
      <c r="G20" s="174"/>
      <c r="H20" s="174"/>
      <c r="J20" s="84"/>
      <c r="K20" s="84"/>
      <c r="L20" s="84"/>
      <c r="M20" s="84"/>
      <c r="N20" s="84"/>
      <c r="O20" s="84"/>
      <c r="P20" s="84"/>
    </row>
    <row r="21" spans="2:16" x14ac:dyDescent="0.3">
      <c r="B21" s="174"/>
      <c r="C21" s="174"/>
      <c r="D21" s="174"/>
      <c r="E21" s="174"/>
      <c r="F21" s="174"/>
      <c r="G21" s="174"/>
      <c r="H21" s="174"/>
      <c r="J21" s="84"/>
      <c r="K21" s="84"/>
      <c r="L21" s="84"/>
      <c r="M21" s="84"/>
      <c r="N21" s="84"/>
      <c r="O21" s="84"/>
      <c r="P21" s="84"/>
    </row>
    <row r="22" spans="2:16" x14ac:dyDescent="0.3">
      <c r="B22" s="174"/>
      <c r="C22" s="174"/>
      <c r="D22" s="174"/>
      <c r="E22" s="174"/>
      <c r="F22" s="174"/>
      <c r="G22" s="174"/>
      <c r="H22" s="174"/>
      <c r="J22" s="84"/>
      <c r="K22" s="84"/>
      <c r="L22" s="84"/>
      <c r="M22" s="84"/>
      <c r="N22" s="84"/>
      <c r="O22" s="84"/>
      <c r="P22" s="84"/>
    </row>
    <row r="23" spans="2:16" x14ac:dyDescent="0.3">
      <c r="B23" s="174"/>
      <c r="C23" s="174"/>
      <c r="D23" s="174"/>
      <c r="E23" s="174"/>
      <c r="F23" s="174"/>
      <c r="G23" s="174"/>
      <c r="H23" s="174"/>
      <c r="J23" s="84"/>
      <c r="K23" s="84"/>
      <c r="L23" s="84"/>
      <c r="M23" s="84"/>
      <c r="N23" s="84"/>
      <c r="O23" s="84"/>
      <c r="P23" s="84"/>
    </row>
    <row r="24" spans="2:16" x14ac:dyDescent="0.3">
      <c r="B24" s="174"/>
      <c r="C24" s="174"/>
      <c r="D24" s="174"/>
      <c r="E24" s="174"/>
      <c r="F24" s="174"/>
      <c r="G24" s="174"/>
      <c r="H24" s="174"/>
      <c r="J24" s="84"/>
      <c r="K24" s="84"/>
      <c r="L24" s="84"/>
      <c r="M24" s="84"/>
      <c r="N24" s="84"/>
      <c r="O24" s="84"/>
      <c r="P24" s="84"/>
    </row>
    <row r="25" spans="2:16" x14ac:dyDescent="0.3">
      <c r="B25" s="174"/>
      <c r="C25" s="174"/>
      <c r="D25" s="174"/>
      <c r="E25" s="174"/>
      <c r="F25" s="174"/>
      <c r="G25" s="174"/>
      <c r="H25" s="174"/>
    </row>
    <row r="26" spans="2:16" x14ac:dyDescent="0.3">
      <c r="B26" s="174"/>
      <c r="C26" s="174"/>
      <c r="D26" s="174"/>
      <c r="E26" s="174"/>
      <c r="F26" s="174"/>
      <c r="G26" s="174"/>
      <c r="H26" s="174"/>
    </row>
    <row r="27" spans="2:16" x14ac:dyDescent="0.3">
      <c r="B27" s="174"/>
      <c r="C27" s="174"/>
      <c r="D27" s="174"/>
      <c r="E27" s="174"/>
      <c r="F27" s="174"/>
      <c r="G27" s="174"/>
      <c r="H27" s="174"/>
    </row>
    <row r="28" spans="2:16" x14ac:dyDescent="0.3">
      <c r="B28" s="174"/>
      <c r="C28" s="174"/>
      <c r="D28" s="174"/>
      <c r="E28" s="174"/>
      <c r="F28" s="174"/>
      <c r="G28" s="174"/>
      <c r="H28" s="174"/>
    </row>
    <row r="29" spans="2:16" x14ac:dyDescent="0.3">
      <c r="B29" s="174"/>
      <c r="C29" s="174"/>
      <c r="D29" s="174"/>
      <c r="E29" s="174"/>
      <c r="F29" s="174"/>
      <c r="G29" s="174"/>
      <c r="H29" s="174"/>
    </row>
    <row r="32" spans="2:16" x14ac:dyDescent="0.3">
      <c r="B32" s="53" t="s">
        <v>40</v>
      </c>
    </row>
    <row r="33" spans="2:8" x14ac:dyDescent="0.3">
      <c r="B33" s="174" t="s">
        <v>124</v>
      </c>
      <c r="C33" s="174"/>
      <c r="D33" s="174"/>
      <c r="E33" s="174"/>
      <c r="F33" s="174"/>
      <c r="G33" s="174"/>
      <c r="H33" s="174"/>
    </row>
    <row r="34" spans="2:8" x14ac:dyDescent="0.3">
      <c r="B34" s="174"/>
      <c r="C34" s="174"/>
      <c r="D34" s="174"/>
      <c r="E34" s="174"/>
      <c r="F34" s="174"/>
      <c r="G34" s="174"/>
      <c r="H34" s="174"/>
    </row>
    <row r="35" spans="2:8" x14ac:dyDescent="0.3">
      <c r="B35" s="174"/>
      <c r="C35" s="174"/>
      <c r="D35" s="174"/>
      <c r="E35" s="174"/>
      <c r="F35" s="174"/>
      <c r="G35" s="174"/>
      <c r="H35" s="174"/>
    </row>
    <row r="36" spans="2:8" x14ac:dyDescent="0.3">
      <c r="B36" s="174"/>
      <c r="C36" s="174"/>
      <c r="D36" s="174"/>
      <c r="E36" s="174"/>
      <c r="F36" s="174"/>
      <c r="G36" s="174"/>
      <c r="H36" s="174"/>
    </row>
    <row r="37" spans="2:8" x14ac:dyDescent="0.3">
      <c r="B37" s="174"/>
      <c r="C37" s="174"/>
      <c r="D37" s="174"/>
      <c r="E37" s="174"/>
      <c r="F37" s="174"/>
      <c r="G37" s="174"/>
      <c r="H37" s="174"/>
    </row>
    <row r="38" spans="2:8" x14ac:dyDescent="0.3">
      <c r="B38" s="174"/>
      <c r="C38" s="174"/>
      <c r="D38" s="174"/>
      <c r="E38" s="174"/>
      <c r="F38" s="174"/>
      <c r="G38" s="174"/>
      <c r="H38" s="174"/>
    </row>
    <row r="39" spans="2:8" x14ac:dyDescent="0.3">
      <c r="B39" s="174"/>
      <c r="C39" s="174"/>
      <c r="D39" s="174"/>
      <c r="E39" s="174"/>
      <c r="F39" s="174"/>
      <c r="G39" s="174"/>
      <c r="H39" s="174"/>
    </row>
    <row r="40" spans="2:8" x14ac:dyDescent="0.3">
      <c r="B40" s="174"/>
      <c r="C40" s="174"/>
      <c r="D40" s="174"/>
      <c r="E40" s="174"/>
      <c r="F40" s="174"/>
      <c r="G40" s="174"/>
      <c r="H40" s="174"/>
    </row>
    <row r="41" spans="2:8" x14ac:dyDescent="0.3">
      <c r="B41" s="174"/>
      <c r="C41" s="174"/>
      <c r="D41" s="174"/>
      <c r="E41" s="174"/>
      <c r="F41" s="174"/>
      <c r="G41" s="174"/>
      <c r="H41" s="174"/>
    </row>
    <row r="42" spans="2:8" x14ac:dyDescent="0.3">
      <c r="B42" s="174"/>
      <c r="C42" s="174"/>
      <c r="D42" s="174"/>
      <c r="E42" s="174"/>
      <c r="F42" s="174"/>
      <c r="G42" s="174"/>
      <c r="H42" s="174"/>
    </row>
    <row r="43" spans="2:8" x14ac:dyDescent="0.3">
      <c r="B43" s="174"/>
      <c r="C43" s="174"/>
      <c r="D43" s="174"/>
      <c r="E43" s="174"/>
      <c r="F43" s="174"/>
      <c r="G43" s="174"/>
      <c r="H43" s="174"/>
    </row>
  </sheetData>
  <mergeCells count="7">
    <mergeCell ref="B33:H43"/>
    <mergeCell ref="K5:S5"/>
    <mergeCell ref="G2:H2"/>
    <mergeCell ref="I2:L2"/>
    <mergeCell ref="B13:G15"/>
    <mergeCell ref="B19:H29"/>
    <mergeCell ref="D5:H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214B7-D7DD-473E-931C-343E37AE6137}">
  <sheetPr>
    <tabColor theme="3" tint="-0.249977111117893"/>
  </sheetPr>
  <dimension ref="B2:AB47"/>
  <sheetViews>
    <sheetView showGridLines="0" workbookViewId="0"/>
  </sheetViews>
  <sheetFormatPr defaultRowHeight="14.4" x14ac:dyDescent="0.3"/>
  <cols>
    <col min="1" max="1" width="5.109375" customWidth="1"/>
    <col min="2" max="2" width="41.21875" customWidth="1"/>
    <col min="3" max="3" width="17.6640625" customWidth="1"/>
    <col min="4" max="4" width="7.6640625" customWidth="1"/>
    <col min="5" max="5" width="13.88671875" customWidth="1"/>
    <col min="6" max="6" width="12.33203125" customWidth="1"/>
    <col min="7" max="7" width="15.88671875" customWidth="1"/>
    <col min="8" max="8" width="4.44140625" customWidth="1"/>
    <col min="9" max="9" width="14.33203125" customWidth="1"/>
    <col min="10" max="10" width="13.109375" bestFit="1" customWidth="1"/>
    <col min="11" max="11" width="9.88671875" customWidth="1"/>
    <col min="12" max="12" width="3.44140625" customWidth="1"/>
    <col min="13" max="13" width="17.109375" customWidth="1"/>
    <col min="14" max="14" width="26.44140625" customWidth="1"/>
    <col min="15" max="15" width="19.6640625" customWidth="1"/>
    <col min="16" max="16" width="23.21875" customWidth="1"/>
    <col min="17" max="17" width="18" customWidth="1"/>
    <col min="18" max="18" width="10.44140625" bestFit="1" customWidth="1"/>
  </cols>
  <sheetData>
    <row r="2" spans="2:17" ht="15" thickBot="1" x14ac:dyDescent="0.35">
      <c r="B2" s="105" t="s">
        <v>107</v>
      </c>
      <c r="C2" s="105"/>
      <c r="D2" s="105"/>
      <c r="E2" s="105"/>
    </row>
    <row r="3" spans="2:17" x14ac:dyDescent="0.3">
      <c r="B3" s="164" t="str">
        <f>"Comparable Company Valuation (Relative Valuation)"&amp;" - "&amp;WACC!$B$12</f>
        <v>Comparable Company Valuation (Relative Valuation) - Open AI</v>
      </c>
      <c r="C3" s="164"/>
      <c r="D3" s="164"/>
      <c r="E3" s="164"/>
      <c r="F3" s="164"/>
      <c r="G3" s="50"/>
      <c r="H3" s="50"/>
      <c r="I3" s="8"/>
      <c r="J3" s="8"/>
    </row>
    <row r="4" spans="2:17" ht="7.8" customHeight="1" x14ac:dyDescent="0.3"/>
    <row r="5" spans="2:17" ht="15" thickBot="1" x14ac:dyDescent="0.35">
      <c r="B5" s="55"/>
      <c r="C5" s="55"/>
      <c r="D5" s="212" t="s">
        <v>78</v>
      </c>
      <c r="E5" s="212"/>
      <c r="F5" s="212"/>
      <c r="G5" s="212"/>
      <c r="H5" s="92"/>
      <c r="I5" s="212" t="s">
        <v>79</v>
      </c>
      <c r="J5" s="212"/>
      <c r="K5" s="212"/>
      <c r="L5" s="51"/>
      <c r="M5" s="213" t="s">
        <v>80</v>
      </c>
      <c r="N5" s="213"/>
      <c r="O5" s="213"/>
      <c r="P5" s="213"/>
      <c r="Q5" s="213"/>
    </row>
    <row r="6" spans="2:17" ht="51" customHeight="1" x14ac:dyDescent="0.3">
      <c r="B6" s="51" t="s">
        <v>81</v>
      </c>
      <c r="C6" s="51" t="s">
        <v>82</v>
      </c>
      <c r="D6" s="106" t="s">
        <v>83</v>
      </c>
      <c r="E6" s="106" t="s">
        <v>84</v>
      </c>
      <c r="F6" s="106" t="s">
        <v>85</v>
      </c>
      <c r="G6" s="106" t="s">
        <v>86</v>
      </c>
      <c r="H6" s="51"/>
      <c r="I6" s="51" t="s">
        <v>87</v>
      </c>
      <c r="J6" s="51" t="s">
        <v>88</v>
      </c>
      <c r="K6" s="106" t="s">
        <v>89</v>
      </c>
      <c r="L6" s="51"/>
      <c r="M6" s="51" t="s">
        <v>73</v>
      </c>
      <c r="N6" s="51" t="s">
        <v>74</v>
      </c>
      <c r="O6" s="51" t="s">
        <v>75</v>
      </c>
      <c r="P6" s="51" t="s">
        <v>109</v>
      </c>
      <c r="Q6" s="106" t="s">
        <v>118</v>
      </c>
    </row>
    <row r="7" spans="2:17" ht="9" customHeight="1" x14ac:dyDescent="0.3"/>
    <row r="8" spans="2:17" x14ac:dyDescent="0.3">
      <c r="B8" s="107" t="str">
        <f>'Raw Data for Relative Valuation'!B5</f>
        <v>Open AI</v>
      </c>
      <c r="C8" s="107" t="s">
        <v>126</v>
      </c>
      <c r="D8" s="108">
        <f>'Raw Data for Relative Valuation'!E5</f>
        <v>0</v>
      </c>
      <c r="E8" s="108">
        <f>'Raw Data for Relative Valuation'!F5</f>
        <v>0</v>
      </c>
      <c r="F8" s="108">
        <f>'Raw Data for Relative Valuation'!C5</f>
        <v>157000</v>
      </c>
      <c r="G8" s="108">
        <f>'Raw Data for Relative Valuation'!H5</f>
        <v>0</v>
      </c>
      <c r="H8" s="109"/>
      <c r="I8" s="108">
        <f>'Raw Data for Relative Valuation'!I5</f>
        <v>3600</v>
      </c>
      <c r="J8" s="108">
        <f>'Raw Data for Relative Valuation'!L5</f>
        <v>0</v>
      </c>
      <c r="K8" s="108">
        <f>'Raw Data for Relative Valuation'!J5</f>
        <v>-5000</v>
      </c>
      <c r="L8" s="109"/>
      <c r="M8" s="110">
        <f>IFERROR(G8/I8,0)</f>
        <v>0</v>
      </c>
      <c r="N8" s="110">
        <f>IFERROR(G8/J8,0)</f>
        <v>0</v>
      </c>
      <c r="O8" s="110">
        <f>'Raw Data for Relative Valuation'!Q5</f>
        <v>0</v>
      </c>
      <c r="P8" s="110">
        <f>'Raw Data for Relative Valuation'!S5</f>
        <v>0</v>
      </c>
      <c r="Q8" s="110">
        <f>'Raw Data for Relative Valuation'!R5</f>
        <v>0</v>
      </c>
    </row>
    <row r="9" spans="2:17" x14ac:dyDescent="0.3">
      <c r="B9" s="8" t="str">
        <f>'Raw Data for Relative Valuation'!B7</f>
        <v xml:space="preserve">Aplhabet Inc. </v>
      </c>
      <c r="C9" s="8" t="s">
        <v>127</v>
      </c>
      <c r="D9" s="111">
        <f>'Raw Data for Relative Valuation'!E7</f>
        <v>197.57</v>
      </c>
      <c r="E9" s="111">
        <f>'Raw Data for Relative Valuation'!F7</f>
        <v>12384</v>
      </c>
      <c r="F9" s="111">
        <f>'Raw Data for Relative Valuation'!G7</f>
        <v>2446706.88</v>
      </c>
      <c r="G9" s="59">
        <f>'Raw Data for Relative Valuation'!H7</f>
        <v>2344721</v>
      </c>
      <c r="H9" s="8"/>
      <c r="I9" s="111">
        <f>'Raw Data for Relative Valuation'!I7</f>
        <v>339859</v>
      </c>
      <c r="J9" s="111">
        <f>'Raw Data for Relative Valuation'!L7</f>
        <v>123470</v>
      </c>
      <c r="K9" s="111">
        <f>'Raw Data for Relative Valuation'!J7</f>
        <v>94269</v>
      </c>
      <c r="L9" s="8"/>
      <c r="M9" s="113">
        <f>IFERROR(G9/I9,0)</f>
        <v>6.8990993323701888</v>
      </c>
      <c r="N9" s="113">
        <f>IFERROR(G9/J9,0)</f>
        <v>18.990208147728193</v>
      </c>
      <c r="O9" s="114">
        <f>'Raw Data for Relative Valuation'!Q7</f>
        <v>25.55</v>
      </c>
      <c r="P9" s="114">
        <f>'Raw Data for Relative Valuation'!S7</f>
        <v>6.52</v>
      </c>
      <c r="Q9" s="114">
        <f>'Raw Data for Relative Valuation'!R7</f>
        <v>6.03</v>
      </c>
    </row>
    <row r="10" spans="2:17" x14ac:dyDescent="0.3">
      <c r="B10" s="8" t="str">
        <f>'Raw Data for Relative Valuation'!B8</f>
        <v xml:space="preserve">Meta Platforms, Inc. </v>
      </c>
      <c r="C10" s="8" t="s">
        <v>128</v>
      </c>
      <c r="D10" s="111">
        <f>'Raw Data for Relative Valuation'!E8</f>
        <v>607.75</v>
      </c>
      <c r="E10" s="111">
        <f>'Raw Data for Relative Valuation'!F8</f>
        <v>2543</v>
      </c>
      <c r="F10" s="111">
        <f>'Raw Data for Relative Valuation'!G8</f>
        <v>1545508.25</v>
      </c>
      <c r="G10" s="59">
        <f>'Raw Data for Relative Valuation'!H8</f>
        <v>1512405</v>
      </c>
      <c r="H10" s="8"/>
      <c r="I10" s="111">
        <f>'Raw Data for Relative Valuation'!I8</f>
        <v>156227</v>
      </c>
      <c r="J10" s="111">
        <f>'Raw Data for Relative Valuation'!L8</f>
        <v>79209</v>
      </c>
      <c r="K10" s="111">
        <f>'Raw Data for Relative Valuation'!J8</f>
        <v>55539</v>
      </c>
      <c r="L10" s="8"/>
      <c r="M10" s="113">
        <f>IFERROR(G10/I10,0)</f>
        <v>9.6808170162647933</v>
      </c>
      <c r="N10" s="113">
        <f>IFERROR(G10/J10,0)</f>
        <v>19.093852971253266</v>
      </c>
      <c r="O10" s="114">
        <f>'Raw Data for Relative Valuation'!Q8</f>
        <v>28.7</v>
      </c>
      <c r="P10" s="114">
        <f>'Raw Data for Relative Valuation'!S8</f>
        <v>9.32</v>
      </c>
      <c r="Q10" s="114">
        <f>'Raw Data for Relative Valuation'!R8</f>
        <v>9.89</v>
      </c>
    </row>
    <row r="11" spans="2:17" x14ac:dyDescent="0.3">
      <c r="B11" s="8" t="str">
        <f>'Raw Data for Relative Valuation'!B9</f>
        <v xml:space="preserve">Microsoft Corporation </v>
      </c>
      <c r="C11" s="8" t="s">
        <v>129</v>
      </c>
      <c r="D11" s="111">
        <f>'Raw Data for Relative Valuation'!E9</f>
        <v>439.33</v>
      </c>
      <c r="E11" s="111">
        <f>'Raw Data for Relative Valuation'!F9</f>
        <v>7436</v>
      </c>
      <c r="F11" s="111">
        <f>'Raw Data for Relative Valuation'!G9</f>
        <v>3266857.88</v>
      </c>
      <c r="G11" s="59">
        <f>'Raw Data for Relative Valuation'!H9</f>
        <v>3284775</v>
      </c>
      <c r="H11" s="8"/>
      <c r="I11" s="111">
        <f>'Raw Data for Relative Valuation'!I9</f>
        <v>254190</v>
      </c>
      <c r="J11" s="111">
        <f>'Raw Data for Relative Valuation'!L9</f>
        <v>136552</v>
      </c>
      <c r="K11" s="111">
        <f>'Raw Data for Relative Valuation'!J9</f>
        <v>90512</v>
      </c>
      <c r="L11" s="8"/>
      <c r="M11" s="113">
        <f>IFERROR(G11/I11,0)</f>
        <v>12.922518588457454</v>
      </c>
      <c r="N11" s="113">
        <f>IFERROR(G11/J11,0)</f>
        <v>24.055121858339682</v>
      </c>
      <c r="O11" s="114">
        <f>'Raw Data for Relative Valuation'!Q9</f>
        <v>36.28</v>
      </c>
      <c r="P11" s="114">
        <f>'Raw Data for Relative Valuation'!S9</f>
        <v>11.35</v>
      </c>
      <c r="Q11" s="114">
        <f>'Raw Data for Relative Valuation'!R9</f>
        <v>12.85</v>
      </c>
    </row>
    <row r="12" spans="2:17" x14ac:dyDescent="0.3">
      <c r="B12" s="8"/>
      <c r="C12" s="8"/>
      <c r="D12" s="59"/>
      <c r="E12" s="59"/>
      <c r="F12" s="59"/>
      <c r="G12" s="112"/>
      <c r="H12" s="8"/>
      <c r="I12" s="112"/>
      <c r="J12" s="112"/>
      <c r="K12" s="8"/>
      <c r="L12" s="8"/>
      <c r="M12" s="115"/>
      <c r="N12" s="115"/>
      <c r="O12" s="114"/>
      <c r="P12" s="114"/>
      <c r="Q12" s="114"/>
    </row>
    <row r="13" spans="2:17" x14ac:dyDescent="0.3">
      <c r="B13" s="8"/>
      <c r="C13" s="8"/>
      <c r="D13" s="59"/>
      <c r="E13" s="59"/>
      <c r="F13" s="59"/>
      <c r="G13" s="112"/>
      <c r="H13" s="8"/>
      <c r="I13" s="112"/>
      <c r="J13" s="112"/>
      <c r="K13" s="8"/>
      <c r="L13" s="8"/>
      <c r="M13" s="115"/>
      <c r="N13" s="115"/>
      <c r="O13" s="114"/>
      <c r="P13" s="114"/>
      <c r="Q13" s="114"/>
    </row>
    <row r="15" spans="2:17" x14ac:dyDescent="0.3">
      <c r="B15" s="116" t="s">
        <v>90</v>
      </c>
      <c r="C15" s="116"/>
      <c r="D15" s="116"/>
      <c r="E15" s="116"/>
      <c r="F15" s="116"/>
      <c r="G15" s="116"/>
      <c r="H15" s="116"/>
      <c r="I15" s="116"/>
      <c r="J15" s="116"/>
      <c r="K15" s="116"/>
      <c r="L15" s="116"/>
      <c r="M15" s="117">
        <f>MAX(M9:M11)</f>
        <v>12.922518588457454</v>
      </c>
      <c r="N15" s="117">
        <f>MAX(N9:N11)</f>
        <v>24.055121858339682</v>
      </c>
      <c r="O15" s="117">
        <f>MAX(O9:O11)</f>
        <v>36.28</v>
      </c>
      <c r="P15" s="117">
        <f>MAX(P9:P11)</f>
        <v>11.35</v>
      </c>
      <c r="Q15" s="117">
        <f>MAX(Q9:Q11)</f>
        <v>12.85</v>
      </c>
    </row>
    <row r="16" spans="2:17" x14ac:dyDescent="0.3">
      <c r="B16" s="116" t="s">
        <v>91</v>
      </c>
      <c r="C16" s="116"/>
      <c r="D16" s="116"/>
      <c r="E16" s="116"/>
      <c r="F16" s="116"/>
      <c r="G16" s="116"/>
      <c r="H16" s="116"/>
      <c r="I16" s="116"/>
      <c r="J16" s="116"/>
      <c r="K16" s="116"/>
      <c r="L16" s="116"/>
      <c r="M16" s="118">
        <f>QUARTILE(M9:M11,3)</f>
        <v>11.301667802361123</v>
      </c>
      <c r="N16" s="118">
        <f>QUARTILE(N9:N11,3)</f>
        <v>21.574487414796472</v>
      </c>
      <c r="O16" s="118">
        <f>QUARTILE(O9:O10,3)</f>
        <v>27.912500000000001</v>
      </c>
      <c r="P16" s="118">
        <f>QUARTILE(P9:P11,3)</f>
        <v>10.335000000000001</v>
      </c>
      <c r="Q16" s="118">
        <f>QUARTILE(Q9:Q11,3)</f>
        <v>11.370000000000001</v>
      </c>
    </row>
    <row r="17" spans="2:28" x14ac:dyDescent="0.3">
      <c r="B17" s="48" t="s">
        <v>41</v>
      </c>
      <c r="C17" s="116"/>
      <c r="D17" s="116"/>
      <c r="E17" s="116"/>
      <c r="F17" s="116"/>
      <c r="G17" s="116"/>
      <c r="H17" s="116"/>
      <c r="I17" s="116"/>
      <c r="J17" s="116"/>
      <c r="K17" s="116"/>
      <c r="L17" s="116"/>
      <c r="M17" s="119">
        <f>AVERAGE(M9:M11)</f>
        <v>9.8341449790308122</v>
      </c>
      <c r="N17" s="119">
        <f>AVERAGE(N9:N11)</f>
        <v>20.713060992440379</v>
      </c>
      <c r="O17" s="119">
        <f>AVERAGE(O9:O10)</f>
        <v>27.125</v>
      </c>
      <c r="P17" s="119">
        <f>AVERAGE(P9:P11)</f>
        <v>9.0633333333333326</v>
      </c>
      <c r="Q17" s="119">
        <f>AVERAGE(Q9:Q11)</f>
        <v>9.5900000000000016</v>
      </c>
    </row>
    <row r="18" spans="2:28" x14ac:dyDescent="0.3">
      <c r="B18" s="48" t="s">
        <v>16</v>
      </c>
      <c r="C18" s="116"/>
      <c r="D18" s="116"/>
      <c r="E18" s="116"/>
      <c r="F18" s="116"/>
      <c r="G18" s="116"/>
      <c r="H18" s="116"/>
      <c r="I18" s="116"/>
      <c r="J18" s="116"/>
      <c r="K18" s="116"/>
      <c r="L18" s="116"/>
      <c r="M18" s="119">
        <f>MEDIAN(M9:M11)</f>
        <v>9.6808170162647933</v>
      </c>
      <c r="N18" s="119">
        <f>MEDIAN(N9:N11)</f>
        <v>19.093852971253266</v>
      </c>
      <c r="O18" s="119">
        <f>MEDIAN(O9:O10)</f>
        <v>27.125</v>
      </c>
      <c r="P18" s="119">
        <f>MEDIAN(P9:P11)</f>
        <v>9.32</v>
      </c>
      <c r="Q18" s="119">
        <f>MEDIAN(Q9:Q11)</f>
        <v>9.89</v>
      </c>
      <c r="R18" s="89"/>
    </row>
    <row r="19" spans="2:28" x14ac:dyDescent="0.3">
      <c r="B19" s="116" t="s">
        <v>92</v>
      </c>
      <c r="C19" s="116"/>
      <c r="D19" s="116"/>
      <c r="E19" s="116"/>
      <c r="F19" s="116"/>
      <c r="G19" s="116"/>
      <c r="H19" s="116"/>
      <c r="I19" s="116"/>
      <c r="J19" s="116"/>
      <c r="K19" s="116"/>
      <c r="L19" s="116"/>
      <c r="M19" s="118">
        <f>QUARTILE(M9:M11,1)</f>
        <v>8.2899581743174906</v>
      </c>
      <c r="N19" s="118">
        <f>QUARTILE(N9:N11,1)</f>
        <v>19.04203055949073</v>
      </c>
      <c r="O19" s="118">
        <f>QUARTILE(O9:O10,1)</f>
        <v>26.337499999999999</v>
      </c>
      <c r="P19" s="118">
        <f>QUARTILE(P9:P11,1)</f>
        <v>7.92</v>
      </c>
      <c r="Q19" s="118">
        <f>QUARTILE(Q9:Q11,1)</f>
        <v>7.9600000000000009</v>
      </c>
    </row>
    <row r="20" spans="2:28" x14ac:dyDescent="0.3">
      <c r="B20" s="116" t="s">
        <v>93</v>
      </c>
      <c r="C20" s="116"/>
      <c r="D20" s="116"/>
      <c r="E20" s="116"/>
      <c r="F20" s="116"/>
      <c r="G20" s="116"/>
      <c r="H20" s="116"/>
      <c r="I20" s="116"/>
      <c r="J20" s="116"/>
      <c r="K20" s="116"/>
      <c r="L20" s="116"/>
      <c r="M20" s="117">
        <f>MIN(M9:M11)</f>
        <v>6.8990993323701888</v>
      </c>
      <c r="N20" s="117">
        <f>MIN(N9:N11)</f>
        <v>18.990208147728193</v>
      </c>
      <c r="O20" s="117">
        <f>MIN(O9:O10)</f>
        <v>25.55</v>
      </c>
      <c r="P20" s="117">
        <f>MIN(P9:P11)</f>
        <v>6.52</v>
      </c>
      <c r="Q20" s="117">
        <f>MIN(Q9:Q11)</f>
        <v>6.03</v>
      </c>
    </row>
    <row r="22" spans="2:28" ht="6.6" customHeight="1" x14ac:dyDescent="0.3"/>
    <row r="23" spans="2:28" ht="15.6" customHeight="1" x14ac:dyDescent="0.3">
      <c r="B23" s="164" t="str">
        <f>"Comparable Company Valuation (Relative Valuation)"&amp;" - "&amp;WACC!$B$12</f>
        <v>Comparable Company Valuation (Relative Valuation) - Open AI</v>
      </c>
      <c r="C23" s="164"/>
      <c r="D23" s="164"/>
      <c r="E23" s="164"/>
      <c r="F23" s="164"/>
      <c r="G23" s="120"/>
      <c r="H23" s="120"/>
      <c r="I23" s="120"/>
      <c r="J23" s="120"/>
      <c r="K23" s="120"/>
      <c r="L23" s="120"/>
      <c r="M23" s="51" t="s">
        <v>73</v>
      </c>
      <c r="N23" s="51" t="s">
        <v>74</v>
      </c>
      <c r="O23" s="51" t="s">
        <v>75</v>
      </c>
      <c r="P23" s="51" t="s">
        <v>109</v>
      </c>
      <c r="Q23" s="106" t="s">
        <v>118</v>
      </c>
    </row>
    <row r="24" spans="2:28" ht="4.8" customHeight="1" x14ac:dyDescent="0.3"/>
    <row r="25" spans="2:28" ht="14.4" customHeight="1" x14ac:dyDescent="0.3">
      <c r="B25" t="s">
        <v>94</v>
      </c>
      <c r="M25" s="141">
        <f>M18*I8</f>
        <v>34850.941258553255</v>
      </c>
      <c r="N25" s="210" t="s">
        <v>131</v>
      </c>
      <c r="O25" s="211" t="s">
        <v>132</v>
      </c>
      <c r="P25" s="211" t="s">
        <v>133</v>
      </c>
      <c r="Q25" s="141">
        <f>Q18*I8</f>
        <v>35604</v>
      </c>
    </row>
    <row r="26" spans="2:28" ht="15" thickBot="1" x14ac:dyDescent="0.35">
      <c r="B26" t="s">
        <v>95</v>
      </c>
      <c r="M26" s="141" t="s">
        <v>130</v>
      </c>
      <c r="N26" s="210"/>
      <c r="O26" s="211"/>
      <c r="P26" s="211"/>
      <c r="Q26" s="141" t="s">
        <v>130</v>
      </c>
    </row>
    <row r="27" spans="2:28" ht="15" thickBot="1" x14ac:dyDescent="0.35">
      <c r="B27" s="121" t="s">
        <v>181</v>
      </c>
      <c r="M27" s="122">
        <f>(M25*10^6)/10^9</f>
        <v>34.850941258553256</v>
      </c>
      <c r="N27" s="210"/>
      <c r="O27" s="211"/>
      <c r="P27" s="211"/>
      <c r="Q27" s="122">
        <f>(Q25*10^6)/10^9</f>
        <v>35.603999999999999</v>
      </c>
    </row>
    <row r="28" spans="2:28" x14ac:dyDescent="0.3">
      <c r="M28" s="141"/>
      <c r="N28" s="140"/>
      <c r="O28" s="142"/>
      <c r="P28" s="142"/>
      <c r="Q28" s="141"/>
      <c r="S28" s="53"/>
    </row>
    <row r="29" spans="2:28" ht="12" customHeight="1" x14ac:dyDescent="0.3">
      <c r="M29" s="141"/>
      <c r="N29" s="140"/>
      <c r="O29" s="141"/>
      <c r="P29" s="141"/>
      <c r="Q29" s="141"/>
    </row>
    <row r="30" spans="2:28" ht="12" customHeight="1" x14ac:dyDescent="0.3">
      <c r="M30" s="141"/>
      <c r="N30" s="140"/>
      <c r="O30" s="141"/>
      <c r="P30" s="141"/>
      <c r="Q30" s="141"/>
    </row>
    <row r="31" spans="2:28" ht="12" customHeight="1" x14ac:dyDescent="0.3">
      <c r="M31" s="141"/>
      <c r="N31" s="140"/>
      <c r="O31" s="141"/>
      <c r="P31" s="141"/>
      <c r="Q31" s="141"/>
    </row>
    <row r="32" spans="2:28" ht="19.95" customHeight="1" thickBot="1" x14ac:dyDescent="0.35">
      <c r="B32" s="53" t="s">
        <v>134</v>
      </c>
      <c r="S32" s="61"/>
      <c r="T32" s="61"/>
      <c r="U32" s="61"/>
      <c r="V32" s="61"/>
      <c r="W32" s="61"/>
      <c r="X32" s="61"/>
      <c r="Y32" s="61"/>
      <c r="Z32" s="61"/>
      <c r="AA32" s="61"/>
      <c r="AB32" s="61"/>
    </row>
    <row r="33" spans="2:28" ht="14.4" customHeight="1" x14ac:dyDescent="0.3">
      <c r="B33" s="202" t="s">
        <v>135</v>
      </c>
      <c r="C33" s="203"/>
      <c r="D33" s="203"/>
      <c r="E33" s="203"/>
      <c r="F33" s="203"/>
      <c r="G33" s="203"/>
      <c r="H33" s="203"/>
      <c r="I33" s="203"/>
      <c r="J33" s="203"/>
      <c r="K33" s="203"/>
      <c r="L33" s="204"/>
      <c r="M33" s="84"/>
      <c r="S33" s="61"/>
      <c r="T33" s="61"/>
      <c r="U33" s="61"/>
      <c r="V33" s="61"/>
      <c r="W33" s="61"/>
      <c r="X33" s="61"/>
      <c r="Y33" s="61"/>
      <c r="Z33" s="61"/>
      <c r="AA33" s="61"/>
      <c r="AB33" s="61"/>
    </row>
    <row r="34" spans="2:28" x14ac:dyDescent="0.3">
      <c r="B34" s="205"/>
      <c r="C34" s="174"/>
      <c r="D34" s="174"/>
      <c r="E34" s="174"/>
      <c r="F34" s="174"/>
      <c r="G34" s="174"/>
      <c r="H34" s="174"/>
      <c r="I34" s="174"/>
      <c r="J34" s="174"/>
      <c r="K34" s="174"/>
      <c r="L34" s="206"/>
      <c r="M34" s="84"/>
      <c r="S34" s="61"/>
      <c r="T34" s="61"/>
      <c r="U34" s="61"/>
      <c r="V34" s="61"/>
      <c r="W34" s="61"/>
      <c r="X34" s="61"/>
      <c r="Y34" s="61"/>
      <c r="Z34" s="61"/>
      <c r="AA34" s="61"/>
      <c r="AB34" s="61"/>
    </row>
    <row r="35" spans="2:28" x14ac:dyDescent="0.3">
      <c r="B35" s="205"/>
      <c r="C35" s="174"/>
      <c r="D35" s="174"/>
      <c r="E35" s="174"/>
      <c r="F35" s="174"/>
      <c r="G35" s="174"/>
      <c r="H35" s="174"/>
      <c r="I35" s="174"/>
      <c r="J35" s="174"/>
      <c r="K35" s="174"/>
      <c r="L35" s="206"/>
      <c r="M35" s="84"/>
      <c r="S35" s="61"/>
      <c r="T35" s="61"/>
      <c r="U35" s="61"/>
      <c r="V35" s="61"/>
      <c r="W35" s="61"/>
      <c r="X35" s="61"/>
      <c r="Y35" s="61"/>
      <c r="Z35" s="61"/>
      <c r="AA35" s="61"/>
      <c r="AB35" s="61"/>
    </row>
    <row r="36" spans="2:28" x14ac:dyDescent="0.3">
      <c r="B36" s="205"/>
      <c r="C36" s="174"/>
      <c r="D36" s="174"/>
      <c r="E36" s="174"/>
      <c r="F36" s="174"/>
      <c r="G36" s="174"/>
      <c r="H36" s="174"/>
      <c r="I36" s="174"/>
      <c r="J36" s="174"/>
      <c r="K36" s="174"/>
      <c r="L36" s="206"/>
      <c r="M36" s="84"/>
      <c r="S36" s="61"/>
      <c r="T36" s="61"/>
      <c r="U36" s="61"/>
      <c r="V36" s="61"/>
      <c r="W36" s="61"/>
      <c r="X36" s="61"/>
      <c r="Y36" s="61"/>
      <c r="Z36" s="61"/>
      <c r="AA36" s="61"/>
      <c r="AB36" s="61"/>
    </row>
    <row r="37" spans="2:28" x14ac:dyDescent="0.3">
      <c r="B37" s="205"/>
      <c r="C37" s="174"/>
      <c r="D37" s="174"/>
      <c r="E37" s="174"/>
      <c r="F37" s="174"/>
      <c r="G37" s="174"/>
      <c r="H37" s="174"/>
      <c r="I37" s="174"/>
      <c r="J37" s="174"/>
      <c r="K37" s="174"/>
      <c r="L37" s="206"/>
      <c r="M37" s="84"/>
      <c r="S37" s="61"/>
      <c r="T37" s="61"/>
      <c r="U37" s="61"/>
      <c r="V37" s="61"/>
      <c r="W37" s="61"/>
      <c r="X37" s="61"/>
      <c r="Y37" s="61"/>
      <c r="Z37" s="61"/>
      <c r="AA37" s="61"/>
      <c r="AB37" s="61"/>
    </row>
    <row r="38" spans="2:28" x14ac:dyDescent="0.3">
      <c r="B38" s="205"/>
      <c r="C38" s="174"/>
      <c r="D38" s="174"/>
      <c r="E38" s="174"/>
      <c r="F38" s="174"/>
      <c r="G38" s="174"/>
      <c r="H38" s="174"/>
      <c r="I38" s="174"/>
      <c r="J38" s="174"/>
      <c r="K38" s="174"/>
      <c r="L38" s="206"/>
      <c r="M38" s="84"/>
    </row>
    <row r="39" spans="2:28" x14ac:dyDescent="0.3">
      <c r="B39" s="205"/>
      <c r="C39" s="174"/>
      <c r="D39" s="174"/>
      <c r="E39" s="174"/>
      <c r="F39" s="174"/>
      <c r="G39" s="174"/>
      <c r="H39" s="174"/>
      <c r="I39" s="174"/>
      <c r="J39" s="174"/>
      <c r="K39" s="174"/>
      <c r="L39" s="206"/>
      <c r="M39" s="84"/>
    </row>
    <row r="40" spans="2:28" x14ac:dyDescent="0.3">
      <c r="B40" s="205"/>
      <c r="C40" s="174"/>
      <c r="D40" s="174"/>
      <c r="E40" s="174"/>
      <c r="F40" s="174"/>
      <c r="G40" s="174"/>
      <c r="H40" s="174"/>
      <c r="I40" s="174"/>
      <c r="J40" s="174"/>
      <c r="K40" s="174"/>
      <c r="L40" s="206"/>
      <c r="M40" s="84"/>
    </row>
    <row r="41" spans="2:28" x14ac:dyDescent="0.3">
      <c r="B41" s="205"/>
      <c r="C41" s="174"/>
      <c r="D41" s="174"/>
      <c r="E41" s="174"/>
      <c r="F41" s="174"/>
      <c r="G41" s="174"/>
      <c r="H41" s="174"/>
      <c r="I41" s="174"/>
      <c r="J41" s="174"/>
      <c r="K41" s="174"/>
      <c r="L41" s="206"/>
      <c r="M41" s="84"/>
    </row>
    <row r="42" spans="2:28" x14ac:dyDescent="0.3">
      <c r="B42" s="205"/>
      <c r="C42" s="174"/>
      <c r="D42" s="174"/>
      <c r="E42" s="174"/>
      <c r="F42" s="174"/>
      <c r="G42" s="174"/>
      <c r="H42" s="174"/>
      <c r="I42" s="174"/>
      <c r="J42" s="174"/>
      <c r="K42" s="174"/>
      <c r="L42" s="206"/>
      <c r="M42" s="84"/>
    </row>
    <row r="43" spans="2:28" x14ac:dyDescent="0.3">
      <c r="B43" s="205"/>
      <c r="C43" s="174"/>
      <c r="D43" s="174"/>
      <c r="E43" s="174"/>
      <c r="F43" s="174"/>
      <c r="G43" s="174"/>
      <c r="H43" s="174"/>
      <c r="I43" s="174"/>
      <c r="J43" s="174"/>
      <c r="K43" s="174"/>
      <c r="L43" s="206"/>
      <c r="M43" s="84"/>
    </row>
    <row r="44" spans="2:28" x14ac:dyDescent="0.3">
      <c r="B44" s="205"/>
      <c r="C44" s="174"/>
      <c r="D44" s="174"/>
      <c r="E44" s="174"/>
      <c r="F44" s="174"/>
      <c r="G44" s="174"/>
      <c r="H44" s="174"/>
      <c r="I44" s="174"/>
      <c r="J44" s="174"/>
      <c r="K44" s="174"/>
      <c r="L44" s="206"/>
      <c r="M44" s="84"/>
    </row>
    <row r="45" spans="2:28" x14ac:dyDescent="0.3">
      <c r="B45" s="205"/>
      <c r="C45" s="174"/>
      <c r="D45" s="174"/>
      <c r="E45" s="174"/>
      <c r="F45" s="174"/>
      <c r="G45" s="174"/>
      <c r="H45" s="174"/>
      <c r="I45" s="174"/>
      <c r="J45" s="174"/>
      <c r="K45" s="174"/>
      <c r="L45" s="206"/>
      <c r="M45" s="84"/>
    </row>
    <row r="46" spans="2:28" x14ac:dyDescent="0.3">
      <c r="B46" s="205"/>
      <c r="C46" s="174"/>
      <c r="D46" s="174"/>
      <c r="E46" s="174"/>
      <c r="F46" s="174"/>
      <c r="G46" s="174"/>
      <c r="H46" s="174"/>
      <c r="I46" s="174"/>
      <c r="J46" s="174"/>
      <c r="K46" s="174"/>
      <c r="L46" s="206"/>
    </row>
    <row r="47" spans="2:28" ht="15" thickBot="1" x14ac:dyDescent="0.35">
      <c r="B47" s="207"/>
      <c r="C47" s="208"/>
      <c r="D47" s="208"/>
      <c r="E47" s="208"/>
      <c r="F47" s="208"/>
      <c r="G47" s="208"/>
      <c r="H47" s="208"/>
      <c r="I47" s="208"/>
      <c r="J47" s="208"/>
      <c r="K47" s="208"/>
      <c r="L47" s="209"/>
    </row>
  </sheetData>
  <mergeCells count="9">
    <mergeCell ref="B33:L47"/>
    <mergeCell ref="N25:N27"/>
    <mergeCell ref="O25:O27"/>
    <mergeCell ref="P25:P27"/>
    <mergeCell ref="B3:F3"/>
    <mergeCell ref="D5:G5"/>
    <mergeCell ref="I5:K5"/>
    <mergeCell ref="B23:F23"/>
    <mergeCell ref="M5:Q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0D773-9B62-4F72-9871-D38A0F3CABC9}">
  <sheetPr>
    <tabColor theme="6" tint="-0.249977111117893"/>
  </sheetPr>
  <dimension ref="B2:S38"/>
  <sheetViews>
    <sheetView showGridLines="0" topLeftCell="A7" workbookViewId="0">
      <selection activeCell="B10" sqref="B10"/>
    </sheetView>
  </sheetViews>
  <sheetFormatPr defaultRowHeight="14.4" x14ac:dyDescent="0.3"/>
  <cols>
    <col min="10" max="10" width="16.5546875" customWidth="1"/>
    <col min="14" max="14" width="30.77734375" customWidth="1"/>
    <col min="15" max="18" width="10.109375" bestFit="1" customWidth="1"/>
  </cols>
  <sheetData>
    <row r="2" spans="2:18" x14ac:dyDescent="0.3">
      <c r="B2" s="164" t="str">
        <f>"Football Field Analysis"&amp;" - "&amp;'Raw Data for Relative Valuation'!B5</f>
        <v>Football Field Analysis - Open AI</v>
      </c>
      <c r="C2" s="164"/>
      <c r="D2" s="164"/>
      <c r="E2" s="164"/>
      <c r="F2" s="164"/>
      <c r="G2" s="164"/>
      <c r="H2" s="164"/>
      <c r="I2" s="164"/>
      <c r="N2" s="214" t="s">
        <v>96</v>
      </c>
      <c r="O2" s="214"/>
      <c r="P2" s="214"/>
      <c r="Q2" s="214"/>
      <c r="R2" s="214"/>
    </row>
    <row r="3" spans="2:18" x14ac:dyDescent="0.3">
      <c r="O3" s="123" t="s">
        <v>97</v>
      </c>
      <c r="P3" s="123" t="s">
        <v>93</v>
      </c>
      <c r="Q3" s="123" t="s">
        <v>98</v>
      </c>
      <c r="R3" s="123" t="s">
        <v>90</v>
      </c>
    </row>
    <row r="4" spans="2:18" x14ac:dyDescent="0.3">
      <c r="M4" s="28" t="s">
        <v>33</v>
      </c>
      <c r="N4" s="60" t="s">
        <v>180</v>
      </c>
      <c r="O4" s="124">
        <f>P4</f>
        <v>34.850941258553256</v>
      </c>
      <c r="P4" s="124">
        <f>MIN('OpenAI-Relative Valuation'!M27,'OpenAI-Relative Valuation'!Q27)</f>
        <v>34.850941258553256</v>
      </c>
      <c r="Q4" s="124">
        <f>R4</f>
        <v>35.603999999999999</v>
      </c>
      <c r="R4" s="124">
        <f>MAX('OpenAI-Relative Valuation'!M27,'OpenAI-Relative Valuation'!Q27)</f>
        <v>35.603999999999999</v>
      </c>
    </row>
    <row r="5" spans="2:18" x14ac:dyDescent="0.3">
      <c r="M5" s="28" t="s">
        <v>100</v>
      </c>
      <c r="N5" s="60" t="s">
        <v>101</v>
      </c>
      <c r="O5" s="124">
        <f>P5</f>
        <v>26.615728195682173</v>
      </c>
      <c r="P5" s="124">
        <f>MIN('Compr Scenario Analysis-DCF'!$D$6:$D$11)</f>
        <v>26.615728195682173</v>
      </c>
      <c r="Q5" s="124">
        <f>R5</f>
        <v>78.492571999871032</v>
      </c>
      <c r="R5" s="124">
        <f>MAX('Compr Scenario Analysis-DCF'!$D$6:$D$11)</f>
        <v>78.492571999871032</v>
      </c>
    </row>
    <row r="6" spans="2:18" x14ac:dyDescent="0.3">
      <c r="M6" s="28" t="s">
        <v>104</v>
      </c>
      <c r="N6" s="60" t="s">
        <v>102</v>
      </c>
      <c r="O6" s="124">
        <f>P6</f>
        <v>25.032746418578956</v>
      </c>
      <c r="P6" s="124">
        <f>MIN('Compr Scenario Analysis-DCF'!$C$6:$C$11)</f>
        <v>25.032746418578956</v>
      </c>
      <c r="Q6" s="124">
        <f>R6</f>
        <v>25.032746418578956</v>
      </c>
      <c r="R6" s="124">
        <f>MAX('Compr Scenario Analysis-DCF'!$C$6:$C$11)</f>
        <v>25.032746418578956</v>
      </c>
    </row>
    <row r="7" spans="2:18" x14ac:dyDescent="0.3">
      <c r="M7" s="28" t="s">
        <v>99</v>
      </c>
      <c r="N7" s="60" t="s">
        <v>103</v>
      </c>
      <c r="O7" s="124">
        <f>P7</f>
        <v>2.6871309714858786</v>
      </c>
      <c r="P7" s="124">
        <f>MIN('Compr Scenario Analysis-DCF'!$E$6:$E$11)</f>
        <v>2.6871309714858786</v>
      </c>
      <c r="Q7" s="124">
        <f>R7</f>
        <v>24.094270797282086</v>
      </c>
      <c r="R7" s="124">
        <f>MAX('Compr Scenario Analysis-DCF'!$E$6:$E$11)</f>
        <v>24.094270797282086</v>
      </c>
    </row>
    <row r="10" spans="2:18" x14ac:dyDescent="0.3">
      <c r="M10" s="28" t="s">
        <v>33</v>
      </c>
    </row>
    <row r="11" spans="2:18" x14ac:dyDescent="0.3">
      <c r="M11" s="174" t="s">
        <v>184</v>
      </c>
      <c r="N11" s="174"/>
      <c r="O11" s="174"/>
      <c r="P11" s="174"/>
      <c r="Q11" s="174"/>
      <c r="R11" s="174"/>
    </row>
    <row r="12" spans="2:18" x14ac:dyDescent="0.3">
      <c r="M12" s="174"/>
      <c r="N12" s="174"/>
      <c r="O12" s="174"/>
      <c r="P12" s="174"/>
      <c r="Q12" s="174"/>
      <c r="R12" s="174"/>
    </row>
    <row r="14" spans="2:18" x14ac:dyDescent="0.3">
      <c r="M14" s="28" t="s">
        <v>100</v>
      </c>
    </row>
    <row r="15" spans="2:18" x14ac:dyDescent="0.3">
      <c r="M15" s="66" t="s">
        <v>111</v>
      </c>
    </row>
    <row r="16" spans="2:18" ht="14.4" customHeight="1" x14ac:dyDescent="0.3"/>
    <row r="17" spans="2:19" x14ac:dyDescent="0.3">
      <c r="M17" s="28" t="s">
        <v>104</v>
      </c>
    </row>
    <row r="18" spans="2:19" x14ac:dyDescent="0.3">
      <c r="M18" s="66" t="s">
        <v>105</v>
      </c>
    </row>
    <row r="19" spans="2:19" x14ac:dyDescent="0.3">
      <c r="B19" s="53" t="s">
        <v>63</v>
      </c>
      <c r="N19" s="61"/>
      <c r="O19" s="61"/>
      <c r="P19" s="61"/>
      <c r="Q19" s="61"/>
      <c r="R19" s="61"/>
    </row>
    <row r="20" spans="2:19" ht="31.8" customHeight="1" x14ac:dyDescent="0.3">
      <c r="B20" s="174" t="s">
        <v>182</v>
      </c>
      <c r="C20" s="174"/>
      <c r="D20" s="174"/>
      <c r="E20" s="174"/>
      <c r="F20" s="174"/>
      <c r="G20" s="174"/>
      <c r="H20" s="174"/>
      <c r="I20" s="174"/>
      <c r="J20" s="174"/>
      <c r="M20" s="28" t="s">
        <v>99</v>
      </c>
      <c r="N20" s="61"/>
      <c r="O20" s="61"/>
      <c r="P20" s="61"/>
      <c r="Q20" s="61"/>
      <c r="R20" s="61"/>
    </row>
    <row r="21" spans="2:19" x14ac:dyDescent="0.3">
      <c r="B21" s="174"/>
      <c r="C21" s="174"/>
      <c r="D21" s="174"/>
      <c r="E21" s="174"/>
      <c r="F21" s="174"/>
      <c r="G21" s="174"/>
      <c r="H21" s="174"/>
      <c r="I21" s="174"/>
      <c r="J21" s="174"/>
      <c r="M21" s="66" t="s">
        <v>112</v>
      </c>
    </row>
    <row r="22" spans="2:19" x14ac:dyDescent="0.3">
      <c r="B22" s="174"/>
      <c r="C22" s="174"/>
      <c r="D22" s="174"/>
      <c r="E22" s="174"/>
      <c r="F22" s="174"/>
      <c r="G22" s="174"/>
      <c r="H22" s="174"/>
      <c r="I22" s="174"/>
      <c r="J22" s="174"/>
    </row>
    <row r="23" spans="2:19" x14ac:dyDescent="0.3">
      <c r="B23" s="174"/>
      <c r="C23" s="174"/>
      <c r="D23" s="174"/>
      <c r="E23" s="174"/>
      <c r="F23" s="174"/>
      <c r="G23" s="174"/>
      <c r="H23" s="174"/>
      <c r="I23" s="174"/>
      <c r="J23" s="174"/>
    </row>
    <row r="24" spans="2:19" ht="28.2" customHeight="1" x14ac:dyDescent="0.3">
      <c r="B24" s="174"/>
      <c r="C24" s="174"/>
      <c r="D24" s="174"/>
      <c r="E24" s="174"/>
      <c r="F24" s="174"/>
      <c r="G24" s="174"/>
      <c r="H24" s="174"/>
      <c r="I24" s="174"/>
      <c r="J24" s="174"/>
      <c r="M24" s="161"/>
      <c r="N24" s="61"/>
      <c r="O24" s="61"/>
      <c r="P24" s="61"/>
      <c r="Q24" s="61"/>
      <c r="R24" s="61"/>
      <c r="S24" s="61"/>
    </row>
    <row r="25" spans="2:19" x14ac:dyDescent="0.3">
      <c r="B25" s="174"/>
      <c r="C25" s="174"/>
      <c r="D25" s="174"/>
      <c r="E25" s="174"/>
      <c r="F25" s="174"/>
      <c r="G25" s="174"/>
      <c r="H25" s="174"/>
      <c r="I25" s="174"/>
      <c r="J25" s="174"/>
      <c r="M25" s="84"/>
      <c r="N25" s="84"/>
      <c r="O25" s="84"/>
      <c r="P25" s="84"/>
      <c r="Q25" s="84"/>
      <c r="R25" s="84"/>
      <c r="S25" s="61"/>
    </row>
    <row r="26" spans="2:19" x14ac:dyDescent="0.3">
      <c r="B26" s="174"/>
      <c r="C26" s="174"/>
      <c r="D26" s="174"/>
      <c r="E26" s="174"/>
      <c r="F26" s="174"/>
      <c r="G26" s="174"/>
      <c r="H26" s="174"/>
      <c r="I26" s="174"/>
      <c r="J26" s="174"/>
      <c r="M26" s="84"/>
      <c r="N26" s="84"/>
      <c r="O26" s="84"/>
      <c r="P26" s="84"/>
      <c r="Q26" s="84"/>
      <c r="R26" s="84"/>
    </row>
    <row r="27" spans="2:19" x14ac:dyDescent="0.3">
      <c r="B27" s="174"/>
      <c r="C27" s="174"/>
      <c r="D27" s="174"/>
      <c r="E27" s="174"/>
      <c r="F27" s="174"/>
      <c r="G27" s="174"/>
      <c r="H27" s="174"/>
      <c r="I27" s="174"/>
      <c r="J27" s="174"/>
    </row>
    <row r="28" spans="2:19" x14ac:dyDescent="0.3">
      <c r="B28" s="174"/>
      <c r="C28" s="174"/>
      <c r="D28" s="174"/>
      <c r="E28" s="174"/>
      <c r="F28" s="174"/>
      <c r="G28" s="174"/>
      <c r="H28" s="174"/>
      <c r="I28" s="174"/>
      <c r="J28" s="174"/>
    </row>
    <row r="29" spans="2:19" ht="14.4" customHeight="1" x14ac:dyDescent="0.3">
      <c r="B29" s="174"/>
      <c r="C29" s="174"/>
      <c r="D29" s="174"/>
      <c r="E29" s="174"/>
      <c r="F29" s="174"/>
      <c r="G29" s="174"/>
      <c r="H29" s="174"/>
      <c r="I29" s="174"/>
      <c r="J29" s="174"/>
      <c r="K29" s="61"/>
      <c r="L29" s="61"/>
      <c r="M29" s="61"/>
      <c r="N29" s="61"/>
      <c r="O29" s="61"/>
    </row>
    <row r="30" spans="2:19" x14ac:dyDescent="0.3">
      <c r="B30" s="174"/>
      <c r="C30" s="174"/>
      <c r="D30" s="174"/>
      <c r="E30" s="174"/>
      <c r="F30" s="174"/>
      <c r="G30" s="174"/>
      <c r="H30" s="174"/>
      <c r="I30" s="174"/>
      <c r="J30" s="174"/>
      <c r="K30" s="61"/>
      <c r="L30" s="61"/>
      <c r="M30" s="61"/>
      <c r="N30" s="61"/>
      <c r="O30" s="61"/>
    </row>
    <row r="31" spans="2:19" x14ac:dyDescent="0.3">
      <c r="B31" s="61"/>
      <c r="C31" s="61"/>
      <c r="D31" s="61"/>
      <c r="E31" s="61"/>
      <c r="F31" s="61"/>
      <c r="G31" s="61"/>
      <c r="H31" s="61"/>
      <c r="I31" s="61"/>
      <c r="J31" s="61"/>
      <c r="K31" s="61"/>
      <c r="L31" s="61"/>
      <c r="M31" s="61"/>
      <c r="N31" s="61"/>
      <c r="O31" s="61"/>
    </row>
    <row r="32" spans="2:19" x14ac:dyDescent="0.3">
      <c r="B32" s="61"/>
      <c r="C32" s="61"/>
      <c r="D32" s="61"/>
      <c r="E32" s="61"/>
      <c r="F32" s="61"/>
      <c r="G32" s="61"/>
      <c r="H32" s="61"/>
      <c r="I32" s="61"/>
      <c r="J32" s="61"/>
      <c r="K32" s="61"/>
      <c r="L32" s="61"/>
      <c r="M32" s="61"/>
      <c r="N32" s="61"/>
      <c r="O32" s="61"/>
    </row>
    <row r="33" spans="2:15" x14ac:dyDescent="0.3">
      <c r="B33" s="61"/>
      <c r="C33" s="61"/>
      <c r="D33" s="61"/>
      <c r="E33" s="61"/>
      <c r="F33" s="61"/>
      <c r="G33" s="61"/>
      <c r="H33" s="61"/>
      <c r="I33" s="61"/>
      <c r="J33" s="61"/>
      <c r="K33" s="61"/>
      <c r="L33" s="61"/>
      <c r="M33" s="61"/>
      <c r="N33" s="61"/>
      <c r="O33" s="61"/>
    </row>
    <row r="34" spans="2:15" x14ac:dyDescent="0.3">
      <c r="B34" s="61"/>
      <c r="C34" s="61"/>
      <c r="D34" s="61"/>
      <c r="E34" s="61"/>
      <c r="F34" s="61"/>
      <c r="G34" s="61"/>
      <c r="H34" s="61"/>
      <c r="I34" s="61"/>
      <c r="J34" s="61"/>
      <c r="K34" s="61"/>
      <c r="L34" s="61"/>
      <c r="M34" s="61"/>
      <c r="N34" s="61"/>
      <c r="O34" s="61"/>
    </row>
    <row r="35" spans="2:15" x14ac:dyDescent="0.3">
      <c r="B35" s="61"/>
      <c r="C35" s="61"/>
      <c r="D35" s="61"/>
      <c r="E35" s="61"/>
      <c r="F35" s="61"/>
      <c r="G35" s="61"/>
      <c r="H35" s="61"/>
      <c r="I35" s="61"/>
      <c r="J35" s="61"/>
      <c r="K35" s="61"/>
      <c r="L35" s="61"/>
      <c r="M35" s="61"/>
      <c r="N35" s="61"/>
      <c r="O35" s="61"/>
    </row>
    <row r="36" spans="2:15" x14ac:dyDescent="0.3">
      <c r="B36" s="61"/>
      <c r="C36" s="61"/>
      <c r="D36" s="61"/>
      <c r="E36" s="61"/>
      <c r="F36" s="61"/>
      <c r="G36" s="61"/>
      <c r="H36" s="61"/>
      <c r="I36" s="61"/>
      <c r="J36" s="61"/>
      <c r="K36" s="61"/>
      <c r="L36" s="61"/>
      <c r="M36" s="61"/>
      <c r="N36" s="61"/>
      <c r="O36" s="61"/>
    </row>
    <row r="37" spans="2:15" x14ac:dyDescent="0.3">
      <c r="B37" s="61"/>
      <c r="C37" s="61"/>
      <c r="D37" s="61"/>
      <c r="E37" s="61"/>
      <c r="F37" s="61"/>
      <c r="G37" s="61"/>
      <c r="H37" s="61"/>
      <c r="I37" s="61"/>
      <c r="J37" s="61"/>
      <c r="K37" s="61"/>
      <c r="L37" s="61"/>
      <c r="M37" s="61"/>
      <c r="N37" s="61"/>
      <c r="O37" s="61"/>
    </row>
    <row r="38" spans="2:15" x14ac:dyDescent="0.3">
      <c r="B38" s="125"/>
      <c r="C38" s="125"/>
      <c r="D38" s="125"/>
      <c r="E38" s="125"/>
      <c r="F38" s="125"/>
      <c r="G38" s="125"/>
      <c r="H38" s="125"/>
      <c r="I38" s="125"/>
      <c r="J38" s="125"/>
      <c r="K38" s="125"/>
      <c r="L38" s="125"/>
      <c r="M38" s="125"/>
      <c r="N38" s="125"/>
      <c r="O38" s="125"/>
    </row>
  </sheetData>
  <mergeCells count="4">
    <mergeCell ref="B2:I2"/>
    <mergeCell ref="N2:R2"/>
    <mergeCell ref="M11:R12"/>
    <mergeCell ref="B20:J30"/>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D9A61-CFE4-4ACD-BDC5-88DAE4791753}">
  <sheetPr>
    <tabColor rgb="FF00B050"/>
  </sheetPr>
  <dimension ref="B2:R89"/>
  <sheetViews>
    <sheetView showGridLines="0" workbookViewId="0">
      <selection activeCell="B2" sqref="B2:I2"/>
    </sheetView>
  </sheetViews>
  <sheetFormatPr defaultRowHeight="14.4" x14ac:dyDescent="0.3"/>
  <cols>
    <col min="16" max="16" width="12.21875" bestFit="1" customWidth="1"/>
  </cols>
  <sheetData>
    <row r="2" spans="2:18" x14ac:dyDescent="0.3">
      <c r="B2" s="164" t="str">
        <f>"Valuation Sustainability Analysis"&amp;" - "&amp;'Raw Data for Relative Valuation'!B5</f>
        <v>Valuation Sustainability Analysis - Open AI</v>
      </c>
      <c r="C2" s="164"/>
      <c r="D2" s="164"/>
      <c r="E2" s="164"/>
      <c r="F2" s="164"/>
      <c r="G2" s="164"/>
      <c r="H2" s="164"/>
      <c r="I2" s="164"/>
    </row>
    <row r="5" spans="2:18" ht="15" thickBot="1" x14ac:dyDescent="0.35">
      <c r="B5" s="132" t="s">
        <v>136</v>
      </c>
    </row>
    <row r="6" spans="2:18" ht="14.4" customHeight="1" x14ac:dyDescent="0.3">
      <c r="B6" s="224" t="s">
        <v>207</v>
      </c>
      <c r="C6" s="225"/>
      <c r="D6" s="225"/>
      <c r="E6" s="225"/>
      <c r="F6" s="225"/>
      <c r="G6" s="225"/>
      <c r="H6" s="225"/>
      <c r="I6" s="225"/>
      <c r="J6" s="225"/>
      <c r="K6" s="225"/>
      <c r="L6" s="225"/>
      <c r="M6" s="225"/>
      <c r="N6" s="225"/>
      <c r="O6" s="225"/>
      <c r="P6" s="226"/>
      <c r="Q6" s="61"/>
      <c r="R6" s="61"/>
    </row>
    <row r="7" spans="2:18" x14ac:dyDescent="0.3">
      <c r="B7" s="227"/>
      <c r="C7" s="181"/>
      <c r="D7" s="181"/>
      <c r="E7" s="181"/>
      <c r="F7" s="181"/>
      <c r="G7" s="181"/>
      <c r="H7" s="181"/>
      <c r="I7" s="181"/>
      <c r="J7" s="181"/>
      <c r="K7" s="181"/>
      <c r="L7" s="181"/>
      <c r="M7" s="181"/>
      <c r="N7" s="181"/>
      <c r="O7" s="181"/>
      <c r="P7" s="228"/>
      <c r="Q7" s="61"/>
      <c r="R7" s="61"/>
    </row>
    <row r="8" spans="2:18" x14ac:dyDescent="0.3">
      <c r="B8" s="227"/>
      <c r="C8" s="181"/>
      <c r="D8" s="181"/>
      <c r="E8" s="181"/>
      <c r="F8" s="181"/>
      <c r="G8" s="181"/>
      <c r="H8" s="181"/>
      <c r="I8" s="181"/>
      <c r="J8" s="181"/>
      <c r="K8" s="181"/>
      <c r="L8" s="181"/>
      <c r="M8" s="181"/>
      <c r="N8" s="181"/>
      <c r="O8" s="181"/>
      <c r="P8" s="228"/>
      <c r="Q8" s="61"/>
      <c r="R8" s="61"/>
    </row>
    <row r="9" spans="2:18" x14ac:dyDescent="0.3">
      <c r="B9" s="227"/>
      <c r="C9" s="181"/>
      <c r="D9" s="181"/>
      <c r="E9" s="181"/>
      <c r="F9" s="181"/>
      <c r="G9" s="181"/>
      <c r="H9" s="181"/>
      <c r="I9" s="181"/>
      <c r="J9" s="181"/>
      <c r="K9" s="181"/>
      <c r="L9" s="181"/>
      <c r="M9" s="181"/>
      <c r="N9" s="181"/>
      <c r="O9" s="181"/>
      <c r="P9" s="228"/>
      <c r="Q9" s="61"/>
      <c r="R9" s="61"/>
    </row>
    <row r="10" spans="2:18" x14ac:dyDescent="0.3">
      <c r="B10" s="227"/>
      <c r="C10" s="181"/>
      <c r="D10" s="181"/>
      <c r="E10" s="181"/>
      <c r="F10" s="181"/>
      <c r="G10" s="181"/>
      <c r="H10" s="181"/>
      <c r="I10" s="181"/>
      <c r="J10" s="181"/>
      <c r="K10" s="181"/>
      <c r="L10" s="181"/>
      <c r="M10" s="181"/>
      <c r="N10" s="181"/>
      <c r="O10" s="181"/>
      <c r="P10" s="228"/>
      <c r="Q10" s="61"/>
      <c r="R10" s="61"/>
    </row>
    <row r="11" spans="2:18" x14ac:dyDescent="0.3">
      <c r="B11" s="227"/>
      <c r="C11" s="181"/>
      <c r="D11" s="181"/>
      <c r="E11" s="181"/>
      <c r="F11" s="181"/>
      <c r="G11" s="181"/>
      <c r="H11" s="181"/>
      <c r="I11" s="181"/>
      <c r="J11" s="181"/>
      <c r="K11" s="181"/>
      <c r="L11" s="181"/>
      <c r="M11" s="181"/>
      <c r="N11" s="181"/>
      <c r="O11" s="181"/>
      <c r="P11" s="228"/>
      <c r="Q11" s="61"/>
      <c r="R11" s="61"/>
    </row>
    <row r="12" spans="2:18" x14ac:dyDescent="0.3">
      <c r="B12" s="227"/>
      <c r="C12" s="181"/>
      <c r="D12" s="181"/>
      <c r="E12" s="181"/>
      <c r="F12" s="181"/>
      <c r="G12" s="181"/>
      <c r="H12" s="181"/>
      <c r="I12" s="181"/>
      <c r="J12" s="181"/>
      <c r="K12" s="181"/>
      <c r="L12" s="181"/>
      <c r="M12" s="181"/>
      <c r="N12" s="181"/>
      <c r="O12" s="181"/>
      <c r="P12" s="228"/>
      <c r="Q12" s="61"/>
      <c r="R12" s="61"/>
    </row>
    <row r="13" spans="2:18" x14ac:dyDescent="0.3">
      <c r="B13" s="227"/>
      <c r="C13" s="181"/>
      <c r="D13" s="181"/>
      <c r="E13" s="181"/>
      <c r="F13" s="181"/>
      <c r="G13" s="181"/>
      <c r="H13" s="181"/>
      <c r="I13" s="181"/>
      <c r="J13" s="181"/>
      <c r="K13" s="181"/>
      <c r="L13" s="181"/>
      <c r="M13" s="181"/>
      <c r="N13" s="181"/>
      <c r="O13" s="181"/>
      <c r="P13" s="228"/>
      <c r="Q13" s="61"/>
      <c r="R13" s="61"/>
    </row>
    <row r="14" spans="2:18" x14ac:dyDescent="0.3">
      <c r="B14" s="227"/>
      <c r="C14" s="181"/>
      <c r="D14" s="181"/>
      <c r="E14" s="181"/>
      <c r="F14" s="181"/>
      <c r="G14" s="181"/>
      <c r="H14" s="181"/>
      <c r="I14" s="181"/>
      <c r="J14" s="181"/>
      <c r="K14" s="181"/>
      <c r="L14" s="181"/>
      <c r="M14" s="181"/>
      <c r="N14" s="181"/>
      <c r="O14" s="181"/>
      <c r="P14" s="228"/>
      <c r="Q14" s="61"/>
      <c r="R14" s="61"/>
    </row>
    <row r="15" spans="2:18" x14ac:dyDescent="0.3">
      <c r="B15" s="227"/>
      <c r="C15" s="181"/>
      <c r="D15" s="181"/>
      <c r="E15" s="181"/>
      <c r="F15" s="181"/>
      <c r="G15" s="181"/>
      <c r="H15" s="181"/>
      <c r="I15" s="181"/>
      <c r="J15" s="181"/>
      <c r="K15" s="181"/>
      <c r="L15" s="181"/>
      <c r="M15" s="181"/>
      <c r="N15" s="181"/>
      <c r="O15" s="181"/>
      <c r="P15" s="228"/>
      <c r="Q15" s="61"/>
      <c r="R15" s="61"/>
    </row>
    <row r="16" spans="2:18" x14ac:dyDescent="0.3">
      <c r="B16" s="227"/>
      <c r="C16" s="181"/>
      <c r="D16" s="181"/>
      <c r="E16" s="181"/>
      <c r="F16" s="181"/>
      <c r="G16" s="181"/>
      <c r="H16" s="181"/>
      <c r="I16" s="181"/>
      <c r="J16" s="181"/>
      <c r="K16" s="181"/>
      <c r="L16" s="181"/>
      <c r="M16" s="181"/>
      <c r="N16" s="181"/>
      <c r="O16" s="181"/>
      <c r="P16" s="228"/>
      <c r="Q16" s="61"/>
      <c r="R16" s="61"/>
    </row>
    <row r="17" spans="2:18" x14ac:dyDescent="0.3">
      <c r="B17" s="227"/>
      <c r="C17" s="181"/>
      <c r="D17" s="181"/>
      <c r="E17" s="181"/>
      <c r="F17" s="181"/>
      <c r="G17" s="181"/>
      <c r="H17" s="181"/>
      <c r="I17" s="181"/>
      <c r="J17" s="181"/>
      <c r="K17" s="181"/>
      <c r="L17" s="181"/>
      <c r="M17" s="181"/>
      <c r="N17" s="181"/>
      <c r="O17" s="181"/>
      <c r="P17" s="228"/>
      <c r="Q17" s="61"/>
      <c r="R17" s="61"/>
    </row>
    <row r="18" spans="2:18" x14ac:dyDescent="0.3">
      <c r="B18" s="227"/>
      <c r="C18" s="181"/>
      <c r="D18" s="181"/>
      <c r="E18" s="181"/>
      <c r="F18" s="181"/>
      <c r="G18" s="181"/>
      <c r="H18" s="181"/>
      <c r="I18" s="181"/>
      <c r="J18" s="181"/>
      <c r="K18" s="181"/>
      <c r="L18" s="181"/>
      <c r="M18" s="181"/>
      <c r="N18" s="181"/>
      <c r="O18" s="181"/>
      <c r="P18" s="228"/>
      <c r="Q18" s="61"/>
      <c r="R18" s="61"/>
    </row>
    <row r="19" spans="2:18" x14ac:dyDescent="0.3">
      <c r="B19" s="227"/>
      <c r="C19" s="181"/>
      <c r="D19" s="181"/>
      <c r="E19" s="181"/>
      <c r="F19" s="181"/>
      <c r="G19" s="181"/>
      <c r="H19" s="181"/>
      <c r="I19" s="181"/>
      <c r="J19" s="181"/>
      <c r="K19" s="181"/>
      <c r="L19" s="181"/>
      <c r="M19" s="181"/>
      <c r="N19" s="181"/>
      <c r="O19" s="181"/>
      <c r="P19" s="228"/>
      <c r="Q19" s="61"/>
      <c r="R19" s="61"/>
    </row>
    <row r="20" spans="2:18" x14ac:dyDescent="0.3">
      <c r="B20" s="227"/>
      <c r="C20" s="181"/>
      <c r="D20" s="181"/>
      <c r="E20" s="181"/>
      <c r="F20" s="181"/>
      <c r="G20" s="181"/>
      <c r="H20" s="181"/>
      <c r="I20" s="181"/>
      <c r="J20" s="181"/>
      <c r="K20" s="181"/>
      <c r="L20" s="181"/>
      <c r="M20" s="181"/>
      <c r="N20" s="181"/>
      <c r="O20" s="181"/>
      <c r="P20" s="228"/>
      <c r="Q20" s="61"/>
      <c r="R20" s="61"/>
    </row>
    <row r="21" spans="2:18" x14ac:dyDescent="0.3">
      <c r="B21" s="227"/>
      <c r="C21" s="181"/>
      <c r="D21" s="181"/>
      <c r="E21" s="181"/>
      <c r="F21" s="181"/>
      <c r="G21" s="181"/>
      <c r="H21" s="181"/>
      <c r="I21" s="181"/>
      <c r="J21" s="181"/>
      <c r="K21" s="181"/>
      <c r="L21" s="181"/>
      <c r="M21" s="181"/>
      <c r="N21" s="181"/>
      <c r="O21" s="181"/>
      <c r="P21" s="228"/>
      <c r="Q21" s="61"/>
      <c r="R21" s="61"/>
    </row>
    <row r="22" spans="2:18" x14ac:dyDescent="0.3">
      <c r="B22" s="227"/>
      <c r="C22" s="181"/>
      <c r="D22" s="181"/>
      <c r="E22" s="181"/>
      <c r="F22" s="181"/>
      <c r="G22" s="181"/>
      <c r="H22" s="181"/>
      <c r="I22" s="181"/>
      <c r="J22" s="181"/>
      <c r="K22" s="181"/>
      <c r="L22" s="181"/>
      <c r="M22" s="181"/>
      <c r="N22" s="181"/>
      <c r="O22" s="181"/>
      <c r="P22" s="228"/>
      <c r="Q22" s="61"/>
      <c r="R22" s="61"/>
    </row>
    <row r="23" spans="2:18" x14ac:dyDescent="0.3">
      <c r="B23" s="227"/>
      <c r="C23" s="181"/>
      <c r="D23" s="181"/>
      <c r="E23" s="181"/>
      <c r="F23" s="181"/>
      <c r="G23" s="181"/>
      <c r="H23" s="181"/>
      <c r="I23" s="181"/>
      <c r="J23" s="181"/>
      <c r="K23" s="181"/>
      <c r="L23" s="181"/>
      <c r="M23" s="181"/>
      <c r="N23" s="181"/>
      <c r="O23" s="181"/>
      <c r="P23" s="228"/>
      <c r="Q23" s="61"/>
      <c r="R23" s="61"/>
    </row>
    <row r="24" spans="2:18" x14ac:dyDescent="0.3">
      <c r="B24" s="227"/>
      <c r="C24" s="181"/>
      <c r="D24" s="181"/>
      <c r="E24" s="181"/>
      <c r="F24" s="181"/>
      <c r="G24" s="181"/>
      <c r="H24" s="181"/>
      <c r="I24" s="181"/>
      <c r="J24" s="181"/>
      <c r="K24" s="181"/>
      <c r="L24" s="181"/>
      <c r="M24" s="181"/>
      <c r="N24" s="181"/>
      <c r="O24" s="181"/>
      <c r="P24" s="228"/>
      <c r="Q24" s="61"/>
      <c r="R24" s="61"/>
    </row>
    <row r="25" spans="2:18" x14ac:dyDescent="0.3">
      <c r="B25" s="227"/>
      <c r="C25" s="181"/>
      <c r="D25" s="181"/>
      <c r="E25" s="181"/>
      <c r="F25" s="181"/>
      <c r="G25" s="181"/>
      <c r="H25" s="181"/>
      <c r="I25" s="181"/>
      <c r="J25" s="181"/>
      <c r="K25" s="181"/>
      <c r="L25" s="181"/>
      <c r="M25" s="181"/>
      <c r="N25" s="181"/>
      <c r="O25" s="181"/>
      <c r="P25" s="228"/>
      <c r="Q25" s="61"/>
      <c r="R25" s="61"/>
    </row>
    <row r="26" spans="2:18" x14ac:dyDescent="0.3">
      <c r="B26" s="227"/>
      <c r="C26" s="181"/>
      <c r="D26" s="181"/>
      <c r="E26" s="181"/>
      <c r="F26" s="181"/>
      <c r="G26" s="181"/>
      <c r="H26" s="181"/>
      <c r="I26" s="181"/>
      <c r="J26" s="181"/>
      <c r="K26" s="181"/>
      <c r="L26" s="181"/>
      <c r="M26" s="181"/>
      <c r="N26" s="181"/>
      <c r="O26" s="181"/>
      <c r="P26" s="228"/>
      <c r="Q26" s="61"/>
      <c r="R26" s="61"/>
    </row>
    <row r="27" spans="2:18" x14ac:dyDescent="0.3">
      <c r="B27" s="227"/>
      <c r="C27" s="181"/>
      <c r="D27" s="181"/>
      <c r="E27" s="181"/>
      <c r="F27" s="181"/>
      <c r="G27" s="181"/>
      <c r="H27" s="181"/>
      <c r="I27" s="181"/>
      <c r="J27" s="181"/>
      <c r="K27" s="181"/>
      <c r="L27" s="181"/>
      <c r="M27" s="181"/>
      <c r="N27" s="181"/>
      <c r="O27" s="181"/>
      <c r="P27" s="228"/>
      <c r="Q27" s="61"/>
      <c r="R27" s="61"/>
    </row>
    <row r="28" spans="2:18" x14ac:dyDescent="0.3">
      <c r="B28" s="227"/>
      <c r="C28" s="181"/>
      <c r="D28" s="181"/>
      <c r="E28" s="181"/>
      <c r="F28" s="181"/>
      <c r="G28" s="181"/>
      <c r="H28" s="181"/>
      <c r="I28" s="181"/>
      <c r="J28" s="181"/>
      <c r="K28" s="181"/>
      <c r="L28" s="181"/>
      <c r="M28" s="181"/>
      <c r="N28" s="181"/>
      <c r="O28" s="181"/>
      <c r="P28" s="228"/>
      <c r="Q28" s="61"/>
      <c r="R28" s="61"/>
    </row>
    <row r="29" spans="2:18" x14ac:dyDescent="0.3">
      <c r="B29" s="227"/>
      <c r="C29" s="181"/>
      <c r="D29" s="181"/>
      <c r="E29" s="181"/>
      <c r="F29" s="181"/>
      <c r="G29" s="181"/>
      <c r="H29" s="181"/>
      <c r="I29" s="181"/>
      <c r="J29" s="181"/>
      <c r="K29" s="181"/>
      <c r="L29" s="181"/>
      <c r="M29" s="181"/>
      <c r="N29" s="181"/>
      <c r="O29" s="181"/>
      <c r="P29" s="228"/>
      <c r="Q29" s="61"/>
      <c r="R29" s="61"/>
    </row>
    <row r="30" spans="2:18" x14ac:dyDescent="0.3">
      <c r="B30" s="227"/>
      <c r="C30" s="181"/>
      <c r="D30" s="181"/>
      <c r="E30" s="181"/>
      <c r="F30" s="181"/>
      <c r="G30" s="181"/>
      <c r="H30" s="181"/>
      <c r="I30" s="181"/>
      <c r="J30" s="181"/>
      <c r="K30" s="181"/>
      <c r="L30" s="181"/>
      <c r="M30" s="181"/>
      <c r="N30" s="181"/>
      <c r="O30" s="181"/>
      <c r="P30" s="228"/>
      <c r="Q30" s="61"/>
      <c r="R30" s="61"/>
    </row>
    <row r="31" spans="2:18" x14ac:dyDescent="0.3">
      <c r="B31" s="227"/>
      <c r="C31" s="181"/>
      <c r="D31" s="181"/>
      <c r="E31" s="181"/>
      <c r="F31" s="181"/>
      <c r="G31" s="181"/>
      <c r="H31" s="181"/>
      <c r="I31" s="181"/>
      <c r="J31" s="181"/>
      <c r="K31" s="181"/>
      <c r="L31" s="181"/>
      <c r="M31" s="181"/>
      <c r="N31" s="181"/>
      <c r="O31" s="181"/>
      <c r="P31" s="228"/>
      <c r="Q31" s="61"/>
      <c r="R31" s="61"/>
    </row>
    <row r="32" spans="2:18" x14ac:dyDescent="0.3">
      <c r="B32" s="227"/>
      <c r="C32" s="181"/>
      <c r="D32" s="181"/>
      <c r="E32" s="181"/>
      <c r="F32" s="181"/>
      <c r="G32" s="181"/>
      <c r="H32" s="181"/>
      <c r="I32" s="181"/>
      <c r="J32" s="181"/>
      <c r="K32" s="181"/>
      <c r="L32" s="181"/>
      <c r="M32" s="181"/>
      <c r="N32" s="181"/>
      <c r="O32" s="181"/>
      <c r="P32" s="228"/>
      <c r="Q32" s="61"/>
      <c r="R32" s="61"/>
    </row>
    <row r="33" spans="2:18" x14ac:dyDescent="0.3">
      <c r="B33" s="227"/>
      <c r="C33" s="181"/>
      <c r="D33" s="181"/>
      <c r="E33" s="181"/>
      <c r="F33" s="181"/>
      <c r="G33" s="181"/>
      <c r="H33" s="181"/>
      <c r="I33" s="181"/>
      <c r="J33" s="181"/>
      <c r="K33" s="181"/>
      <c r="L33" s="181"/>
      <c r="M33" s="181"/>
      <c r="N33" s="181"/>
      <c r="O33" s="181"/>
      <c r="P33" s="228"/>
      <c r="Q33" s="61"/>
      <c r="R33" s="61"/>
    </row>
    <row r="34" spans="2:18" x14ac:dyDescent="0.3">
      <c r="B34" s="227"/>
      <c r="C34" s="181"/>
      <c r="D34" s="181"/>
      <c r="E34" s="181"/>
      <c r="F34" s="181"/>
      <c r="G34" s="181"/>
      <c r="H34" s="181"/>
      <c r="I34" s="181"/>
      <c r="J34" s="181"/>
      <c r="K34" s="181"/>
      <c r="L34" s="181"/>
      <c r="M34" s="181"/>
      <c r="N34" s="181"/>
      <c r="O34" s="181"/>
      <c r="P34" s="228"/>
      <c r="Q34" s="61"/>
      <c r="R34" s="61"/>
    </row>
    <row r="35" spans="2:18" x14ac:dyDescent="0.3">
      <c r="B35" s="227"/>
      <c r="C35" s="181"/>
      <c r="D35" s="181"/>
      <c r="E35" s="181"/>
      <c r="F35" s="181"/>
      <c r="G35" s="181"/>
      <c r="H35" s="181"/>
      <c r="I35" s="181"/>
      <c r="J35" s="181"/>
      <c r="K35" s="181"/>
      <c r="L35" s="181"/>
      <c r="M35" s="181"/>
      <c r="N35" s="181"/>
      <c r="O35" s="181"/>
      <c r="P35" s="228"/>
      <c r="Q35" s="61"/>
      <c r="R35" s="61"/>
    </row>
    <row r="36" spans="2:18" x14ac:dyDescent="0.3">
      <c r="B36" s="227"/>
      <c r="C36" s="181"/>
      <c r="D36" s="181"/>
      <c r="E36" s="181"/>
      <c r="F36" s="181"/>
      <c r="G36" s="181"/>
      <c r="H36" s="181"/>
      <c r="I36" s="181"/>
      <c r="J36" s="181"/>
      <c r="K36" s="181"/>
      <c r="L36" s="181"/>
      <c r="M36" s="181"/>
      <c r="N36" s="181"/>
      <c r="O36" s="181"/>
      <c r="P36" s="228"/>
      <c r="Q36" s="61"/>
      <c r="R36" s="61"/>
    </row>
    <row r="37" spans="2:18" x14ac:dyDescent="0.3">
      <c r="B37" s="227"/>
      <c r="C37" s="181"/>
      <c r="D37" s="181"/>
      <c r="E37" s="181"/>
      <c r="F37" s="181"/>
      <c r="G37" s="181"/>
      <c r="H37" s="181"/>
      <c r="I37" s="181"/>
      <c r="J37" s="181"/>
      <c r="K37" s="181"/>
      <c r="L37" s="181"/>
      <c r="M37" s="181"/>
      <c r="N37" s="181"/>
      <c r="O37" s="181"/>
      <c r="P37" s="228"/>
      <c r="Q37" s="61"/>
      <c r="R37" s="61"/>
    </row>
    <row r="38" spans="2:18" x14ac:dyDescent="0.3">
      <c r="B38" s="227"/>
      <c r="C38" s="181"/>
      <c r="D38" s="181"/>
      <c r="E38" s="181"/>
      <c r="F38" s="181"/>
      <c r="G38" s="181"/>
      <c r="H38" s="181"/>
      <c r="I38" s="181"/>
      <c r="J38" s="181"/>
      <c r="K38" s="181"/>
      <c r="L38" s="181"/>
      <c r="M38" s="181"/>
      <c r="N38" s="181"/>
      <c r="O38" s="181"/>
      <c r="P38" s="228"/>
      <c r="Q38" s="61"/>
      <c r="R38" s="61"/>
    </row>
    <row r="39" spans="2:18" x14ac:dyDescent="0.3">
      <c r="B39" s="227"/>
      <c r="C39" s="181"/>
      <c r="D39" s="181"/>
      <c r="E39" s="181"/>
      <c r="F39" s="181"/>
      <c r="G39" s="181"/>
      <c r="H39" s="181"/>
      <c r="I39" s="181"/>
      <c r="J39" s="181"/>
      <c r="K39" s="181"/>
      <c r="L39" s="181"/>
      <c r="M39" s="181"/>
      <c r="N39" s="181"/>
      <c r="O39" s="181"/>
      <c r="P39" s="228"/>
      <c r="Q39" s="61"/>
      <c r="R39" s="61"/>
    </row>
    <row r="40" spans="2:18" ht="15" thickBot="1" x14ac:dyDescent="0.35">
      <c r="B40" s="229"/>
      <c r="C40" s="230"/>
      <c r="D40" s="230"/>
      <c r="E40" s="230"/>
      <c r="F40" s="230"/>
      <c r="G40" s="230"/>
      <c r="H40" s="230"/>
      <c r="I40" s="230"/>
      <c r="J40" s="230"/>
      <c r="K40" s="230"/>
      <c r="L40" s="230"/>
      <c r="M40" s="230"/>
      <c r="N40" s="230"/>
      <c r="O40" s="230"/>
      <c r="P40" s="231"/>
      <c r="Q40" s="61"/>
      <c r="R40" s="61"/>
    </row>
    <row r="41" spans="2:18" x14ac:dyDescent="0.3">
      <c r="B41" s="61"/>
      <c r="C41" s="61"/>
      <c r="D41" s="61"/>
      <c r="E41" s="61"/>
      <c r="F41" s="61"/>
      <c r="G41" s="61"/>
      <c r="H41" s="61"/>
      <c r="I41" s="61"/>
      <c r="J41" s="61"/>
      <c r="K41" s="61"/>
      <c r="L41" s="61"/>
      <c r="M41" s="61"/>
      <c r="N41" s="61"/>
      <c r="O41" s="61"/>
      <c r="P41" s="61"/>
      <c r="Q41" s="61"/>
      <c r="R41" s="61"/>
    </row>
    <row r="42" spans="2:18" x14ac:dyDescent="0.3">
      <c r="B42" s="61"/>
      <c r="C42" s="61"/>
      <c r="D42" s="61"/>
      <c r="E42" s="61"/>
      <c r="F42" s="61"/>
      <c r="G42" s="61"/>
      <c r="H42" s="61"/>
      <c r="I42" s="61"/>
      <c r="J42" s="61"/>
      <c r="K42" s="61"/>
      <c r="L42" s="61"/>
      <c r="M42" s="61"/>
      <c r="N42" s="61"/>
      <c r="O42" s="61"/>
      <c r="P42" s="61"/>
      <c r="Q42" s="61"/>
      <c r="R42" s="61"/>
    </row>
    <row r="43" spans="2:18" ht="15" thickBot="1" x14ac:dyDescent="0.35">
      <c r="B43" s="132" t="s">
        <v>137</v>
      </c>
      <c r="Q43" s="61"/>
      <c r="R43" s="61"/>
    </row>
    <row r="44" spans="2:18" ht="14.4" customHeight="1" x14ac:dyDescent="0.3">
      <c r="B44" s="215" t="s">
        <v>138</v>
      </c>
      <c r="C44" s="216"/>
      <c r="D44" s="216"/>
      <c r="E44" s="216"/>
      <c r="F44" s="216"/>
      <c r="G44" s="216"/>
      <c r="H44" s="216"/>
      <c r="I44" s="216"/>
      <c r="J44" s="216"/>
      <c r="K44" s="216"/>
      <c r="L44" s="216"/>
      <c r="M44" s="217"/>
      <c r="N44" s="61"/>
      <c r="O44" s="61"/>
      <c r="P44" s="61"/>
    </row>
    <row r="45" spans="2:18" x14ac:dyDescent="0.3">
      <c r="B45" s="218"/>
      <c r="C45" s="219"/>
      <c r="D45" s="219"/>
      <c r="E45" s="219"/>
      <c r="F45" s="219"/>
      <c r="G45" s="219"/>
      <c r="H45" s="219"/>
      <c r="I45" s="219"/>
      <c r="J45" s="219"/>
      <c r="K45" s="219"/>
      <c r="L45" s="219"/>
      <c r="M45" s="220"/>
      <c r="N45" s="61"/>
      <c r="O45" s="61"/>
      <c r="P45" s="61"/>
    </row>
    <row r="46" spans="2:18" x14ac:dyDescent="0.3">
      <c r="B46" s="218"/>
      <c r="C46" s="219"/>
      <c r="D46" s="219"/>
      <c r="E46" s="219"/>
      <c r="F46" s="219"/>
      <c r="G46" s="219"/>
      <c r="H46" s="219"/>
      <c r="I46" s="219"/>
      <c r="J46" s="219"/>
      <c r="K46" s="219"/>
      <c r="L46" s="219"/>
      <c r="M46" s="220"/>
      <c r="N46" s="61"/>
      <c r="O46" s="61"/>
      <c r="P46" s="61"/>
    </row>
    <row r="47" spans="2:18" x14ac:dyDescent="0.3">
      <c r="B47" s="218"/>
      <c r="C47" s="219"/>
      <c r="D47" s="219"/>
      <c r="E47" s="219"/>
      <c r="F47" s="219"/>
      <c r="G47" s="219"/>
      <c r="H47" s="219"/>
      <c r="I47" s="219"/>
      <c r="J47" s="219"/>
      <c r="K47" s="219"/>
      <c r="L47" s="219"/>
      <c r="M47" s="220"/>
      <c r="N47" s="61"/>
      <c r="O47" s="61"/>
      <c r="P47" s="61"/>
    </row>
    <row r="48" spans="2:18" x14ac:dyDescent="0.3">
      <c r="B48" s="218"/>
      <c r="C48" s="219"/>
      <c r="D48" s="219"/>
      <c r="E48" s="219"/>
      <c r="F48" s="219"/>
      <c r="G48" s="219"/>
      <c r="H48" s="219"/>
      <c r="I48" s="219"/>
      <c r="J48" s="219"/>
      <c r="K48" s="219"/>
      <c r="L48" s="219"/>
      <c r="M48" s="220"/>
      <c r="N48" s="61"/>
      <c r="O48" s="61"/>
      <c r="P48" s="61"/>
    </row>
    <row r="49" spans="2:16" x14ac:dyDescent="0.3">
      <c r="B49" s="218"/>
      <c r="C49" s="219"/>
      <c r="D49" s="219"/>
      <c r="E49" s="219"/>
      <c r="F49" s="219"/>
      <c r="G49" s="219"/>
      <c r="H49" s="219"/>
      <c r="I49" s="219"/>
      <c r="J49" s="219"/>
      <c r="K49" s="219"/>
      <c r="L49" s="219"/>
      <c r="M49" s="220"/>
      <c r="N49" s="61"/>
      <c r="O49" s="61"/>
      <c r="P49" s="61"/>
    </row>
    <row r="50" spans="2:16" x14ac:dyDescent="0.3">
      <c r="B50" s="218"/>
      <c r="C50" s="219"/>
      <c r="D50" s="219"/>
      <c r="E50" s="219"/>
      <c r="F50" s="219"/>
      <c r="G50" s="219"/>
      <c r="H50" s="219"/>
      <c r="I50" s="219"/>
      <c r="J50" s="219"/>
      <c r="K50" s="219"/>
      <c r="L50" s="219"/>
      <c r="M50" s="220"/>
      <c r="N50" s="61"/>
      <c r="O50" s="61"/>
      <c r="P50" s="61"/>
    </row>
    <row r="51" spans="2:16" x14ac:dyDescent="0.3">
      <c r="B51" s="218"/>
      <c r="C51" s="219"/>
      <c r="D51" s="219"/>
      <c r="E51" s="219"/>
      <c r="F51" s="219"/>
      <c r="G51" s="219"/>
      <c r="H51" s="219"/>
      <c r="I51" s="219"/>
      <c r="J51" s="219"/>
      <c r="K51" s="219"/>
      <c r="L51" s="219"/>
      <c r="M51" s="220"/>
      <c r="N51" s="61"/>
      <c r="O51" s="61"/>
      <c r="P51" s="61"/>
    </row>
    <row r="52" spans="2:16" x14ac:dyDescent="0.3">
      <c r="B52" s="218"/>
      <c r="C52" s="219"/>
      <c r="D52" s="219"/>
      <c r="E52" s="219"/>
      <c r="F52" s="219"/>
      <c r="G52" s="219"/>
      <c r="H52" s="219"/>
      <c r="I52" s="219"/>
      <c r="J52" s="219"/>
      <c r="K52" s="219"/>
      <c r="L52" s="219"/>
      <c r="M52" s="220"/>
      <c r="N52" s="61"/>
      <c r="O52" s="61"/>
      <c r="P52" s="61"/>
    </row>
    <row r="53" spans="2:16" x14ac:dyDescent="0.3">
      <c r="B53" s="218"/>
      <c r="C53" s="219"/>
      <c r="D53" s="219"/>
      <c r="E53" s="219"/>
      <c r="F53" s="219"/>
      <c r="G53" s="219"/>
      <c r="H53" s="219"/>
      <c r="I53" s="219"/>
      <c r="J53" s="219"/>
      <c r="K53" s="219"/>
      <c r="L53" s="219"/>
      <c r="M53" s="220"/>
      <c r="N53" s="61"/>
      <c r="O53" s="61"/>
      <c r="P53" s="61"/>
    </row>
    <row r="54" spans="2:16" x14ac:dyDescent="0.3">
      <c r="B54" s="218"/>
      <c r="C54" s="219"/>
      <c r="D54" s="219"/>
      <c r="E54" s="219"/>
      <c r="F54" s="219"/>
      <c r="G54" s="219"/>
      <c r="H54" s="219"/>
      <c r="I54" s="219"/>
      <c r="J54" s="219"/>
      <c r="K54" s="219"/>
      <c r="L54" s="219"/>
      <c r="M54" s="220"/>
      <c r="N54" s="61"/>
      <c r="O54" s="61"/>
      <c r="P54" s="61"/>
    </row>
    <row r="55" spans="2:16" x14ac:dyDescent="0.3">
      <c r="B55" s="218"/>
      <c r="C55" s="219"/>
      <c r="D55" s="219"/>
      <c r="E55" s="219"/>
      <c r="F55" s="219"/>
      <c r="G55" s="219"/>
      <c r="H55" s="219"/>
      <c r="I55" s="219"/>
      <c r="J55" s="219"/>
      <c r="K55" s="219"/>
      <c r="L55" s="219"/>
      <c r="M55" s="220"/>
      <c r="N55" s="61"/>
      <c r="O55" s="61"/>
      <c r="P55" s="61"/>
    </row>
    <row r="56" spans="2:16" x14ac:dyDescent="0.3">
      <c r="B56" s="218"/>
      <c r="C56" s="219"/>
      <c r="D56" s="219"/>
      <c r="E56" s="219"/>
      <c r="F56" s="219"/>
      <c r="G56" s="219"/>
      <c r="H56" s="219"/>
      <c r="I56" s="219"/>
      <c r="J56" s="219"/>
      <c r="K56" s="219"/>
      <c r="L56" s="219"/>
      <c r="M56" s="220"/>
      <c r="N56" s="61"/>
      <c r="O56" s="61"/>
      <c r="P56" s="61"/>
    </row>
    <row r="57" spans="2:16" ht="15" thickBot="1" x14ac:dyDescent="0.35">
      <c r="B57" s="221"/>
      <c r="C57" s="222"/>
      <c r="D57" s="222"/>
      <c r="E57" s="222"/>
      <c r="F57" s="222"/>
      <c r="G57" s="222"/>
      <c r="H57" s="222"/>
      <c r="I57" s="222"/>
      <c r="J57" s="222"/>
      <c r="K57" s="222"/>
      <c r="L57" s="222"/>
      <c r="M57" s="223"/>
      <c r="N57" s="61"/>
      <c r="O57" s="61"/>
      <c r="P57" s="61"/>
    </row>
    <row r="58" spans="2:16" x14ac:dyDescent="0.3">
      <c r="B58" s="61"/>
      <c r="C58" s="61"/>
      <c r="D58" s="61"/>
      <c r="E58" s="61"/>
      <c r="F58" s="61"/>
      <c r="G58" s="61"/>
      <c r="H58" s="61"/>
      <c r="I58" s="61"/>
      <c r="J58" s="61"/>
      <c r="K58" s="61"/>
      <c r="L58" s="61"/>
      <c r="M58" s="61"/>
      <c r="N58" s="61"/>
      <c r="O58" s="61"/>
      <c r="P58" s="61"/>
    </row>
    <row r="59" spans="2:16" x14ac:dyDescent="0.3">
      <c r="B59" s="61"/>
      <c r="C59" s="61"/>
      <c r="D59" s="61"/>
      <c r="E59" s="61"/>
      <c r="F59" s="61"/>
      <c r="G59" s="61"/>
      <c r="H59" s="61"/>
      <c r="I59" s="61"/>
      <c r="J59" s="61"/>
      <c r="K59" s="61"/>
      <c r="L59" s="61"/>
      <c r="M59" s="61"/>
      <c r="N59" s="61"/>
      <c r="O59" s="61"/>
      <c r="P59" s="61"/>
    </row>
    <row r="60" spans="2:16" ht="15" thickBot="1" x14ac:dyDescent="0.35">
      <c r="B60" s="132" t="s">
        <v>139</v>
      </c>
      <c r="N60" s="61"/>
      <c r="O60" s="61"/>
      <c r="P60" s="61"/>
    </row>
    <row r="61" spans="2:16" ht="14.4" customHeight="1" x14ac:dyDescent="0.3">
      <c r="B61" s="215" t="s">
        <v>140</v>
      </c>
      <c r="C61" s="216"/>
      <c r="D61" s="216"/>
      <c r="E61" s="216"/>
      <c r="F61" s="216"/>
      <c r="G61" s="216"/>
      <c r="H61" s="216"/>
      <c r="I61" s="216"/>
      <c r="J61" s="216"/>
      <c r="K61" s="216"/>
      <c r="L61" s="216"/>
      <c r="M61" s="217"/>
      <c r="N61" s="61"/>
      <c r="O61" s="61"/>
      <c r="P61" s="61"/>
    </row>
    <row r="62" spans="2:16" x14ac:dyDescent="0.3">
      <c r="B62" s="218"/>
      <c r="C62" s="219"/>
      <c r="D62" s="219"/>
      <c r="E62" s="219"/>
      <c r="F62" s="219"/>
      <c r="G62" s="219"/>
      <c r="H62" s="219"/>
      <c r="I62" s="219"/>
      <c r="J62" s="219"/>
      <c r="K62" s="219"/>
      <c r="L62" s="219"/>
      <c r="M62" s="220"/>
      <c r="N62" s="61"/>
      <c r="O62" s="61"/>
      <c r="P62" s="143"/>
    </row>
    <row r="63" spans="2:16" x14ac:dyDescent="0.3">
      <c r="B63" s="218"/>
      <c r="C63" s="219"/>
      <c r="D63" s="219"/>
      <c r="E63" s="219"/>
      <c r="F63" s="219"/>
      <c r="G63" s="219"/>
      <c r="H63" s="219"/>
      <c r="I63" s="219"/>
      <c r="J63" s="219"/>
      <c r="K63" s="219"/>
      <c r="L63" s="219"/>
      <c r="M63" s="220"/>
      <c r="N63" s="61"/>
      <c r="O63" s="61"/>
      <c r="P63" s="61"/>
    </row>
    <row r="64" spans="2:16" x14ac:dyDescent="0.3">
      <c r="B64" s="218"/>
      <c r="C64" s="219"/>
      <c r="D64" s="219"/>
      <c r="E64" s="219"/>
      <c r="F64" s="219"/>
      <c r="G64" s="219"/>
      <c r="H64" s="219"/>
      <c r="I64" s="219"/>
      <c r="J64" s="219"/>
      <c r="K64" s="219"/>
      <c r="L64" s="219"/>
      <c r="M64" s="220"/>
      <c r="N64" s="61"/>
      <c r="O64" s="61"/>
      <c r="P64" s="61"/>
    </row>
    <row r="65" spans="2:16" x14ac:dyDescent="0.3">
      <c r="B65" s="218"/>
      <c r="C65" s="219"/>
      <c r="D65" s="219"/>
      <c r="E65" s="219"/>
      <c r="F65" s="219"/>
      <c r="G65" s="219"/>
      <c r="H65" s="219"/>
      <c r="I65" s="219"/>
      <c r="J65" s="219"/>
      <c r="K65" s="219"/>
      <c r="L65" s="219"/>
      <c r="M65" s="220"/>
      <c r="N65" s="61"/>
      <c r="O65" s="61"/>
      <c r="P65" s="61"/>
    </row>
    <row r="66" spans="2:16" x14ac:dyDescent="0.3">
      <c r="B66" s="218"/>
      <c r="C66" s="219"/>
      <c r="D66" s="219"/>
      <c r="E66" s="219"/>
      <c r="F66" s="219"/>
      <c r="G66" s="219"/>
      <c r="H66" s="219"/>
      <c r="I66" s="219"/>
      <c r="J66" s="219"/>
      <c r="K66" s="219"/>
      <c r="L66" s="219"/>
      <c r="M66" s="220"/>
      <c r="N66" s="61"/>
      <c r="O66" s="61"/>
      <c r="P66" s="61"/>
    </row>
    <row r="67" spans="2:16" x14ac:dyDescent="0.3">
      <c r="B67" s="218"/>
      <c r="C67" s="219"/>
      <c r="D67" s="219"/>
      <c r="E67" s="219"/>
      <c r="F67" s="219"/>
      <c r="G67" s="219"/>
      <c r="H67" s="219"/>
      <c r="I67" s="219"/>
      <c r="J67" s="219"/>
      <c r="K67" s="219"/>
      <c r="L67" s="219"/>
      <c r="M67" s="220"/>
      <c r="N67" s="61"/>
      <c r="O67" s="61"/>
      <c r="P67" s="61"/>
    </row>
    <row r="68" spans="2:16" x14ac:dyDescent="0.3">
      <c r="B68" s="218"/>
      <c r="C68" s="219"/>
      <c r="D68" s="219"/>
      <c r="E68" s="219"/>
      <c r="F68" s="219"/>
      <c r="G68" s="219"/>
      <c r="H68" s="219"/>
      <c r="I68" s="219"/>
      <c r="J68" s="219"/>
      <c r="K68" s="219"/>
      <c r="L68" s="219"/>
      <c r="M68" s="220"/>
      <c r="N68" s="61"/>
      <c r="O68" s="61"/>
      <c r="P68" s="61"/>
    </row>
    <row r="69" spans="2:16" x14ac:dyDescent="0.3">
      <c r="B69" s="218"/>
      <c r="C69" s="219"/>
      <c r="D69" s="219"/>
      <c r="E69" s="219"/>
      <c r="F69" s="219"/>
      <c r="G69" s="219"/>
      <c r="H69" s="219"/>
      <c r="I69" s="219"/>
      <c r="J69" s="219"/>
      <c r="K69" s="219"/>
      <c r="L69" s="219"/>
      <c r="M69" s="220"/>
      <c r="N69" s="61"/>
      <c r="O69" s="61"/>
      <c r="P69" s="61"/>
    </row>
    <row r="70" spans="2:16" x14ac:dyDescent="0.3">
      <c r="B70" s="218"/>
      <c r="C70" s="219"/>
      <c r="D70" s="219"/>
      <c r="E70" s="219"/>
      <c r="F70" s="219"/>
      <c r="G70" s="219"/>
      <c r="H70" s="219"/>
      <c r="I70" s="219"/>
      <c r="J70" s="219"/>
      <c r="K70" s="219"/>
      <c r="L70" s="219"/>
      <c r="M70" s="220"/>
      <c r="N70" s="61"/>
      <c r="O70" s="61"/>
      <c r="P70" s="61"/>
    </row>
    <row r="71" spans="2:16" x14ac:dyDescent="0.3">
      <c r="B71" s="218"/>
      <c r="C71" s="219"/>
      <c r="D71" s="219"/>
      <c r="E71" s="219"/>
      <c r="F71" s="219"/>
      <c r="G71" s="219"/>
      <c r="H71" s="219"/>
      <c r="I71" s="219"/>
      <c r="J71" s="219"/>
      <c r="K71" s="219"/>
      <c r="L71" s="219"/>
      <c r="M71" s="220"/>
      <c r="N71" s="61"/>
      <c r="O71" s="61"/>
      <c r="P71" s="61"/>
    </row>
    <row r="72" spans="2:16" x14ac:dyDescent="0.3">
      <c r="B72" s="218"/>
      <c r="C72" s="219"/>
      <c r="D72" s="219"/>
      <c r="E72" s="219"/>
      <c r="F72" s="219"/>
      <c r="G72" s="219"/>
      <c r="H72" s="219"/>
      <c r="I72" s="219"/>
      <c r="J72" s="219"/>
      <c r="K72" s="219"/>
      <c r="L72" s="219"/>
      <c r="M72" s="220"/>
      <c r="N72" s="61"/>
      <c r="O72" s="61"/>
      <c r="P72" s="61"/>
    </row>
    <row r="73" spans="2:16" ht="15" thickBot="1" x14ac:dyDescent="0.35">
      <c r="B73" s="221"/>
      <c r="C73" s="222"/>
      <c r="D73" s="222"/>
      <c r="E73" s="222"/>
      <c r="F73" s="222"/>
      <c r="G73" s="222"/>
      <c r="H73" s="222"/>
      <c r="I73" s="222"/>
      <c r="J73" s="222"/>
      <c r="K73" s="222"/>
      <c r="L73" s="222"/>
      <c r="M73" s="223"/>
      <c r="N73" s="61"/>
      <c r="O73" s="61"/>
      <c r="P73" s="61"/>
    </row>
    <row r="74" spans="2:16" x14ac:dyDescent="0.3">
      <c r="B74" s="144"/>
      <c r="C74" s="144"/>
      <c r="D74" s="144"/>
      <c r="E74" s="144"/>
      <c r="F74" s="144"/>
      <c r="G74" s="144"/>
      <c r="H74" s="144"/>
      <c r="I74" s="144"/>
      <c r="J74" s="144"/>
      <c r="K74" s="144"/>
      <c r="L74" s="144"/>
      <c r="M74" s="144"/>
      <c r="N74" s="61"/>
      <c r="O74" s="61"/>
      <c r="P74" s="61"/>
    </row>
    <row r="75" spans="2:16" x14ac:dyDescent="0.3">
      <c r="B75" s="61"/>
      <c r="C75" s="61"/>
      <c r="D75" s="61"/>
      <c r="E75" s="61"/>
      <c r="F75" s="61"/>
      <c r="G75" s="61"/>
      <c r="H75" s="61"/>
      <c r="I75" s="61"/>
      <c r="J75" s="61"/>
      <c r="K75" s="61"/>
      <c r="L75" s="61"/>
      <c r="M75" s="61"/>
      <c r="N75" s="61"/>
      <c r="O75" s="61"/>
      <c r="P75" s="61"/>
    </row>
    <row r="76" spans="2:16" ht="15" thickBot="1" x14ac:dyDescent="0.35">
      <c r="B76" s="132" t="s">
        <v>141</v>
      </c>
      <c r="N76" s="61"/>
      <c r="O76" s="61"/>
      <c r="P76" s="61"/>
    </row>
    <row r="77" spans="2:16" ht="14.4" customHeight="1" x14ac:dyDescent="0.3">
      <c r="B77" s="184" t="s">
        <v>142</v>
      </c>
      <c r="C77" s="185"/>
      <c r="D77" s="185"/>
      <c r="E77" s="185"/>
      <c r="F77" s="185"/>
      <c r="G77" s="185"/>
      <c r="H77" s="185"/>
      <c r="I77" s="185"/>
      <c r="J77" s="185"/>
      <c r="K77" s="185"/>
      <c r="L77" s="185"/>
      <c r="M77" s="186"/>
      <c r="N77" s="61"/>
      <c r="O77" s="61"/>
      <c r="P77" s="61"/>
    </row>
    <row r="78" spans="2:16" x14ac:dyDescent="0.3">
      <c r="B78" s="187"/>
      <c r="C78" s="188"/>
      <c r="D78" s="188"/>
      <c r="E78" s="188"/>
      <c r="F78" s="188"/>
      <c r="G78" s="188"/>
      <c r="H78" s="188"/>
      <c r="I78" s="188"/>
      <c r="J78" s="188"/>
      <c r="K78" s="188"/>
      <c r="L78" s="188"/>
      <c r="M78" s="189"/>
    </row>
    <row r="79" spans="2:16" x14ac:dyDescent="0.3">
      <c r="B79" s="187"/>
      <c r="C79" s="188"/>
      <c r="D79" s="188"/>
      <c r="E79" s="188"/>
      <c r="F79" s="188"/>
      <c r="G79" s="188"/>
      <c r="H79" s="188"/>
      <c r="I79" s="188"/>
      <c r="J79" s="188"/>
      <c r="K79" s="188"/>
      <c r="L79" s="188"/>
      <c r="M79" s="189"/>
    </row>
    <row r="80" spans="2:16" x14ac:dyDescent="0.3">
      <c r="B80" s="187"/>
      <c r="C80" s="188"/>
      <c r="D80" s="188"/>
      <c r="E80" s="188"/>
      <c r="F80" s="188"/>
      <c r="G80" s="188"/>
      <c r="H80" s="188"/>
      <c r="I80" s="188"/>
      <c r="J80" s="188"/>
      <c r="K80" s="188"/>
      <c r="L80" s="188"/>
      <c r="M80" s="189"/>
    </row>
    <row r="81" spans="2:13" x14ac:dyDescent="0.3">
      <c r="B81" s="187"/>
      <c r="C81" s="188"/>
      <c r="D81" s="188"/>
      <c r="E81" s="188"/>
      <c r="F81" s="188"/>
      <c r="G81" s="188"/>
      <c r="H81" s="188"/>
      <c r="I81" s="188"/>
      <c r="J81" s="188"/>
      <c r="K81" s="188"/>
      <c r="L81" s="188"/>
      <c r="M81" s="189"/>
    </row>
    <row r="82" spans="2:13" x14ac:dyDescent="0.3">
      <c r="B82" s="187"/>
      <c r="C82" s="188"/>
      <c r="D82" s="188"/>
      <c r="E82" s="188"/>
      <c r="F82" s="188"/>
      <c r="G82" s="188"/>
      <c r="H82" s="188"/>
      <c r="I82" s="188"/>
      <c r="J82" s="188"/>
      <c r="K82" s="188"/>
      <c r="L82" s="188"/>
      <c r="M82" s="189"/>
    </row>
    <row r="83" spans="2:13" x14ac:dyDescent="0.3">
      <c r="B83" s="187"/>
      <c r="C83" s="188"/>
      <c r="D83" s="188"/>
      <c r="E83" s="188"/>
      <c r="F83" s="188"/>
      <c r="G83" s="188"/>
      <c r="H83" s="188"/>
      <c r="I83" s="188"/>
      <c r="J83" s="188"/>
      <c r="K83" s="188"/>
      <c r="L83" s="188"/>
      <c r="M83" s="189"/>
    </row>
    <row r="84" spans="2:13" x14ac:dyDescent="0.3">
      <c r="B84" s="187"/>
      <c r="C84" s="188"/>
      <c r="D84" s="188"/>
      <c r="E84" s="188"/>
      <c r="F84" s="188"/>
      <c r="G84" s="188"/>
      <c r="H84" s="188"/>
      <c r="I84" s="188"/>
      <c r="J84" s="188"/>
      <c r="K84" s="188"/>
      <c r="L84" s="188"/>
      <c r="M84" s="189"/>
    </row>
    <row r="85" spans="2:13" ht="15" thickBot="1" x14ac:dyDescent="0.35">
      <c r="B85" s="190"/>
      <c r="C85" s="191"/>
      <c r="D85" s="191"/>
      <c r="E85" s="191"/>
      <c r="F85" s="191"/>
      <c r="G85" s="191"/>
      <c r="H85" s="191"/>
      <c r="I85" s="191"/>
      <c r="J85" s="191"/>
      <c r="K85" s="191"/>
      <c r="L85" s="191"/>
      <c r="M85" s="192"/>
    </row>
    <row r="86" spans="2:13" x14ac:dyDescent="0.3">
      <c r="B86" s="144"/>
      <c r="C86" s="144"/>
      <c r="D86" s="144"/>
      <c r="E86" s="144"/>
      <c r="F86" s="144"/>
      <c r="G86" s="144"/>
      <c r="H86" s="144"/>
      <c r="I86" s="144"/>
      <c r="J86" s="144"/>
      <c r="K86" s="144"/>
      <c r="L86" s="144"/>
      <c r="M86" s="144"/>
    </row>
    <row r="87" spans="2:13" x14ac:dyDescent="0.3">
      <c r="B87" s="144"/>
      <c r="C87" s="144"/>
      <c r="D87" s="144"/>
      <c r="E87" s="144"/>
      <c r="F87" s="144"/>
      <c r="G87" s="144"/>
      <c r="H87" s="144"/>
      <c r="I87" s="144"/>
      <c r="J87" s="144"/>
      <c r="K87" s="144"/>
      <c r="L87" s="144"/>
      <c r="M87" s="144"/>
    </row>
    <row r="88" spans="2:13" x14ac:dyDescent="0.3">
      <c r="B88" s="144"/>
      <c r="C88" s="144"/>
      <c r="D88" s="144"/>
      <c r="E88" s="144"/>
      <c r="F88" s="144"/>
      <c r="G88" s="144"/>
      <c r="H88" s="144"/>
      <c r="I88" s="144"/>
      <c r="J88" s="144"/>
      <c r="K88" s="144"/>
      <c r="L88" s="144"/>
      <c r="M88" s="144"/>
    </row>
    <row r="89" spans="2:13" x14ac:dyDescent="0.3">
      <c r="B89" s="144"/>
      <c r="C89" s="144"/>
      <c r="D89" s="144"/>
      <c r="E89" s="144"/>
      <c r="F89" s="144"/>
      <c r="G89" s="144"/>
      <c r="H89" s="144"/>
      <c r="I89" s="144"/>
      <c r="J89" s="144"/>
      <c r="K89" s="144"/>
      <c r="L89" s="144"/>
      <c r="M89" s="144"/>
    </row>
  </sheetData>
  <mergeCells count="5">
    <mergeCell ref="B44:M57"/>
    <mergeCell ref="B61:M73"/>
    <mergeCell ref="B77:M85"/>
    <mergeCell ref="B2:I2"/>
    <mergeCell ref="B6:P4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620E0-B6E3-4B34-A8BE-8E72D51BF721}">
  <sheetPr>
    <tabColor rgb="FF92D050"/>
  </sheetPr>
  <dimension ref="B2:I2"/>
  <sheetViews>
    <sheetView showGridLines="0" tabSelected="1" workbookViewId="0">
      <selection activeCell="P1" sqref="P1"/>
    </sheetView>
  </sheetViews>
  <sheetFormatPr defaultRowHeight="14.4" x14ac:dyDescent="0.3"/>
  <sheetData>
    <row r="2" spans="2:9" x14ac:dyDescent="0.3">
      <c r="B2" s="164" t="str">
        <f>"SWOT Analysis"&amp;" - "&amp;'Raw Data for Relative Valuation'!B5</f>
        <v>SWOT Analysis - Open AI</v>
      </c>
      <c r="C2" s="164"/>
      <c r="D2" s="164"/>
      <c r="E2" s="164"/>
      <c r="F2" s="164"/>
      <c r="G2" s="164"/>
      <c r="H2" s="164"/>
      <c r="I2" s="164"/>
    </row>
  </sheetData>
  <mergeCells count="1">
    <mergeCell ref="B2:I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Assumptions</vt:lpstr>
      <vt:lpstr>Selection of peer companies</vt:lpstr>
      <vt:lpstr>WACC</vt:lpstr>
      <vt:lpstr>DCF Assumptions</vt:lpstr>
      <vt:lpstr>DCF &amp;Sensitivity Analysis</vt:lpstr>
      <vt:lpstr>Compr Scenario Analysis-DCF</vt:lpstr>
      <vt:lpstr>Raw Data for Relative Valuation</vt:lpstr>
      <vt:lpstr>OpenAI-Relative Valuation</vt:lpstr>
      <vt:lpstr>Football Field Analysis</vt:lpstr>
      <vt:lpstr>Valuation sustainability analys</vt:lpstr>
      <vt:lpstr>SWOT Analysis-Open AI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Hussain Muhammad</dc:creator>
  <cp:lastModifiedBy>Hussain Muhammad</cp:lastModifiedBy>
  <dcterms:created xsi:type="dcterms:W3CDTF">2024-10-27T16:05:22Z</dcterms:created>
  <dcterms:modified xsi:type="dcterms:W3CDTF">2024-12-25T20:04:54Z</dcterms:modified>
</cp:coreProperties>
</file>