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Waleed Ghani\Desktop\Upwork and Assirience work\Financial Modelling Whole\PIA Valuation Model for Privatisationn\"/>
    </mc:Choice>
  </mc:AlternateContent>
  <xr:revisionPtr revIDLastSave="0" documentId="13_ncr:1_{DE2089EC-47FC-4D1F-8837-63CCA8639A83}" xr6:coauthVersionLast="47" xr6:coauthVersionMax="47" xr10:uidLastSave="{00000000-0000-0000-0000-000000000000}"/>
  <bookViews>
    <workbookView xWindow="-108" yWindow="-108" windowWidth="23256" windowHeight="12576" firstSheet="20" activeTab="23" xr2:uid="{34E99394-02DC-47BD-9E5D-C62B56F00FF2}"/>
  </bookViews>
  <sheets>
    <sheet name="Assumptions" sheetId="31" r:id="rId1"/>
    <sheet name="Selection of peer companies" sheetId="33" r:id="rId2"/>
    <sheet name="Data-competitors" sheetId="2" r:id="rId3"/>
    <sheet name="WACC" sheetId="1" r:id="rId4"/>
    <sheet name="WACC Scenario Analysis" sheetId="30" r:id="rId5"/>
    <sheet name="Kd Calculation" sheetId="23" r:id="rId6"/>
    <sheet name="Rm (KSE-100 Returns)" sheetId="3" r:id="rId7"/>
    <sheet name="Beta-Turkish Airlines" sheetId="4" r:id="rId8"/>
    <sheet name="Beta-Singapore Airlines" sheetId="5" r:id="rId9"/>
    <sheet name="Beta-Garuda Indonesia" sheetId="10" r:id="rId10"/>
    <sheet name="Beta-China Eastern Airlines " sheetId="11" r:id="rId11"/>
    <sheet name="Beta-China Southern Airlines " sheetId="21" r:id="rId12"/>
    <sheet name="Raw BS" sheetId="32" r:id="rId13"/>
    <sheet name="Raw CF and Pnl Stm" sheetId="24" r:id="rId14"/>
    <sheet name="Intrinsic Growth Rate-PKR data" sheetId="12" r:id="rId15"/>
    <sheet name="DCF &amp; Sensitivity Analysis" sheetId="13" r:id="rId16"/>
    <sheet name="Further Sensitivity Analysis" sheetId="14" r:id="rId17"/>
    <sheet name="Compr Scenario Analysis-DCF" sheetId="15" r:id="rId18"/>
    <sheet name="Privatsation Bid Recommendation" sheetId="35" r:id="rId19"/>
    <sheet name="Feasibility of Privtisation Bid" sheetId="36" r:id="rId20"/>
    <sheet name="Raw Data for Relative Valuation" sheetId="16" r:id="rId21"/>
    <sheet name="PIA-Comp company Valuation" sheetId="18" r:id="rId22"/>
    <sheet name="Football Field Analysis" sheetId="19" r:id="rId23"/>
    <sheet name="Valuation Sumamry-PIA" sheetId="29" r:id="rId24"/>
  </sheets>
  <externalReferences>
    <externalReference r:id="rId25"/>
  </externalReferences>
  <definedNames>
    <definedName name="Beta">'[1]WACC, Ke, Kd calc'!$C$5</definedName>
    <definedName name="Costofdebt">'[1]WACC, Ke, Kd calc'!$C$8</definedName>
    <definedName name="IQ_ADDIN" hidden="1">"AUTO"</definedName>
    <definedName name="IQ_CH" hidden="1">110000</definedName>
    <definedName name="IQ_CQ" hidden="1">5000</definedName>
    <definedName name="IQ_CY" hidden="1">10000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MONTH" hidden="1">15000</definedName>
    <definedName name="IQ_NAMES_REVISION_DATE_" hidden="1">40218.8268634259</definedName>
    <definedName name="IQ_NTM" hidden="1">6000</definedName>
    <definedName name="IQ_TODAY" hidden="1">0</definedName>
    <definedName name="IQ_WEEK" hidden="1">50000</definedName>
    <definedName name="IQ_YTD" hidden="1">3000</definedName>
    <definedName name="Marketreturn">'[1]WACC, Ke, Kd calc'!$C$4</definedName>
    <definedName name="MVofdebt">'[1]WACC, Ke, Kd calc'!$C$13</definedName>
    <definedName name="MVofequity">'[1]WACC, Ke, Kd calc'!$C$12</definedName>
    <definedName name="Riskfreerate">'[1]WACC, Ke, Kd calc'!$C$3</definedName>
    <definedName name="Taxrate">'[1]WACC, Ke, Kd calc'!$C$9</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1" i="13" l="1"/>
  <c r="I14" i="13"/>
  <c r="B2" i="36" l="1"/>
  <c r="E58" i="13"/>
  <c r="M5" i="16"/>
  <c r="O66" i="12"/>
  <c r="N66" i="12"/>
  <c r="L21" i="1"/>
  <c r="K21" i="1"/>
  <c r="J20" i="1"/>
  <c r="K20" i="1"/>
  <c r="L20" i="1"/>
  <c r="Q29" i="18"/>
  <c r="Q28" i="18"/>
  <c r="Q27" i="18"/>
  <c r="L8" i="18"/>
  <c r="Q21" i="18"/>
  <c r="Q10" i="18"/>
  <c r="Q11" i="18"/>
  <c r="Q12" i="18"/>
  <c r="Q17" i="18" s="1"/>
  <c r="Q13" i="18"/>
  <c r="Q9" i="18"/>
  <c r="Q20" i="18" s="1"/>
  <c r="Q8" i="18"/>
  <c r="S33" i="18"/>
  <c r="D5" i="16"/>
  <c r="L5" i="16"/>
  <c r="I5" i="16"/>
  <c r="H5" i="16"/>
  <c r="K5" i="16"/>
  <c r="T10" i="18"/>
  <c r="T11" i="18"/>
  <c r="T12" i="18"/>
  <c r="T13" i="18"/>
  <c r="T9" i="18"/>
  <c r="T8" i="18"/>
  <c r="S13" i="18"/>
  <c r="E6" i="15"/>
  <c r="D6" i="15"/>
  <c r="C6" i="15"/>
  <c r="Q22" i="18" l="1"/>
  <c r="Q18" i="18"/>
  <c r="Q19" i="18"/>
  <c r="T19" i="18"/>
  <c r="T21" i="18"/>
  <c r="T20" i="18"/>
  <c r="T18" i="18"/>
  <c r="T22" i="18"/>
  <c r="T17" i="18"/>
  <c r="E7" i="15"/>
  <c r="D7" i="15"/>
  <c r="E8" i="15"/>
  <c r="D8" i="15"/>
  <c r="E9" i="15"/>
  <c r="D9" i="15"/>
  <c r="E10" i="15"/>
  <c r="D10" i="15"/>
  <c r="C10" i="15"/>
  <c r="C9" i="15"/>
  <c r="D5" i="35"/>
  <c r="E56" i="13"/>
  <c r="O35" i="18" s="1"/>
  <c r="P35" i="18" s="1"/>
  <c r="Q35" i="18" s="1"/>
  <c r="R35" i="18" s="1"/>
  <c r="S35" i="18" s="1"/>
  <c r="T35" i="18" s="1"/>
  <c r="N68" i="12"/>
  <c r="E21" i="13" s="1"/>
  <c r="I6" i="13"/>
  <c r="B2" i="35"/>
  <c r="E53" i="13"/>
  <c r="O30" i="18" s="1"/>
  <c r="C57" i="32"/>
  <c r="E51" i="13" s="1"/>
  <c r="I12" i="13"/>
  <c r="E50" i="13"/>
  <c r="R30" i="18" l="1"/>
  <c r="Q30" i="18"/>
  <c r="Q32" i="18" s="1"/>
  <c r="I73" i="12"/>
  <c r="H73" i="12"/>
  <c r="J56" i="12"/>
  <c r="K56" i="12" s="1"/>
  <c r="K73" i="12" s="1"/>
  <c r="I56" i="12"/>
  <c r="L49" i="12"/>
  <c r="K49" i="12"/>
  <c r="J49" i="12"/>
  <c r="I49" i="12"/>
  <c r="H49" i="12"/>
  <c r="L47" i="12"/>
  <c r="K47" i="12"/>
  <c r="J47" i="12"/>
  <c r="I47" i="12"/>
  <c r="H47" i="12"/>
  <c r="G101" i="24"/>
  <c r="F101" i="24"/>
  <c r="E101" i="24"/>
  <c r="D101" i="24"/>
  <c r="C101" i="24"/>
  <c r="L40" i="12"/>
  <c r="K40" i="12"/>
  <c r="J40" i="12"/>
  <c r="I40" i="12"/>
  <c r="L39" i="12"/>
  <c r="K39" i="12"/>
  <c r="J39" i="12"/>
  <c r="I39" i="12"/>
  <c r="L38" i="12"/>
  <c r="K38" i="12"/>
  <c r="J38" i="12"/>
  <c r="I38" i="12"/>
  <c r="L37" i="12"/>
  <c r="K37" i="12"/>
  <c r="J37" i="12"/>
  <c r="I37" i="12"/>
  <c r="L36" i="12"/>
  <c r="K36" i="12"/>
  <c r="J36" i="12"/>
  <c r="I36" i="12"/>
  <c r="L35" i="12"/>
  <c r="K35" i="12"/>
  <c r="J35" i="12"/>
  <c r="I35" i="12"/>
  <c r="H36" i="12"/>
  <c r="H37" i="12"/>
  <c r="H38" i="12"/>
  <c r="H39" i="12"/>
  <c r="H40" i="12"/>
  <c r="H35" i="12"/>
  <c r="L28" i="12"/>
  <c r="K28" i="12"/>
  <c r="J28" i="12"/>
  <c r="I28" i="12"/>
  <c r="L27" i="12"/>
  <c r="K27" i="12"/>
  <c r="J27" i="12"/>
  <c r="I27" i="12"/>
  <c r="L26" i="12"/>
  <c r="K26" i="12"/>
  <c r="J26" i="12"/>
  <c r="I26" i="12"/>
  <c r="L25" i="12"/>
  <c r="K25" i="12"/>
  <c r="J25" i="12"/>
  <c r="I25" i="12"/>
  <c r="L24" i="12"/>
  <c r="K24" i="12"/>
  <c r="J24" i="12"/>
  <c r="I24" i="12"/>
  <c r="L23" i="12"/>
  <c r="L30" i="12" s="1"/>
  <c r="K23" i="12"/>
  <c r="J23" i="12"/>
  <c r="I23" i="12"/>
  <c r="H24" i="12"/>
  <c r="H25" i="12"/>
  <c r="H26" i="12"/>
  <c r="H27" i="12"/>
  <c r="H28" i="12"/>
  <c r="H23" i="12"/>
  <c r="L16" i="12"/>
  <c r="K16" i="12"/>
  <c r="J16" i="12"/>
  <c r="I16" i="12"/>
  <c r="L15" i="12"/>
  <c r="K15" i="12"/>
  <c r="J15" i="12"/>
  <c r="I15" i="12"/>
  <c r="L14" i="12"/>
  <c r="K14" i="12"/>
  <c r="J14" i="12"/>
  <c r="I14" i="12"/>
  <c r="L13" i="12"/>
  <c r="K13" i="12"/>
  <c r="J13" i="12"/>
  <c r="I13" i="12"/>
  <c r="L12" i="12"/>
  <c r="K12" i="12"/>
  <c r="J12" i="12"/>
  <c r="I12" i="12"/>
  <c r="H13" i="12"/>
  <c r="H14" i="12"/>
  <c r="H15" i="12"/>
  <c r="H16" i="12"/>
  <c r="H12" i="12"/>
  <c r="L9" i="12"/>
  <c r="K9" i="12"/>
  <c r="J9" i="12"/>
  <c r="I9" i="12"/>
  <c r="H9" i="12"/>
  <c r="L8" i="12"/>
  <c r="K8" i="12"/>
  <c r="J8" i="12"/>
  <c r="I8" i="12"/>
  <c r="H8" i="12"/>
  <c r="J5" i="12"/>
  <c r="K5" i="12" s="1"/>
  <c r="L5" i="12" s="1"/>
  <c r="C6" i="23"/>
  <c r="C9" i="23"/>
  <c r="C10" i="23" s="1"/>
  <c r="G28" i="30"/>
  <c r="C38" i="1"/>
  <c r="C37" i="1"/>
  <c r="H20" i="1"/>
  <c r="H21" i="1"/>
  <c r="N11" i="16"/>
  <c r="L11" i="16"/>
  <c r="K11" i="16"/>
  <c r="J11" i="16"/>
  <c r="I11" i="16"/>
  <c r="C13" i="2" s="1"/>
  <c r="F18" i="1" s="1"/>
  <c r="H11" i="16"/>
  <c r="D11" i="16"/>
  <c r="D13" i="2" s="1"/>
  <c r="G18" i="1" s="1"/>
  <c r="C11" i="16"/>
  <c r="N10" i="16"/>
  <c r="L10" i="16"/>
  <c r="K10" i="16"/>
  <c r="J10" i="16"/>
  <c r="H10" i="16"/>
  <c r="I10" i="16"/>
  <c r="C12" i="2" s="1"/>
  <c r="E10" i="16"/>
  <c r="D10" i="16"/>
  <c r="D12" i="2" s="1"/>
  <c r="C10" i="16"/>
  <c r="D11" i="2"/>
  <c r="C11" i="2"/>
  <c r="J9" i="16"/>
  <c r="C9" i="16"/>
  <c r="C7" i="16"/>
  <c r="D7" i="16"/>
  <c r="D9" i="2" s="1"/>
  <c r="N7" i="16"/>
  <c r="L7" i="16"/>
  <c r="K7" i="16"/>
  <c r="J7" i="16"/>
  <c r="I7" i="16"/>
  <c r="C9" i="2" s="1"/>
  <c r="H7" i="16"/>
  <c r="E7" i="16"/>
  <c r="N8" i="16"/>
  <c r="C8" i="16"/>
  <c r="D8" i="16"/>
  <c r="D10" i="2" s="1"/>
  <c r="H8" i="16"/>
  <c r="I8" i="16"/>
  <c r="C10" i="2" s="1"/>
  <c r="L8" i="16"/>
  <c r="J8" i="16"/>
  <c r="K8" i="16"/>
  <c r="B2" i="33"/>
  <c r="D7" i="2"/>
  <c r="C7" i="2"/>
  <c r="J59" i="32"/>
  <c r="J37" i="32"/>
  <c r="J57" i="32"/>
  <c r="J53" i="32"/>
  <c r="J44" i="32"/>
  <c r="B58" i="24"/>
  <c r="B2" i="24"/>
  <c r="B2" i="32"/>
  <c r="K18" i="1"/>
  <c r="K17" i="1"/>
  <c r="K16" i="1"/>
  <c r="K15" i="1"/>
  <c r="K14" i="1"/>
  <c r="B18" i="1"/>
  <c r="O10" i="10"/>
  <c r="D67" i="10"/>
  <c r="D68" i="10"/>
  <c r="D69" i="10"/>
  <c r="D70" i="10"/>
  <c r="D71" i="10"/>
  <c r="D72" i="10"/>
  <c r="H69" i="21"/>
  <c r="H72" i="21"/>
  <c r="D67" i="21"/>
  <c r="D68" i="21"/>
  <c r="D69" i="21"/>
  <c r="D70" i="21"/>
  <c r="D71" i="21"/>
  <c r="D72" i="21"/>
  <c r="G8" i="21"/>
  <c r="G9" i="21"/>
  <c r="G10" i="21"/>
  <c r="G11" i="21"/>
  <c r="G12" i="21"/>
  <c r="G13" i="21"/>
  <c r="G14" i="21"/>
  <c r="G15" i="21"/>
  <c r="G16" i="21"/>
  <c r="G17" i="21"/>
  <c r="G18" i="21"/>
  <c r="G19" i="21"/>
  <c r="G20" i="21"/>
  <c r="G21" i="21"/>
  <c r="G22" i="21"/>
  <c r="G23" i="21"/>
  <c r="G24" i="21"/>
  <c r="G25" i="21"/>
  <c r="G26" i="21"/>
  <c r="G27" i="21"/>
  <c r="G28" i="21"/>
  <c r="G29" i="21"/>
  <c r="G30" i="21"/>
  <c r="G31" i="21"/>
  <c r="G32" i="21"/>
  <c r="G33" i="21"/>
  <c r="G34" i="21"/>
  <c r="G35" i="21"/>
  <c r="G36" i="21"/>
  <c r="G37" i="21"/>
  <c r="G38" i="21"/>
  <c r="G39" i="21"/>
  <c r="G40" i="21"/>
  <c r="G41" i="21"/>
  <c r="G42" i="21"/>
  <c r="G43" i="21"/>
  <c r="G44" i="21"/>
  <c r="G45" i="21"/>
  <c r="G46" i="21"/>
  <c r="G47" i="21"/>
  <c r="G48" i="21"/>
  <c r="G49" i="21"/>
  <c r="G50" i="21"/>
  <c r="G51" i="21"/>
  <c r="G52" i="21"/>
  <c r="G53" i="21"/>
  <c r="G54" i="21"/>
  <c r="G55" i="21"/>
  <c r="G56" i="21"/>
  <c r="G57" i="21"/>
  <c r="G58" i="21"/>
  <c r="G59" i="21"/>
  <c r="G60" i="21"/>
  <c r="G61" i="21"/>
  <c r="G62" i="21"/>
  <c r="G63" i="21"/>
  <c r="G64" i="21"/>
  <c r="G65" i="21"/>
  <c r="G66" i="21"/>
  <c r="G67" i="21"/>
  <c r="H67" i="21" s="1"/>
  <c r="G68" i="21"/>
  <c r="H68" i="21" s="1"/>
  <c r="G69" i="21"/>
  <c r="G70" i="21"/>
  <c r="H70" i="21" s="1"/>
  <c r="G71" i="21"/>
  <c r="H71" i="21" s="1"/>
  <c r="G72" i="21"/>
  <c r="G7" i="21"/>
  <c r="B4" i="21"/>
  <c r="H67" i="11"/>
  <c r="H68" i="11"/>
  <c r="H69" i="11"/>
  <c r="H70" i="11"/>
  <c r="H71" i="11"/>
  <c r="H72" i="11"/>
  <c r="D67" i="11"/>
  <c r="D68" i="11"/>
  <c r="D69" i="11"/>
  <c r="D70" i="11"/>
  <c r="D71" i="11"/>
  <c r="D72" i="11"/>
  <c r="B4" i="11"/>
  <c r="H67" i="10"/>
  <c r="H68" i="10"/>
  <c r="H69" i="10"/>
  <c r="H70" i="10"/>
  <c r="H71" i="10"/>
  <c r="H72" i="10"/>
  <c r="B4" i="10"/>
  <c r="B2" i="10"/>
  <c r="B2" i="11" s="1"/>
  <c r="B2" i="21" s="1"/>
  <c r="O10" i="5"/>
  <c r="O8" i="5"/>
  <c r="O6" i="5"/>
  <c r="H67" i="5"/>
  <c r="H68" i="5"/>
  <c r="H69" i="5"/>
  <c r="H70" i="5"/>
  <c r="H71" i="5"/>
  <c r="H72"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8" i="5"/>
  <c r="D8" i="4"/>
  <c r="B4" i="5"/>
  <c r="Q10" i="4"/>
  <c r="J30" i="12" l="1"/>
  <c r="L56" i="12"/>
  <c r="L73" i="12" s="1"/>
  <c r="J73" i="12"/>
  <c r="K30" i="12"/>
  <c r="H30" i="12"/>
  <c r="L18" i="12"/>
  <c r="K18" i="12"/>
  <c r="I30" i="12"/>
  <c r="H18" i="12"/>
  <c r="H32" i="12" s="1"/>
  <c r="I18" i="12"/>
  <c r="J18" i="12"/>
  <c r="Q8" i="4"/>
  <c r="Q6" i="4"/>
  <c r="B4" i="4"/>
  <c r="H67" i="4"/>
  <c r="H68" i="4"/>
  <c r="H69" i="4"/>
  <c r="H70" i="4"/>
  <c r="H71" i="4"/>
  <c r="H72" i="4"/>
  <c r="D67" i="4"/>
  <c r="D68" i="4"/>
  <c r="D69" i="4"/>
  <c r="D70" i="4"/>
  <c r="D71" i="4"/>
  <c r="D72" i="4"/>
  <c r="C18" i="3"/>
  <c r="C17" i="3"/>
  <c r="B10" i="3"/>
  <c r="B9" i="3" s="1"/>
  <c r="B8" i="3" s="1"/>
  <c r="B7" i="3" s="1"/>
  <c r="G37" i="32" l="1"/>
  <c r="F37" i="32"/>
  <c r="E37" i="32"/>
  <c r="D37" i="32"/>
  <c r="C37" i="32"/>
  <c r="G92" i="24"/>
  <c r="F92" i="24"/>
  <c r="E92" i="24"/>
  <c r="D92" i="24"/>
  <c r="C92" i="24"/>
  <c r="H92" i="24"/>
  <c r="C39" i="24"/>
  <c r="E40" i="24"/>
  <c r="F40" i="24" s="1"/>
  <c r="G40" i="24" s="1"/>
  <c r="G76" i="24"/>
  <c r="F76" i="24"/>
  <c r="E76" i="24"/>
  <c r="D76" i="24"/>
  <c r="C76" i="24"/>
  <c r="G68" i="24"/>
  <c r="G70" i="24" s="1"/>
  <c r="F68" i="24"/>
  <c r="F70" i="24" s="1"/>
  <c r="E68" i="24"/>
  <c r="E70" i="24" s="1"/>
  <c r="E78" i="24" s="1"/>
  <c r="E82" i="24" s="1"/>
  <c r="E86" i="24" s="1"/>
  <c r="E90" i="24" s="1"/>
  <c r="E97" i="24" s="1"/>
  <c r="D68" i="24"/>
  <c r="D70" i="24" s="1"/>
  <c r="C68" i="24"/>
  <c r="C70" i="24" s="1"/>
  <c r="G53" i="32"/>
  <c r="F53" i="32"/>
  <c r="E53" i="32"/>
  <c r="D53" i="32"/>
  <c r="C53" i="32"/>
  <c r="G78" i="24" l="1"/>
  <c r="G82" i="24" s="1"/>
  <c r="G86" i="24" s="1"/>
  <c r="G90" i="24" s="1"/>
  <c r="G97" i="24" s="1"/>
  <c r="F78" i="24"/>
  <c r="F82" i="24" s="1"/>
  <c r="F86" i="24" s="1"/>
  <c r="F90" i="24" s="1"/>
  <c r="F97" i="24" s="1"/>
  <c r="E98" i="24"/>
  <c r="D78" i="24"/>
  <c r="D82" i="24" s="1"/>
  <c r="D86" i="24" s="1"/>
  <c r="D90" i="24" s="1"/>
  <c r="C78" i="24"/>
  <c r="C82" i="24" s="1"/>
  <c r="C86" i="24" s="1"/>
  <c r="C90" i="24" s="1"/>
  <c r="C98" i="24" s="1"/>
  <c r="G98" i="24" l="1"/>
  <c r="F98" i="24"/>
  <c r="D97" i="24"/>
  <c r="D98" i="24"/>
  <c r="C97" i="24"/>
  <c r="G44" i="32" l="1"/>
  <c r="F44" i="32"/>
  <c r="E44" i="32"/>
  <c r="D44" i="32"/>
  <c r="C44" i="32"/>
  <c r="G55" i="32" l="1"/>
  <c r="C55" i="32"/>
  <c r="F55" i="32"/>
  <c r="D55" i="32"/>
  <c r="E55" i="32"/>
  <c r="C25" i="32"/>
  <c r="G25" i="32"/>
  <c r="F25" i="32"/>
  <c r="E25" i="32"/>
  <c r="D25" i="32"/>
  <c r="C15" i="32"/>
  <c r="G15" i="32"/>
  <c r="F15" i="32"/>
  <c r="E15" i="32"/>
  <c r="D15" i="32"/>
  <c r="E4" i="32"/>
  <c r="F4" i="32" s="1"/>
  <c r="G4" i="32" s="1"/>
  <c r="E61" i="24"/>
  <c r="F61" i="24" s="1"/>
  <c r="G61" i="24" s="1"/>
  <c r="B2" i="31"/>
  <c r="R33" i="18"/>
  <c r="B34" i="30"/>
  <c r="B28" i="30"/>
  <c r="I31" i="30"/>
  <c r="H31" i="30"/>
  <c r="G31" i="30"/>
  <c r="F31" i="30"/>
  <c r="E31" i="30"/>
  <c r="D31" i="30"/>
  <c r="C31" i="30"/>
  <c r="I30" i="30"/>
  <c r="H30" i="30"/>
  <c r="G30" i="30"/>
  <c r="F30" i="30"/>
  <c r="E30" i="30"/>
  <c r="D30" i="30"/>
  <c r="C30" i="30"/>
  <c r="I29" i="30"/>
  <c r="H29" i="30"/>
  <c r="G29" i="30"/>
  <c r="F29" i="30"/>
  <c r="E29" i="30"/>
  <c r="D29" i="30"/>
  <c r="C29" i="30"/>
  <c r="I28" i="30"/>
  <c r="H28" i="30"/>
  <c r="F28" i="30"/>
  <c r="E28" i="30"/>
  <c r="D28" i="30"/>
  <c r="C28" i="30"/>
  <c r="I27" i="30"/>
  <c r="H27" i="30"/>
  <c r="G27" i="30"/>
  <c r="F27" i="30"/>
  <c r="E27" i="30"/>
  <c r="D27" i="30"/>
  <c r="C27" i="30"/>
  <c r="I26" i="30"/>
  <c r="H26" i="30"/>
  <c r="G26" i="30"/>
  <c r="F26" i="30"/>
  <c r="E26" i="30"/>
  <c r="D26" i="30"/>
  <c r="C26" i="30"/>
  <c r="I25" i="30"/>
  <c r="H25" i="30"/>
  <c r="G25" i="30"/>
  <c r="F25" i="30"/>
  <c r="E25" i="30"/>
  <c r="D25" i="30"/>
  <c r="C25" i="30"/>
  <c r="I24" i="30"/>
  <c r="G24" i="30"/>
  <c r="F24" i="30"/>
  <c r="E24" i="30"/>
  <c r="D24" i="30"/>
  <c r="D23" i="30"/>
  <c r="C21" i="30"/>
  <c r="B21" i="30"/>
  <c r="B5" i="30"/>
  <c r="B18" i="30"/>
  <c r="D7" i="30"/>
  <c r="B13" i="30"/>
  <c r="I15" i="30"/>
  <c r="H15" i="30"/>
  <c r="G15" i="30"/>
  <c r="F15" i="30"/>
  <c r="E15" i="30"/>
  <c r="D15" i="30"/>
  <c r="I14" i="30"/>
  <c r="H14" i="30"/>
  <c r="G14" i="30"/>
  <c r="F14" i="30"/>
  <c r="E14" i="30"/>
  <c r="D14" i="30"/>
  <c r="I13" i="30"/>
  <c r="H13" i="30"/>
  <c r="G13" i="30"/>
  <c r="F13" i="30"/>
  <c r="E13" i="30"/>
  <c r="D13" i="30"/>
  <c r="I12" i="30"/>
  <c r="H12" i="30"/>
  <c r="G12" i="30"/>
  <c r="F12" i="30"/>
  <c r="E12" i="30"/>
  <c r="D12" i="30"/>
  <c r="I11" i="30"/>
  <c r="H11" i="30"/>
  <c r="G11" i="30"/>
  <c r="F11" i="30"/>
  <c r="E11" i="30"/>
  <c r="D11" i="30"/>
  <c r="I10" i="30"/>
  <c r="H10" i="30"/>
  <c r="G10" i="30"/>
  <c r="F10" i="30"/>
  <c r="E10" i="30"/>
  <c r="D10" i="30"/>
  <c r="I9" i="30"/>
  <c r="H9" i="30"/>
  <c r="G9" i="30"/>
  <c r="F9" i="30"/>
  <c r="E9" i="30"/>
  <c r="D9" i="30"/>
  <c r="I8" i="30"/>
  <c r="G8" i="30"/>
  <c r="F8" i="30"/>
  <c r="E8" i="30"/>
  <c r="D8" i="30"/>
  <c r="C10" i="30"/>
  <c r="C11" i="30"/>
  <c r="C12" i="30"/>
  <c r="C13" i="30"/>
  <c r="C14" i="30"/>
  <c r="C15" i="30"/>
  <c r="C9" i="30"/>
  <c r="C5" i="30"/>
  <c r="H24" i="30"/>
  <c r="H8" i="30"/>
  <c r="B55" i="1"/>
  <c r="G27" i="32" l="1"/>
  <c r="E27" i="32"/>
  <c r="F27" i="32"/>
  <c r="C27" i="32"/>
  <c r="D27" i="32"/>
  <c r="B2" i="30"/>
  <c r="B2" i="29"/>
  <c r="U10" i="18" l="1"/>
  <c r="U11" i="18"/>
  <c r="U12" i="18"/>
  <c r="U13" i="18"/>
  <c r="U9" i="18"/>
  <c r="U8" i="18"/>
  <c r="S10" i="18"/>
  <c r="S11" i="18"/>
  <c r="S12" i="18"/>
  <c r="S9" i="18"/>
  <c r="S8" i="18"/>
  <c r="R8" i="18"/>
  <c r="U17" i="18" l="1"/>
  <c r="U22" i="18"/>
  <c r="U18" i="18"/>
  <c r="U19" i="18"/>
  <c r="U21" i="18"/>
  <c r="U20" i="18"/>
  <c r="S21" i="18"/>
  <c r="S17" i="18"/>
  <c r="S19" i="18"/>
  <c r="S20" i="18"/>
  <c r="S22" i="18"/>
  <c r="S18" i="18"/>
  <c r="S27" i="18" l="1"/>
  <c r="G8" i="18"/>
  <c r="T28" i="18" s="1"/>
  <c r="D8" i="18"/>
  <c r="O5" i="16"/>
  <c r="C8" i="15"/>
  <c r="C5" i="16"/>
  <c r="S29" i="18" l="1"/>
  <c r="O28" i="18"/>
  <c r="S30" i="18"/>
  <c r="S28" i="18"/>
  <c r="C45" i="24"/>
  <c r="H58" i="12" s="1"/>
  <c r="L61" i="12"/>
  <c r="K61" i="12"/>
  <c r="J61" i="12"/>
  <c r="I61" i="12"/>
  <c r="H61" i="12"/>
  <c r="D57" i="24"/>
  <c r="C57" i="24"/>
  <c r="D29" i="24"/>
  <c r="D32" i="24" s="1"/>
  <c r="D38" i="24" s="1"/>
  <c r="C29" i="24"/>
  <c r="C32" i="24" s="1"/>
  <c r="C38" i="24" s="1"/>
  <c r="D4" i="24"/>
  <c r="G17" i="1"/>
  <c r="G16" i="1"/>
  <c r="G15" i="1"/>
  <c r="G14" i="1"/>
  <c r="F15" i="1"/>
  <c r="F16" i="1"/>
  <c r="F17" i="1"/>
  <c r="F14" i="1"/>
  <c r="C14" i="23"/>
  <c r="C18" i="23" s="1"/>
  <c r="E27" i="1" s="1"/>
  <c r="B2" i="23"/>
  <c r="L42" i="12"/>
  <c r="K42" i="12"/>
  <c r="J42" i="12"/>
  <c r="I42" i="12"/>
  <c r="H42" i="12"/>
  <c r="H45" i="12" s="1"/>
  <c r="H51" i="12" s="1"/>
  <c r="H76" i="12" s="1"/>
  <c r="L10" i="12"/>
  <c r="K10" i="12"/>
  <c r="J10" i="12"/>
  <c r="I10" i="12"/>
  <c r="H10" i="12"/>
  <c r="D66" i="21"/>
  <c r="D65" i="21"/>
  <c r="D64" i="21"/>
  <c r="D63" i="21"/>
  <c r="D62" i="21"/>
  <c r="D61" i="21"/>
  <c r="D60" i="21"/>
  <c r="D59" i="21"/>
  <c r="D58" i="21"/>
  <c r="D57" i="21"/>
  <c r="D56" i="21"/>
  <c r="D55" i="21"/>
  <c r="D54" i="21"/>
  <c r="D53" i="21"/>
  <c r="D52" i="21"/>
  <c r="D51" i="21"/>
  <c r="D50" i="21"/>
  <c r="D49" i="21"/>
  <c r="D48" i="21"/>
  <c r="D47" i="21"/>
  <c r="D46" i="21"/>
  <c r="D45" i="21"/>
  <c r="D44" i="21"/>
  <c r="D43" i="21"/>
  <c r="D42" i="21"/>
  <c r="D41" i="21"/>
  <c r="D40" i="21"/>
  <c r="D39" i="21"/>
  <c r="D38" i="21"/>
  <c r="D37" i="21"/>
  <c r="D36" i="21"/>
  <c r="D35" i="21"/>
  <c r="D34" i="21"/>
  <c r="D33" i="21"/>
  <c r="D32" i="21"/>
  <c r="D31" i="21"/>
  <c r="D30" i="21"/>
  <c r="D29" i="21"/>
  <c r="D28" i="21"/>
  <c r="D27" i="21"/>
  <c r="D26" i="21"/>
  <c r="D25" i="21"/>
  <c r="D24" i="21"/>
  <c r="D23" i="21"/>
  <c r="D22" i="21"/>
  <c r="D21" i="21"/>
  <c r="D20" i="21"/>
  <c r="D19" i="21"/>
  <c r="D18" i="21"/>
  <c r="D17" i="21"/>
  <c r="D16" i="21"/>
  <c r="D15" i="21"/>
  <c r="D14" i="21"/>
  <c r="D13" i="21"/>
  <c r="D12" i="21"/>
  <c r="D11" i="21"/>
  <c r="O10" i="21"/>
  <c r="K6" i="21" s="1"/>
  <c r="K12" i="21" s="1"/>
  <c r="K10" i="21"/>
  <c r="D10" i="21"/>
  <c r="D9" i="21"/>
  <c r="D8" i="21"/>
  <c r="O10" i="11"/>
  <c r="S32" i="18" l="1"/>
  <c r="T30" i="18"/>
  <c r="I32" i="12"/>
  <c r="L32" i="12"/>
  <c r="L45" i="12" s="1"/>
  <c r="L51" i="12" s="1"/>
  <c r="L76" i="12" s="1"/>
  <c r="J32" i="12"/>
  <c r="J45" i="12" s="1"/>
  <c r="J51" i="12" s="1"/>
  <c r="J76" i="12" s="1"/>
  <c r="K32" i="12"/>
  <c r="K45" i="12" s="1"/>
  <c r="K51" i="12" s="1"/>
  <c r="K76" i="12" s="1"/>
  <c r="G45" i="24"/>
  <c r="L58" i="12" s="1"/>
  <c r="L65" i="12" s="1"/>
  <c r="D45" i="24"/>
  <c r="I58" i="12" s="1"/>
  <c r="E45" i="24"/>
  <c r="J58" i="12" s="1"/>
  <c r="H63" i="12"/>
  <c r="F45" i="24"/>
  <c r="K58" i="12" s="1"/>
  <c r="I45" i="12" l="1"/>
  <c r="I51" i="12" s="1"/>
  <c r="I59" i="12"/>
  <c r="I65" i="12" s="1"/>
  <c r="H59" i="12"/>
  <c r="H65" i="12" s="1"/>
  <c r="J59" i="12"/>
  <c r="J65" i="12" s="1"/>
  <c r="K59" i="12"/>
  <c r="K65" i="12" s="1"/>
  <c r="H23" i="21"/>
  <c r="H63" i="21"/>
  <c r="H35" i="21"/>
  <c r="H31" i="21"/>
  <c r="H38" i="21"/>
  <c r="H12" i="21"/>
  <c r="H55" i="21"/>
  <c r="H59" i="21"/>
  <c r="H22" i="21"/>
  <c r="H54" i="21"/>
  <c r="H11" i="21"/>
  <c r="H9" i="21"/>
  <c r="H51" i="21"/>
  <c r="H26" i="21"/>
  <c r="H14" i="21"/>
  <c r="H46" i="21"/>
  <c r="H50" i="21"/>
  <c r="H39" i="21"/>
  <c r="H8" i="21"/>
  <c r="H47" i="21"/>
  <c r="H64" i="21"/>
  <c r="H43" i="21"/>
  <c r="H15" i="21"/>
  <c r="H29" i="21"/>
  <c r="H60" i="21"/>
  <c r="H37" i="21"/>
  <c r="H41" i="21"/>
  <c r="H56" i="21"/>
  <c r="H18" i="21"/>
  <c r="H34" i="21"/>
  <c r="H58" i="21"/>
  <c r="H40" i="21"/>
  <c r="H10" i="21"/>
  <c r="H48" i="21"/>
  <c r="H20" i="21"/>
  <c r="H44" i="21"/>
  <c r="H13" i="21"/>
  <c r="H65" i="21"/>
  <c r="H42" i="21"/>
  <c r="H30" i="21"/>
  <c r="H25" i="21"/>
  <c r="H32" i="21"/>
  <c r="H28" i="21"/>
  <c r="H45" i="21"/>
  <c r="H49" i="21"/>
  <c r="H24" i="21"/>
  <c r="H27" i="21"/>
  <c r="H52" i="21"/>
  <c r="H21" i="21"/>
  <c r="H19" i="21"/>
  <c r="H61" i="21"/>
  <c r="H16" i="21"/>
  <c r="H33" i="21"/>
  <c r="H62" i="21"/>
  <c r="H36" i="21"/>
  <c r="H53" i="21"/>
  <c r="H17" i="21"/>
  <c r="H57" i="21"/>
  <c r="H66" i="21"/>
  <c r="H67" i="12" l="1"/>
  <c r="O6" i="21"/>
  <c r="O8" i="21"/>
  <c r="H75" i="12" l="1"/>
  <c r="E7" i="2"/>
  <c r="Q5" i="16"/>
  <c r="P5" i="16"/>
  <c r="H18" i="1"/>
  <c r="I18" i="1"/>
  <c r="J18" i="1"/>
  <c r="M11" i="16"/>
  <c r="E13" i="2"/>
  <c r="B15" i="1"/>
  <c r="B16" i="1"/>
  <c r="B17" i="1"/>
  <c r="B14" i="1"/>
  <c r="B2" i="1"/>
  <c r="B2" i="2"/>
  <c r="B2" i="19"/>
  <c r="R13" i="18"/>
  <c r="M13" i="18"/>
  <c r="K13" i="18"/>
  <c r="J13" i="18"/>
  <c r="H13" i="18"/>
  <c r="G13" i="18"/>
  <c r="D13" i="18"/>
  <c r="R12" i="18"/>
  <c r="K12" i="18"/>
  <c r="J12" i="18"/>
  <c r="H12" i="18"/>
  <c r="G12" i="18"/>
  <c r="E12" i="18"/>
  <c r="D12" i="18"/>
  <c r="R11" i="18"/>
  <c r="M11" i="18"/>
  <c r="K11" i="18"/>
  <c r="J11" i="18"/>
  <c r="H11" i="18"/>
  <c r="G11" i="18"/>
  <c r="E11" i="18"/>
  <c r="D11" i="18"/>
  <c r="R10" i="18"/>
  <c r="M10" i="18"/>
  <c r="K10" i="18"/>
  <c r="J10" i="18"/>
  <c r="H10" i="18"/>
  <c r="G10" i="18"/>
  <c r="E10" i="18"/>
  <c r="D10" i="18"/>
  <c r="R9" i="18"/>
  <c r="M9" i="18"/>
  <c r="K9" i="18"/>
  <c r="J9" i="18"/>
  <c r="H9" i="18"/>
  <c r="G9" i="18"/>
  <c r="D9" i="18"/>
  <c r="H8" i="18"/>
  <c r="B3" i="18"/>
  <c r="B25" i="18" s="1"/>
  <c r="I31" i="16"/>
  <c r="I30" i="16"/>
  <c r="I29" i="16"/>
  <c r="I28" i="16"/>
  <c r="I27" i="16"/>
  <c r="Q11" i="16"/>
  <c r="P11" i="16"/>
  <c r="O11" i="16"/>
  <c r="G11" i="16"/>
  <c r="F13" i="18" s="1"/>
  <c r="E13" i="18"/>
  <c r="Q10" i="16"/>
  <c r="P10" i="16"/>
  <c r="M10" i="16"/>
  <c r="M12" i="18"/>
  <c r="G10" i="16"/>
  <c r="F12" i="18" s="1"/>
  <c r="O10" i="16"/>
  <c r="Q9" i="16"/>
  <c r="P9" i="16"/>
  <c r="O9" i="16"/>
  <c r="M9" i="16"/>
  <c r="G9" i="16"/>
  <c r="F11" i="18" s="1"/>
  <c r="Q8" i="16"/>
  <c r="P8" i="16"/>
  <c r="O8" i="16"/>
  <c r="M8" i="16"/>
  <c r="G8" i="16"/>
  <c r="F10" i="18" s="1"/>
  <c r="Q7" i="16"/>
  <c r="P7" i="16"/>
  <c r="M7" i="16"/>
  <c r="G7" i="16"/>
  <c r="F9" i="18" s="1"/>
  <c r="E9" i="18"/>
  <c r="M8" i="18"/>
  <c r="J8" i="18"/>
  <c r="T29" i="18" s="1"/>
  <c r="E8" i="18"/>
  <c r="B5" i="16"/>
  <c r="C7" i="15"/>
  <c r="B2" i="15"/>
  <c r="E45" i="14"/>
  <c r="E31" i="14"/>
  <c r="L16" i="14"/>
  <c r="M16" i="14" s="1"/>
  <c r="N16" i="14" s="1"/>
  <c r="O16" i="14" s="1"/>
  <c r="P16" i="14" s="1"/>
  <c r="Q16" i="14" s="1"/>
  <c r="B2" i="14"/>
  <c r="E47" i="14"/>
  <c r="E44" i="14"/>
  <c r="E33" i="13"/>
  <c r="K16" i="13"/>
  <c r="L16" i="13" s="1"/>
  <c r="M16" i="13" s="1"/>
  <c r="N16" i="13" s="1"/>
  <c r="O16" i="13" s="1"/>
  <c r="P16" i="13" s="1"/>
  <c r="J8" i="14"/>
  <c r="K8" i="14" s="1"/>
  <c r="L8" i="14" s="1"/>
  <c r="M8" i="14" s="1"/>
  <c r="N8" i="14" s="1"/>
  <c r="O8" i="14" s="1"/>
  <c r="P8" i="14" s="1"/>
  <c r="B2" i="13"/>
  <c r="B76" i="12"/>
  <c r="B75" i="12"/>
  <c r="I62" i="12"/>
  <c r="B2" i="12"/>
  <c r="H66" i="11"/>
  <c r="D66" i="11"/>
  <c r="H65" i="11"/>
  <c r="D65" i="11"/>
  <c r="H64" i="11"/>
  <c r="D64" i="11"/>
  <c r="H63" i="11"/>
  <c r="D63" i="11"/>
  <c r="H62" i="11"/>
  <c r="D62" i="11"/>
  <c r="H61" i="11"/>
  <c r="D61" i="11"/>
  <c r="H60" i="11"/>
  <c r="D60" i="11"/>
  <c r="H59" i="11"/>
  <c r="D59" i="11"/>
  <c r="H58" i="11"/>
  <c r="D58" i="11"/>
  <c r="H57" i="11"/>
  <c r="D57" i="11"/>
  <c r="H56" i="11"/>
  <c r="D56" i="11"/>
  <c r="H55" i="11"/>
  <c r="D55" i="11"/>
  <c r="H54" i="11"/>
  <c r="D54" i="11"/>
  <c r="H53" i="11"/>
  <c r="D53" i="11"/>
  <c r="H52" i="11"/>
  <c r="D52" i="11"/>
  <c r="H51" i="11"/>
  <c r="D51" i="11"/>
  <c r="H50" i="11"/>
  <c r="D50" i="11"/>
  <c r="H49" i="11"/>
  <c r="D49" i="11"/>
  <c r="H48" i="11"/>
  <c r="D48" i="11"/>
  <c r="H47" i="11"/>
  <c r="D47" i="11"/>
  <c r="H46" i="11"/>
  <c r="D46" i="11"/>
  <c r="H45" i="11"/>
  <c r="D45" i="11"/>
  <c r="H44" i="11"/>
  <c r="D44" i="11"/>
  <c r="H43" i="11"/>
  <c r="D43" i="11"/>
  <c r="H42" i="11"/>
  <c r="D42" i="11"/>
  <c r="H41" i="11"/>
  <c r="D41" i="11"/>
  <c r="H40" i="11"/>
  <c r="D40" i="11"/>
  <c r="H39" i="11"/>
  <c r="D39" i="11"/>
  <c r="H38" i="11"/>
  <c r="D38" i="11"/>
  <c r="H37" i="11"/>
  <c r="D37" i="11"/>
  <c r="H36" i="11"/>
  <c r="D36" i="11"/>
  <c r="H35" i="11"/>
  <c r="D35" i="11"/>
  <c r="H34" i="11"/>
  <c r="D34" i="11"/>
  <c r="H33" i="11"/>
  <c r="D33" i="11"/>
  <c r="H32" i="11"/>
  <c r="D32" i="11"/>
  <c r="H31" i="11"/>
  <c r="D31" i="11"/>
  <c r="H30" i="11"/>
  <c r="D30" i="11"/>
  <c r="H29" i="11"/>
  <c r="D29" i="11"/>
  <c r="H28" i="11"/>
  <c r="D28" i="11"/>
  <c r="H27" i="11"/>
  <c r="D27" i="11"/>
  <c r="H26" i="11"/>
  <c r="D26" i="11"/>
  <c r="H25" i="11"/>
  <c r="D25" i="11"/>
  <c r="H24" i="11"/>
  <c r="D24" i="11"/>
  <c r="H23" i="11"/>
  <c r="D23" i="11"/>
  <c r="H22" i="11"/>
  <c r="D22" i="11"/>
  <c r="H21" i="11"/>
  <c r="D21" i="11"/>
  <c r="H20" i="11"/>
  <c r="D20" i="11"/>
  <c r="H19" i="11"/>
  <c r="D19" i="11"/>
  <c r="H18" i="11"/>
  <c r="D18" i="11"/>
  <c r="H17" i="11"/>
  <c r="D17" i="11"/>
  <c r="H16" i="11"/>
  <c r="D16" i="11"/>
  <c r="H15" i="11"/>
  <c r="D15" i="11"/>
  <c r="H14" i="11"/>
  <c r="D14" i="11"/>
  <c r="H13" i="11"/>
  <c r="D13" i="11"/>
  <c r="H12" i="11"/>
  <c r="D12" i="11"/>
  <c r="H11" i="11"/>
  <c r="D11" i="11"/>
  <c r="K6" i="11"/>
  <c r="K10" i="11"/>
  <c r="H10" i="11"/>
  <c r="D10" i="11"/>
  <c r="H9" i="11"/>
  <c r="D9" i="11"/>
  <c r="H8" i="11"/>
  <c r="D8" i="11"/>
  <c r="H66" i="10"/>
  <c r="D66" i="10"/>
  <c r="H65" i="10"/>
  <c r="D65" i="10"/>
  <c r="H64" i="10"/>
  <c r="D64" i="10"/>
  <c r="H63" i="10"/>
  <c r="D63" i="10"/>
  <c r="H62" i="10"/>
  <c r="D62" i="10"/>
  <c r="H61" i="10"/>
  <c r="D61" i="10"/>
  <c r="H60" i="10"/>
  <c r="D60" i="10"/>
  <c r="H59" i="10"/>
  <c r="D59" i="10"/>
  <c r="H58" i="10"/>
  <c r="D58" i="10"/>
  <c r="H57" i="10"/>
  <c r="D57" i="10"/>
  <c r="H56" i="10"/>
  <c r="D56" i="10"/>
  <c r="H55" i="10"/>
  <c r="D55" i="10"/>
  <c r="H54" i="10"/>
  <c r="D54" i="10"/>
  <c r="H53" i="10"/>
  <c r="D53" i="10"/>
  <c r="H52" i="10"/>
  <c r="D52" i="10"/>
  <c r="H51" i="10"/>
  <c r="D51" i="10"/>
  <c r="H50" i="10"/>
  <c r="D50" i="10"/>
  <c r="H49" i="10"/>
  <c r="D49" i="10"/>
  <c r="H48" i="10"/>
  <c r="D48" i="10"/>
  <c r="H47" i="10"/>
  <c r="D47" i="10"/>
  <c r="H46" i="10"/>
  <c r="D46" i="10"/>
  <c r="H45" i="10"/>
  <c r="D45" i="10"/>
  <c r="H44" i="10"/>
  <c r="D44" i="10"/>
  <c r="H43" i="10"/>
  <c r="D43" i="10"/>
  <c r="H42" i="10"/>
  <c r="D42" i="10"/>
  <c r="H41" i="10"/>
  <c r="D41" i="10"/>
  <c r="H40" i="10"/>
  <c r="D40" i="10"/>
  <c r="H39" i="10"/>
  <c r="D39" i="10"/>
  <c r="H38" i="10"/>
  <c r="D38" i="10"/>
  <c r="H37" i="10"/>
  <c r="D37" i="10"/>
  <c r="H36" i="10"/>
  <c r="D36" i="10"/>
  <c r="H35" i="10"/>
  <c r="D35" i="10"/>
  <c r="H34" i="10"/>
  <c r="D34" i="10"/>
  <c r="H33" i="10"/>
  <c r="D33" i="10"/>
  <c r="H32" i="10"/>
  <c r="D32" i="10"/>
  <c r="H31" i="10"/>
  <c r="D31" i="10"/>
  <c r="H30" i="10"/>
  <c r="D30" i="10"/>
  <c r="H29" i="10"/>
  <c r="D29" i="10"/>
  <c r="H28" i="10"/>
  <c r="D28" i="10"/>
  <c r="H27" i="10"/>
  <c r="D27" i="10"/>
  <c r="H26" i="10"/>
  <c r="D26" i="10"/>
  <c r="H25" i="10"/>
  <c r="D25" i="10"/>
  <c r="H24" i="10"/>
  <c r="D24" i="10"/>
  <c r="H23" i="10"/>
  <c r="D23" i="10"/>
  <c r="H22" i="10"/>
  <c r="D22" i="10"/>
  <c r="H21" i="10"/>
  <c r="D21" i="10"/>
  <c r="H20" i="10"/>
  <c r="D20" i="10"/>
  <c r="H19" i="10"/>
  <c r="D19" i="10"/>
  <c r="H18" i="10"/>
  <c r="D18" i="10"/>
  <c r="H17" i="10"/>
  <c r="D17" i="10"/>
  <c r="H16" i="10"/>
  <c r="D16" i="10"/>
  <c r="H15" i="10"/>
  <c r="D15" i="10"/>
  <c r="H14" i="10"/>
  <c r="D14" i="10"/>
  <c r="H13" i="10"/>
  <c r="D13" i="10"/>
  <c r="H12" i="10"/>
  <c r="D12" i="10"/>
  <c r="H11" i="10"/>
  <c r="D11" i="10"/>
  <c r="K6" i="10"/>
  <c r="K10" i="10"/>
  <c r="H10" i="10"/>
  <c r="D10" i="10"/>
  <c r="H9" i="10"/>
  <c r="D9" i="10"/>
  <c r="H8" i="10"/>
  <c r="D8" i="10"/>
  <c r="K6" i="5"/>
  <c r="K10" i="5"/>
  <c r="H66" i="4"/>
  <c r="D66" i="4"/>
  <c r="H65" i="4"/>
  <c r="D65" i="4"/>
  <c r="H64" i="4"/>
  <c r="D64" i="4"/>
  <c r="H63" i="4"/>
  <c r="D63" i="4"/>
  <c r="H62" i="4"/>
  <c r="D62" i="4"/>
  <c r="H61" i="4"/>
  <c r="D61" i="4"/>
  <c r="H60" i="4"/>
  <c r="D60" i="4"/>
  <c r="H59" i="4"/>
  <c r="D59" i="4"/>
  <c r="H58" i="4"/>
  <c r="D58" i="4"/>
  <c r="H57" i="4"/>
  <c r="D57" i="4"/>
  <c r="H56" i="4"/>
  <c r="D56" i="4"/>
  <c r="H55" i="4"/>
  <c r="D55" i="4"/>
  <c r="H54" i="4"/>
  <c r="D54" i="4"/>
  <c r="H53" i="4"/>
  <c r="D53" i="4"/>
  <c r="H52" i="4"/>
  <c r="D52" i="4"/>
  <c r="H51" i="4"/>
  <c r="D51" i="4"/>
  <c r="H50" i="4"/>
  <c r="D50" i="4"/>
  <c r="H49" i="4"/>
  <c r="D49" i="4"/>
  <c r="H48" i="4"/>
  <c r="D48" i="4"/>
  <c r="H47" i="4"/>
  <c r="D47" i="4"/>
  <c r="H46" i="4"/>
  <c r="D46" i="4"/>
  <c r="H45" i="4"/>
  <c r="D45" i="4"/>
  <c r="H44" i="4"/>
  <c r="D44" i="4"/>
  <c r="H43" i="4"/>
  <c r="D43" i="4"/>
  <c r="H42" i="4"/>
  <c r="D42" i="4"/>
  <c r="H41" i="4"/>
  <c r="D41" i="4"/>
  <c r="H40" i="4"/>
  <c r="D40" i="4"/>
  <c r="H39" i="4"/>
  <c r="D39" i="4"/>
  <c r="H38" i="4"/>
  <c r="D38" i="4"/>
  <c r="H37" i="4"/>
  <c r="D37" i="4"/>
  <c r="H36" i="4"/>
  <c r="D36" i="4"/>
  <c r="H35" i="4"/>
  <c r="D35" i="4"/>
  <c r="H34" i="4"/>
  <c r="D34" i="4"/>
  <c r="H33" i="4"/>
  <c r="D33" i="4"/>
  <c r="H32" i="4"/>
  <c r="D32" i="4"/>
  <c r="H31" i="4"/>
  <c r="D31" i="4"/>
  <c r="H30" i="4"/>
  <c r="D30" i="4"/>
  <c r="H29" i="4"/>
  <c r="D29" i="4"/>
  <c r="H28" i="4"/>
  <c r="D28" i="4"/>
  <c r="H27" i="4"/>
  <c r="D27" i="4"/>
  <c r="H26" i="4"/>
  <c r="D26" i="4"/>
  <c r="H25" i="4"/>
  <c r="D25" i="4"/>
  <c r="H24" i="4"/>
  <c r="D24" i="4"/>
  <c r="H23" i="4"/>
  <c r="D23" i="4"/>
  <c r="H22" i="4"/>
  <c r="D22" i="4"/>
  <c r="H21" i="4"/>
  <c r="D21" i="4"/>
  <c r="H20" i="4"/>
  <c r="D20" i="4"/>
  <c r="H19" i="4"/>
  <c r="D19" i="4"/>
  <c r="H18" i="4"/>
  <c r="D18" i="4"/>
  <c r="H17" i="4"/>
  <c r="D17" i="4"/>
  <c r="H16" i="4"/>
  <c r="D16" i="4"/>
  <c r="H15" i="4"/>
  <c r="D15" i="4"/>
  <c r="H14" i="4"/>
  <c r="D14" i="4"/>
  <c r="H13" i="4"/>
  <c r="D13" i="4"/>
  <c r="H12" i="4"/>
  <c r="D12" i="4"/>
  <c r="H11" i="4"/>
  <c r="D11" i="4"/>
  <c r="K6" i="4"/>
  <c r="K12" i="4" s="1"/>
  <c r="K10" i="4"/>
  <c r="H10" i="4"/>
  <c r="D10" i="4"/>
  <c r="H9" i="4"/>
  <c r="D9" i="4"/>
  <c r="H8" i="4"/>
  <c r="J3" i="4"/>
  <c r="L28" i="1"/>
  <c r="L29" i="1" s="1"/>
  <c r="E12" i="2"/>
  <c r="E11" i="2"/>
  <c r="E10" i="2"/>
  <c r="E9" i="2"/>
  <c r="H17" i="1"/>
  <c r="H16" i="1"/>
  <c r="H15" i="1"/>
  <c r="H14" i="1"/>
  <c r="G12" i="1"/>
  <c r="T32" i="18" l="1"/>
  <c r="T27" i="18"/>
  <c r="R20" i="18"/>
  <c r="R29" i="18" s="1"/>
  <c r="R32" i="18" s="1"/>
  <c r="R19" i="18"/>
  <c r="R21" i="18"/>
  <c r="R17" i="18"/>
  <c r="R18" i="18"/>
  <c r="R22" i="18"/>
  <c r="O8" i="10"/>
  <c r="O6" i="10"/>
  <c r="K12" i="10"/>
  <c r="O8" i="11"/>
  <c r="O6" i="11"/>
  <c r="F12" i="1"/>
  <c r="L18" i="1"/>
  <c r="O12" i="18"/>
  <c r="Q8" i="14"/>
  <c r="I63" i="12"/>
  <c r="I67" i="12" s="1"/>
  <c r="J62" i="12"/>
  <c r="K12" i="11"/>
  <c r="K12" i="5"/>
  <c r="J4" i="13"/>
  <c r="K4" i="13" s="1"/>
  <c r="L4" i="13" s="1"/>
  <c r="M4" i="13" s="1"/>
  <c r="N4" i="13" s="1"/>
  <c r="O4" i="13" s="1"/>
  <c r="P4" i="13" s="1"/>
  <c r="P9" i="18"/>
  <c r="P10" i="18"/>
  <c r="P11" i="18"/>
  <c r="P12" i="18"/>
  <c r="R28" i="18"/>
  <c r="O11" i="18"/>
  <c r="C26" i="16"/>
  <c r="I26" i="16" s="1"/>
  <c r="O9" i="18"/>
  <c r="P13" i="18"/>
  <c r="I17" i="1"/>
  <c r="L17" i="1" s="1"/>
  <c r="I14" i="1"/>
  <c r="I16" i="1"/>
  <c r="R6" i="19"/>
  <c r="Q6" i="19" s="1"/>
  <c r="I15" i="1"/>
  <c r="L15" i="1" s="1"/>
  <c r="J17" i="1"/>
  <c r="J14" i="1"/>
  <c r="J16" i="1"/>
  <c r="R7" i="19"/>
  <c r="Q7" i="19" s="1"/>
  <c r="R5" i="19"/>
  <c r="Q5" i="19" s="1"/>
  <c r="I10" i="13"/>
  <c r="J6" i="14"/>
  <c r="O10" i="18"/>
  <c r="O7" i="16"/>
  <c r="O13" i="18"/>
  <c r="E28" i="1"/>
  <c r="L39" i="1" s="1"/>
  <c r="K8" i="18"/>
  <c r="J8" i="13"/>
  <c r="K8" i="13" s="1"/>
  <c r="L8" i="13" s="1"/>
  <c r="M8" i="13" s="1"/>
  <c r="N8" i="13" s="1"/>
  <c r="O8" i="13" s="1"/>
  <c r="P8" i="13" s="1"/>
  <c r="O8" i="18"/>
  <c r="P6" i="19"/>
  <c r="O6" i="19" s="1"/>
  <c r="J15" i="1"/>
  <c r="P5" i="19"/>
  <c r="O5" i="19" s="1"/>
  <c r="P7" i="19"/>
  <c r="O7" i="19" s="1"/>
  <c r="I21" i="1" l="1"/>
  <c r="I20" i="1"/>
  <c r="J21" i="1"/>
  <c r="E37" i="1" s="1"/>
  <c r="P20" i="18"/>
  <c r="P18" i="18"/>
  <c r="P21" i="18"/>
  <c r="P17" i="18"/>
  <c r="P22" i="18"/>
  <c r="P19" i="18"/>
  <c r="O19" i="18"/>
  <c r="O27" i="18" s="1"/>
  <c r="O29" i="18" s="1"/>
  <c r="O17" i="18"/>
  <c r="O20" i="18"/>
  <c r="O22" i="18"/>
  <c r="O21" i="18"/>
  <c r="O18" i="18"/>
  <c r="C39" i="1"/>
  <c r="D39" i="1" s="1"/>
  <c r="E39" i="1" s="1"/>
  <c r="I12" i="1"/>
  <c r="L12" i="1" s="1"/>
  <c r="J12" i="1"/>
  <c r="L16" i="1"/>
  <c r="L14" i="1"/>
  <c r="P8" i="18"/>
  <c r="K62" i="12"/>
  <c r="J63" i="12"/>
  <c r="J67" i="12" s="1"/>
  <c r="I75" i="12"/>
  <c r="J4" i="14"/>
  <c r="K4" i="14" s="1"/>
  <c r="L4" i="14" s="1"/>
  <c r="M4" i="14" s="1"/>
  <c r="N4" i="14" s="1"/>
  <c r="O4" i="14" s="1"/>
  <c r="P4" i="14" s="1"/>
  <c r="Q4" i="14" s="1"/>
  <c r="E29" i="1"/>
  <c r="L47" i="1" s="1"/>
  <c r="J10" i="14"/>
  <c r="L37" i="1" l="1"/>
  <c r="E38" i="1"/>
  <c r="D37" i="1"/>
  <c r="D38" i="1"/>
  <c r="R27" i="18"/>
  <c r="J75" i="12"/>
  <c r="J78" i="12" s="1"/>
  <c r="L62" i="12"/>
  <c r="K63" i="12"/>
  <c r="K67" i="12" s="1"/>
  <c r="O32" i="18"/>
  <c r="L48" i="1"/>
  <c r="L45" i="1" l="1"/>
  <c r="E41" i="1"/>
  <c r="L38" i="1" s="1"/>
  <c r="L40" i="1" s="1"/>
  <c r="L30" i="1" s="1"/>
  <c r="L31" i="1" s="1"/>
  <c r="D41" i="1"/>
  <c r="P4" i="19"/>
  <c r="O4" i="19" s="1"/>
  <c r="R4" i="19"/>
  <c r="Q4" i="19" s="1"/>
  <c r="L63" i="12"/>
  <c r="L67" i="12" s="1"/>
  <c r="L75" i="12" s="1"/>
  <c r="L78" i="12" s="1"/>
  <c r="K75" i="12"/>
  <c r="K78" i="12" s="1"/>
  <c r="L44" i="1" l="1"/>
  <c r="L50" i="1" s="1"/>
  <c r="O67" i="12"/>
  <c r="N67" i="12"/>
  <c r="C76" i="1" l="1"/>
  <c r="C24" i="30" s="1"/>
  <c r="C60" i="1"/>
  <c r="C8" i="30" s="1"/>
  <c r="E23" i="13"/>
  <c r="O17" i="13" s="1"/>
  <c r="E23" i="14"/>
  <c r="O17" i="14" s="1"/>
  <c r="E32" i="13" l="1"/>
  <c r="N17" i="13"/>
  <c r="N17" i="14"/>
  <c r="P17" i="13"/>
  <c r="L17" i="13"/>
  <c r="M17" i="13"/>
  <c r="L17" i="14"/>
  <c r="K17" i="14"/>
  <c r="E30" i="14"/>
  <c r="J17" i="13"/>
  <c r="Q17" i="14"/>
  <c r="M17" i="14"/>
  <c r="P17" i="14"/>
  <c r="K17" i="13"/>
  <c r="I76" i="12"/>
  <c r="I78" i="12" s="1"/>
  <c r="H78" i="12" l="1"/>
  <c r="N80" i="12" l="1"/>
  <c r="N81" i="12"/>
  <c r="O68" i="12"/>
  <c r="J12" i="13"/>
  <c r="K12" i="13" s="1"/>
  <c r="L12" i="13" s="1"/>
  <c r="M12" i="13" s="1"/>
  <c r="N12" i="13" s="1"/>
  <c r="O12" i="13" s="1"/>
  <c r="P12" i="13" s="1"/>
  <c r="J12" i="14"/>
  <c r="E21" i="14" l="1"/>
  <c r="K6" i="14" s="1"/>
  <c r="J6" i="13"/>
  <c r="K12" i="14"/>
  <c r="L12" i="14" s="1"/>
  <c r="M12" i="14" s="1"/>
  <c r="N12" i="14" s="1"/>
  <c r="O12" i="14" s="1"/>
  <c r="P12" i="14" s="1"/>
  <c r="Q12" i="14" s="1"/>
  <c r="J14" i="14"/>
  <c r="K6" i="13" l="1"/>
  <c r="J10" i="13"/>
  <c r="J14" i="13" s="1"/>
  <c r="J19" i="13" s="1"/>
  <c r="K10" i="14"/>
  <c r="K14" i="14" s="1"/>
  <c r="K19" i="14" s="1"/>
  <c r="L6" i="14"/>
  <c r="M6" i="14" l="1"/>
  <c r="L10" i="14"/>
  <c r="L14" i="14" s="1"/>
  <c r="L19" i="14" s="1"/>
  <c r="K10" i="13"/>
  <c r="K14" i="13" s="1"/>
  <c r="K19" i="13" s="1"/>
  <c r="L6" i="13"/>
  <c r="M6" i="13" l="1"/>
  <c r="L10" i="13"/>
  <c r="L14" i="13" s="1"/>
  <c r="L19" i="13" s="1"/>
  <c r="N6" i="14"/>
  <c r="M10" i="14"/>
  <c r="M14" i="14" s="1"/>
  <c r="M19" i="14" s="1"/>
  <c r="N10" i="14" l="1"/>
  <c r="N14" i="14" s="1"/>
  <c r="N19" i="14" s="1"/>
  <c r="O6" i="14"/>
  <c r="N6" i="13"/>
  <c r="M10" i="13"/>
  <c r="M14" i="13" s="1"/>
  <c r="M19" i="13" s="1"/>
  <c r="O10" i="14" l="1"/>
  <c r="O14" i="14" s="1"/>
  <c r="P6" i="14"/>
  <c r="N10" i="13"/>
  <c r="N14" i="13" s="1"/>
  <c r="N19" i="13" s="1"/>
  <c r="O6" i="13"/>
  <c r="O19" i="14" l="1"/>
  <c r="Q6" i="14"/>
  <c r="P10" i="14"/>
  <c r="P14" i="14" s="1"/>
  <c r="P19" i="14" s="1"/>
  <c r="O10" i="13"/>
  <c r="O14" i="13" s="1"/>
  <c r="O19" i="13" s="1"/>
  <c r="P6" i="13"/>
  <c r="Q10" i="14" l="1"/>
  <c r="Q14" i="14" s="1"/>
  <c r="P10" i="13"/>
  <c r="P14" i="13" s="1"/>
  <c r="Q19" i="14" l="1"/>
  <c r="E29" i="14"/>
  <c r="P19" i="13"/>
  <c r="E46" i="13" s="1"/>
  <c r="E40" i="14" l="1"/>
  <c r="E33" i="14"/>
  <c r="E41" i="14" s="1"/>
  <c r="E35" i="13"/>
  <c r="E47" i="13" s="1"/>
  <c r="E42" i="14" l="1"/>
  <c r="E46" i="14" s="1"/>
  <c r="E48" i="14" s="1"/>
  <c r="L71" i="14" s="1"/>
  <c r="E48" i="13"/>
  <c r="E52" i="13" s="1"/>
  <c r="C5" i="35" s="1"/>
  <c r="E5" i="35" s="1"/>
  <c r="K43" i="14" l="1"/>
  <c r="K57" i="14"/>
  <c r="E54" i="13"/>
  <c r="K33" i="13" s="1"/>
  <c r="K28"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Hussain Muhammad</author>
  </authors>
  <commentList>
    <comment ref="L9" authorId="0" shapeId="0" xr:uid="{40148685-5C17-46A4-B6EF-860ED4ADFE12}">
      <text>
        <r>
          <rPr>
            <b/>
            <sz val="9"/>
            <color indexed="81"/>
            <rFont val="Tahoma"/>
            <family val="2"/>
          </rPr>
          <t>Hussain Muhammad:</t>
        </r>
        <r>
          <rPr>
            <sz val="9"/>
            <color indexed="81"/>
            <rFont val="Tahoma"/>
            <family val="2"/>
          </rPr>
          <t xml:space="preserve">
This is also known as Ba or Beta Asset. It is calculated as Be*/(1+(1-tax rate)*debt/equity ratio)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Hussain Muhammad</author>
  </authors>
  <commentList>
    <comment ref="G4" authorId="0" shapeId="0" xr:uid="{CE8D30ED-EA20-48A3-93C4-4EE11207A726}">
      <text>
        <r>
          <rPr>
            <b/>
            <sz val="9"/>
            <color indexed="81"/>
            <rFont val="Tahoma"/>
            <family val="2"/>
          </rPr>
          <t>Hussain Muhammad:</t>
        </r>
        <r>
          <rPr>
            <sz val="9"/>
            <color indexed="81"/>
            <rFont val="Tahoma"/>
            <family val="2"/>
          </rPr>
          <t xml:space="preserve">
This is the X in our formula for calculating the Beta because this is the independent variable.
Whereas, the Returns of UFPL are dependent, so they are Y</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Hussain Muhammad</author>
  </authors>
  <commentList>
    <comment ref="G4" authorId="0" shapeId="0" xr:uid="{C3F8432B-9161-4194-85CE-65B9B38994FC}">
      <text>
        <r>
          <rPr>
            <b/>
            <sz val="9"/>
            <color indexed="81"/>
            <rFont val="Tahoma"/>
            <family val="2"/>
          </rPr>
          <t>Hussain Muhammad:</t>
        </r>
        <r>
          <rPr>
            <sz val="9"/>
            <color indexed="81"/>
            <rFont val="Tahoma"/>
            <family val="2"/>
          </rPr>
          <t xml:space="preserve">
This is the X in our formula for calculating the Beta because this is the independent variable.
Whereas, the Returns of UFPL are dependent, so they are 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Hussain Muhammad</author>
  </authors>
  <commentList>
    <comment ref="B16" authorId="0" shapeId="0" xr:uid="{FAA038AD-C09E-41AD-9032-7907473C3794}">
      <text>
        <r>
          <rPr>
            <b/>
            <sz val="9"/>
            <color indexed="81"/>
            <rFont val="Tahoma"/>
            <family val="2"/>
          </rPr>
          <t>Hussain Muhammad:</t>
        </r>
        <r>
          <rPr>
            <sz val="9"/>
            <color indexed="81"/>
            <rFont val="Tahoma"/>
            <family val="2"/>
          </rPr>
          <t xml:space="preserve">
It is general practice to not assume both cases
1) CFs arose constantly throughout the year
2) CFs arose at year end
So we use the mid-way path assuming that half CFs arose consistently and other half at year end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Hussain Muhammad</author>
  </authors>
  <commentList>
    <comment ref="B16" authorId="0" shapeId="0" xr:uid="{14C465DE-5030-4919-857C-163F0921DB76}">
      <text>
        <r>
          <rPr>
            <b/>
            <sz val="9"/>
            <color indexed="81"/>
            <rFont val="Tahoma"/>
            <family val="2"/>
          </rPr>
          <t>Hussain Muhammad:</t>
        </r>
        <r>
          <rPr>
            <sz val="9"/>
            <color indexed="81"/>
            <rFont val="Tahoma"/>
            <family val="2"/>
          </rPr>
          <t xml:space="preserve">
It is general practice to not assume both cases
1) CFs arose constantly throughout the year
2) CFs arose at year end
So we use the mid-way path assuming that half CFs arose consistently and other half at year end</t>
        </r>
      </text>
    </comment>
  </commentList>
</comments>
</file>

<file path=xl/sharedStrings.xml><?xml version="1.0" encoding="utf-8"?>
<sst xmlns="http://schemas.openxmlformats.org/spreadsheetml/2006/main" count="824" uniqueCount="458">
  <si>
    <t xml:space="preserve">Weighted Average cost of Capital </t>
  </si>
  <si>
    <t>Peer/Comparable companies</t>
  </si>
  <si>
    <t>Debt/</t>
  </si>
  <si>
    <t>Levered</t>
  </si>
  <si>
    <t xml:space="preserve">Unlevered </t>
  </si>
  <si>
    <t>Name of the companies</t>
  </si>
  <si>
    <t>Country</t>
  </si>
  <si>
    <t>Total Debt</t>
  </si>
  <si>
    <t>Total Equity</t>
  </si>
  <si>
    <r>
      <t xml:space="preserve">Tax rate </t>
    </r>
    <r>
      <rPr>
        <vertAlign val="superscript"/>
        <sz val="11"/>
        <color theme="1"/>
        <rFont val="Calibri"/>
        <family val="2"/>
        <scheme val="minor"/>
      </rPr>
      <t>1</t>
    </r>
  </si>
  <si>
    <t>Equity</t>
  </si>
  <si>
    <t>Capital</t>
  </si>
  <si>
    <r>
      <t xml:space="preserve">Beta </t>
    </r>
    <r>
      <rPr>
        <vertAlign val="superscript"/>
        <sz val="11"/>
        <color theme="1"/>
        <rFont val="Calibri"/>
        <family val="2"/>
        <scheme val="minor"/>
      </rPr>
      <t>2</t>
    </r>
  </si>
  <si>
    <r>
      <t xml:space="preserve">Beta </t>
    </r>
    <r>
      <rPr>
        <vertAlign val="superscript"/>
        <sz val="11"/>
        <color theme="1"/>
        <rFont val="Calibri"/>
        <family val="2"/>
        <scheme val="minor"/>
      </rPr>
      <t>3</t>
    </r>
  </si>
  <si>
    <t xml:space="preserve">Average </t>
  </si>
  <si>
    <t xml:space="preserve"> </t>
  </si>
  <si>
    <t>Median</t>
  </si>
  <si>
    <t>Cost of Debt</t>
  </si>
  <si>
    <t>Cost of Equity</t>
  </si>
  <si>
    <r>
      <t>Pre-tax Cost of debt</t>
    </r>
    <r>
      <rPr>
        <vertAlign val="superscript"/>
        <sz val="11"/>
        <color theme="1"/>
        <rFont val="Calibri"/>
        <family val="2"/>
        <scheme val="minor"/>
      </rPr>
      <t>N1</t>
    </r>
  </si>
  <si>
    <t>Risk-free rate</t>
  </si>
  <si>
    <t>Tax rate</t>
  </si>
  <si>
    <t>Return from market</t>
  </si>
  <si>
    <t>Post-tax Cost of debt</t>
  </si>
  <si>
    <t>Equity Risk Premium (Rm-Rf)</t>
  </si>
  <si>
    <r>
      <t xml:space="preserve">Levered Beta </t>
    </r>
    <r>
      <rPr>
        <vertAlign val="superscript"/>
        <sz val="11"/>
        <color theme="1"/>
        <rFont val="Calibri"/>
        <family val="2"/>
        <scheme val="minor"/>
      </rPr>
      <t>4</t>
    </r>
  </si>
  <si>
    <t>Levered Beta (Be)</t>
  </si>
  <si>
    <t xml:space="preserve">Current </t>
  </si>
  <si>
    <t>Target</t>
  </si>
  <si>
    <t>Competitor Companies Median Unlevered Beta (Ba)</t>
  </si>
  <si>
    <t>Target Debt/Equity</t>
  </si>
  <si>
    <t>Total Capital</t>
  </si>
  <si>
    <t>Debt/Equity</t>
  </si>
  <si>
    <t>Weighted Average Cost of Capital</t>
  </si>
  <si>
    <t>N1</t>
  </si>
  <si>
    <t>Equity Weight</t>
  </si>
  <si>
    <t>Debt Weight</t>
  </si>
  <si>
    <t>WACC</t>
  </si>
  <si>
    <t>Companies</t>
  </si>
  <si>
    <t>Debt</t>
  </si>
  <si>
    <t>Equity (Book value) on the FS</t>
  </si>
  <si>
    <t>Note 1</t>
  </si>
  <si>
    <t>Note 2</t>
  </si>
  <si>
    <t>Note 3</t>
  </si>
  <si>
    <t>Years</t>
  </si>
  <si>
    <t>Returns</t>
  </si>
  <si>
    <t>Average</t>
  </si>
  <si>
    <t>Note</t>
  </si>
  <si>
    <t>Beta Drifting</t>
  </si>
  <si>
    <t>Date</t>
  </si>
  <si>
    <t>Closing Price</t>
  </si>
  <si>
    <t>Return</t>
  </si>
  <si>
    <t>Levered Raw Beta</t>
  </si>
  <si>
    <t xml:space="preserve">Beta 1 </t>
  </si>
  <si>
    <t>Using the slope formula</t>
  </si>
  <si>
    <t>Beta Weight</t>
  </si>
  <si>
    <t>Beta 2</t>
  </si>
  <si>
    <t>using the covariance/variance formula</t>
  </si>
  <si>
    <t>Market Beta</t>
  </si>
  <si>
    <t>Market Beta Weight</t>
  </si>
  <si>
    <t>Beta 3</t>
  </si>
  <si>
    <t>using the data analysis tool</t>
  </si>
  <si>
    <t>Adjusted Beta</t>
  </si>
  <si>
    <t>Beta drifting refers to the tendency of a stock's beta (a measure of its volatility relative to the market) to change over time. Beta is not static, and as a company’s risk profile evolves due to factors like changing business conditions, leverage, or market sentiment, its beta can "drift" from its original value.
Beta drifting is done to adjust a stock’s beta toward 1 (the market beta) because over time, individual stock betas tend to revert to the market average due to several factors. This process, also called adjusted beta calculation, is commonly used to make predictions more realistic for future returns.
This is done by all Major Investment banks like JP Morgan, Morgan Stanley, CitiBank etc. with different weights being attached to the market beta of 1 as per their standard practice.</t>
  </si>
  <si>
    <t>SUMMARY OUTPUT</t>
  </si>
  <si>
    <t>Regression Statistics</t>
  </si>
  <si>
    <t>Multiple R</t>
  </si>
  <si>
    <t>R Square</t>
  </si>
  <si>
    <t>Adjusted R Square</t>
  </si>
  <si>
    <t>Standard Error</t>
  </si>
  <si>
    <t>Observations</t>
  </si>
  <si>
    <t>ANOVA</t>
  </si>
  <si>
    <t>df</t>
  </si>
  <si>
    <t>SS</t>
  </si>
  <si>
    <t>MS</t>
  </si>
  <si>
    <t>F</t>
  </si>
  <si>
    <t>Significance F</t>
  </si>
  <si>
    <t>Regression</t>
  </si>
  <si>
    <t>Residual</t>
  </si>
  <si>
    <t>Total</t>
  </si>
  <si>
    <t>Coefficients</t>
  </si>
  <si>
    <t>t Stat</t>
  </si>
  <si>
    <t>P-value</t>
  </si>
  <si>
    <t>Lower 95%</t>
  </si>
  <si>
    <t>Upper 95%</t>
  </si>
  <si>
    <t>Lower 95.0%</t>
  </si>
  <si>
    <t>Upper 95.0%</t>
  </si>
  <si>
    <t>Intercept</t>
  </si>
  <si>
    <t>X Variable 1</t>
  </si>
  <si>
    <t>#</t>
  </si>
  <si>
    <t xml:space="preserve">Calculation of Return on Invested Capital </t>
  </si>
  <si>
    <t>Explanation of the ROIC and Reinvestment Rate for Growth Rate</t>
  </si>
  <si>
    <t>Usually as per Gordon's growth Model</t>
  </si>
  <si>
    <t>Current assets</t>
  </si>
  <si>
    <t>G=b*r</t>
  </si>
  <si>
    <t>Cash &amp; Equivalents</t>
  </si>
  <si>
    <t>Short-Term Investments</t>
  </si>
  <si>
    <t>where g is growth rate in dividends</t>
  </si>
  <si>
    <t>b=retention ratio</t>
  </si>
  <si>
    <t>r=ROE</t>
  </si>
  <si>
    <t>Now for growth rate for business</t>
  </si>
  <si>
    <t>b=reinvestment ratio</t>
  </si>
  <si>
    <t>r-ROIC</t>
  </si>
  <si>
    <t>Total Current Assets (excluding cash and cash equivalents)</t>
  </si>
  <si>
    <t>Current liabilities</t>
  </si>
  <si>
    <t>Total Current Liabilities</t>
  </si>
  <si>
    <t>Net Working Capital (excluding cash and cash equivalents)</t>
  </si>
  <si>
    <t>Non-current assets</t>
  </si>
  <si>
    <t>Total Non-Current Assets</t>
  </si>
  <si>
    <t>Invested Capital</t>
  </si>
  <si>
    <t>EBIT</t>
  </si>
  <si>
    <t>Return on Invested Capital (ROIC)</t>
  </si>
  <si>
    <t>Calculation of Reinvestment rate</t>
  </si>
  <si>
    <t>Net Capital Expenditure (Capex)</t>
  </si>
  <si>
    <t>Change in Working Capital</t>
  </si>
  <si>
    <t xml:space="preserve">EBIT </t>
  </si>
  <si>
    <t>Margnial Tax Rate</t>
  </si>
  <si>
    <t>EBIT (1-Tax Rate)</t>
  </si>
  <si>
    <t>Reinvestment Amount</t>
  </si>
  <si>
    <t>Reinvestment Rate</t>
  </si>
  <si>
    <t>Calculation of Growth Rate</t>
  </si>
  <si>
    <t>Intrinsic Growth Rate</t>
  </si>
  <si>
    <t>Actual</t>
  </si>
  <si>
    <t>Calculation of Present Value of Free Cashflows to Firm (PV of FCFF)</t>
  </si>
  <si>
    <t>Tax Rate</t>
  </si>
  <si>
    <t>Less: Reinvestment Rate</t>
  </si>
  <si>
    <t>Free Cashflows to Firm</t>
  </si>
  <si>
    <t>Mid Year Convention</t>
  </si>
  <si>
    <t>Discounting factor</t>
  </si>
  <si>
    <t>PV of FCFF</t>
  </si>
  <si>
    <t>Expected Growth</t>
  </si>
  <si>
    <r>
      <t xml:space="preserve">Terminal Growth </t>
    </r>
    <r>
      <rPr>
        <vertAlign val="superscript"/>
        <sz val="11"/>
        <color theme="1"/>
        <rFont val="Calibri"/>
        <family val="2"/>
        <scheme val="minor"/>
      </rPr>
      <t>N1</t>
    </r>
  </si>
  <si>
    <r>
      <t xml:space="preserve">Terminal Growth </t>
    </r>
    <r>
      <rPr>
        <b/>
        <vertAlign val="superscript"/>
        <sz val="11"/>
        <color rgb="FF002060"/>
        <rFont val="Calibri"/>
        <family val="2"/>
        <scheme val="minor"/>
      </rPr>
      <t>N1</t>
    </r>
  </si>
  <si>
    <t>Calculation of Terminal Value</t>
  </si>
  <si>
    <t>FCFF (N+1)</t>
  </si>
  <si>
    <t>Sensitivity Analysis-Value Per Share</t>
  </si>
  <si>
    <t>Terminal Growth Rate</t>
  </si>
  <si>
    <r>
      <t>Terminal Value-</t>
    </r>
    <r>
      <rPr>
        <vertAlign val="superscript"/>
        <sz val="11"/>
        <color theme="1"/>
        <rFont val="Calibri"/>
        <family val="2"/>
        <scheme val="minor"/>
      </rPr>
      <t>N2</t>
    </r>
  </si>
  <si>
    <t>The Terminal Value is calculated using the Gordon's Growth Model. The Gordon Growth Model calculates terminal value by assuming perpetual growth of free cash flows beyond a forecast period. 
The formula is:
Terminal Value={ Final Year Free Cash Flow × (1+ Expected Growth Rate)}/(Discount Rate-Terminal Growth Rate)</t>
  </si>
  <si>
    <t>These Values represent the different Values of "Value Per Share" that will occur in case of different WACC and Terminal Growth Rate</t>
  </si>
  <si>
    <t>Calculation of Equity Value</t>
  </si>
  <si>
    <t>PV of Terminal Value</t>
  </si>
  <si>
    <t>Enterprise Value</t>
  </si>
  <si>
    <t>Add: Cash</t>
  </si>
  <si>
    <t>Less: Debt</t>
  </si>
  <si>
    <t>Equity Value</t>
  </si>
  <si>
    <t>Fair Value Per Share as per DCF Model</t>
  </si>
  <si>
    <t>Explanation</t>
  </si>
  <si>
    <t>Changing Expected Growth Rate of FCFF</t>
  </si>
  <si>
    <t>Sensitivity Analysis-Value per share</t>
  </si>
  <si>
    <t>These Values represent the different Values of Value per share that will occur in case of different WACC and Expected Growth Rate</t>
  </si>
  <si>
    <t>Changing Tax rate</t>
  </si>
  <si>
    <t>No. of Shares</t>
  </si>
  <si>
    <t>Value Per Share</t>
  </si>
  <si>
    <t>These Values represent the different Values of Value per share that will occur in case of different WACC and Marginal Tax Rate</t>
  </si>
  <si>
    <t>Changing Reinvestment Rate</t>
  </si>
  <si>
    <t>Value per share</t>
  </si>
  <si>
    <t>Changing Factor</t>
  </si>
  <si>
    <t>Base Case</t>
  </si>
  <si>
    <t>Best Case</t>
  </si>
  <si>
    <t>Worst Case</t>
  </si>
  <si>
    <t>Expected Growth Rate of FCFF</t>
  </si>
  <si>
    <r>
      <t xml:space="preserve">These are the values of </t>
    </r>
    <r>
      <rPr>
        <b/>
        <i/>
        <sz val="11"/>
        <color rgb="FF002060"/>
        <rFont val="Calibri"/>
        <family val="2"/>
        <scheme val="minor"/>
      </rPr>
      <t>"Value per share "</t>
    </r>
    <r>
      <rPr>
        <i/>
        <sz val="11"/>
        <color rgb="FF002060"/>
        <rFont val="Calibri"/>
        <family val="2"/>
        <scheme val="minor"/>
      </rPr>
      <t xml:space="preserve"> under the </t>
    </r>
    <r>
      <rPr>
        <b/>
        <i/>
        <sz val="11"/>
        <color rgb="FF002060"/>
        <rFont val="Calibri"/>
        <family val="2"/>
        <scheme val="minor"/>
      </rPr>
      <t>DCF Method</t>
    </r>
    <r>
      <rPr>
        <i/>
        <sz val="11"/>
        <color rgb="FF002060"/>
        <rFont val="Calibri"/>
        <family val="2"/>
        <scheme val="minor"/>
      </rPr>
      <t xml:space="preserve"> at the Base Case, Best Case, and the Worst Case by changing the multiple elements involved in the DCF Equation, one at a time while keeping all the other factors the same. All the values are calculated from the various sensitivity analysis performed. </t>
    </r>
  </si>
  <si>
    <t>Mkt Cap</t>
  </si>
  <si>
    <t>Shares outsdanding</t>
  </si>
  <si>
    <t>EBITDA %</t>
  </si>
  <si>
    <t>Enterprise value/Share</t>
  </si>
  <si>
    <t>EV/Sales</t>
  </si>
  <si>
    <t>EV/EBITDA</t>
  </si>
  <si>
    <t>PE Ratio</t>
  </si>
  <si>
    <t>Price to book ratio</t>
  </si>
  <si>
    <t>N/A</t>
  </si>
  <si>
    <t>FrieslandCampina Engro Pakistan Ltd</t>
  </si>
  <si>
    <t>EBITDA Margin</t>
  </si>
  <si>
    <t>EBIT Margin</t>
  </si>
  <si>
    <t>EV/EBIT</t>
  </si>
  <si>
    <t>Debt/Equity Ratio</t>
  </si>
  <si>
    <t>Market Data</t>
  </si>
  <si>
    <t>Financials</t>
  </si>
  <si>
    <t>Valuation</t>
  </si>
  <si>
    <t>Company</t>
  </si>
  <si>
    <t>Ticker</t>
  </si>
  <si>
    <t>Share
Price</t>
  </si>
  <si>
    <t>Shares 
Outsdanding</t>
  </si>
  <si>
    <t>Equity 
Value</t>
  </si>
  <si>
    <t>Net Debt
 (Add Cash and Less Debt)</t>
  </si>
  <si>
    <t>Enterprise
 Value</t>
  </si>
  <si>
    <t>Revenue</t>
  </si>
  <si>
    <t>EBITDA</t>
  </si>
  <si>
    <t>Net Income 
(PAT)</t>
  </si>
  <si>
    <t>High</t>
  </si>
  <si>
    <t>75th Percentile</t>
  </si>
  <si>
    <t>25th Percentile</t>
  </si>
  <si>
    <t>Low</t>
  </si>
  <si>
    <t>Implied Enterprise Value</t>
  </si>
  <si>
    <t>Net Debt</t>
  </si>
  <si>
    <t>Implied Market Value (Equity Value)</t>
  </si>
  <si>
    <t>Shares Outsdanding</t>
  </si>
  <si>
    <t>Implied Fair Value per share</t>
  </si>
  <si>
    <t>Summary</t>
  </si>
  <si>
    <t>Football Field Analysis-Data</t>
  </si>
  <si>
    <t>OpenLow</t>
  </si>
  <si>
    <t>OpenHigh</t>
  </si>
  <si>
    <t>N4</t>
  </si>
  <si>
    <t>Comps (Relative Valuation)</t>
  </si>
  <si>
    <t>N2</t>
  </si>
  <si>
    <t>DCF Best case</t>
  </si>
  <si>
    <t>DCF Base</t>
  </si>
  <si>
    <t>DCF Worst Case</t>
  </si>
  <si>
    <t>N3</t>
  </si>
  <si>
    <t>The Implied Share Value calculated using the Comparable Company Valuation Method is used in this case. The highest Value per Share is taken as "High" and vice versa.</t>
  </si>
  <si>
    <t>DCF Base case is the current scenario with the current WACC calculated</t>
  </si>
  <si>
    <t>All figures are in USD unless stated otherwise</t>
  </si>
  <si>
    <t>USD M</t>
  </si>
  <si>
    <t xml:space="preserve"> M</t>
  </si>
  <si>
    <t xml:space="preserve">Cash and Cash Equivalents </t>
  </si>
  <si>
    <t>Capital Structure-Twitter Inc.</t>
  </si>
  <si>
    <t>Method 1) Finance Cost by Total Debt Method</t>
  </si>
  <si>
    <t>Kd</t>
  </si>
  <si>
    <t>Method 2) Risk Free Rate + Credit Spread</t>
  </si>
  <si>
    <t>Risk-Free Rate (As of October 28 2024)</t>
  </si>
  <si>
    <r>
      <t>Credit Spread-</t>
    </r>
    <r>
      <rPr>
        <vertAlign val="superscript"/>
        <sz val="11"/>
        <color theme="1"/>
        <rFont val="Calibri"/>
        <family val="2"/>
        <scheme val="minor"/>
      </rPr>
      <t>Note 2</t>
    </r>
  </si>
  <si>
    <t>CASH FLOWS FROM OPERATING ACTIVITIES</t>
  </si>
  <si>
    <t>Profit before taxation</t>
  </si>
  <si>
    <t>Adjustments for:</t>
  </si>
  <si>
    <t>Depreciation on property, plant and equipment</t>
  </si>
  <si>
    <t>Depreciation on right-of-use asset</t>
  </si>
  <si>
    <t>Loss on disposal of property, plant and equipment</t>
  </si>
  <si>
    <t>Provision for staff retirement benefits</t>
  </si>
  <si>
    <t>Provision for impairment of property, plant and equipment - net</t>
  </si>
  <si>
    <t>Mark-up on long term borrowings and leases</t>
  </si>
  <si>
    <t>Return on short term investments held at fair value through profit or loss</t>
  </si>
  <si>
    <t>Return on savings accounts</t>
  </si>
  <si>
    <t>Changes in working capital:</t>
  </si>
  <si>
    <t>Stores and spares</t>
  </si>
  <si>
    <t>Stock in trade - net</t>
  </si>
  <si>
    <t>Trade debts</t>
  </si>
  <si>
    <t>Loans and advances</t>
  </si>
  <si>
    <t>Trade deposits and short term prepayments</t>
  </si>
  <si>
    <t>Sales tax refundable</t>
  </si>
  <si>
    <t>Other receivables</t>
  </si>
  <si>
    <t>Trade and other payables</t>
  </si>
  <si>
    <t>Provisions</t>
  </si>
  <si>
    <t>Cash generated from operations (carried forward)</t>
  </si>
  <si>
    <t>Cash generated from operations (brought forward)</t>
  </si>
  <si>
    <t>Mark up paid</t>
  </si>
  <si>
    <t>Income tax paid</t>
  </si>
  <si>
    <t>Decrease in long term loans</t>
  </si>
  <si>
    <t>Net cash generated from operating activities</t>
  </si>
  <si>
    <t>CASH FLOWS FROM INVESTING ACTIVITIES</t>
  </si>
  <si>
    <t>Purchase of property, plant and equipment</t>
  </si>
  <si>
    <t>Proceeds from disposal of property, plant and equipment</t>
  </si>
  <si>
    <t>CASH FLOWS FROM FINANCING ACTIVITIES</t>
  </si>
  <si>
    <t>Lease liability payments</t>
  </si>
  <si>
    <t>Proceeds from long term financing</t>
  </si>
  <si>
    <t>Repayment of long term loan</t>
  </si>
  <si>
    <t>Dividends paid</t>
  </si>
  <si>
    <t>Net cash used in financing activities</t>
  </si>
  <si>
    <t>Net increase in cash and cash equivalents</t>
  </si>
  <si>
    <t>Cash and cash equivalents at beginning of the year</t>
  </si>
  <si>
    <t>Cash and cash equivalents at end of the year</t>
  </si>
  <si>
    <t>We only extracted these figures from the Consolidated Cash Flow Statement of Twitter Inc. because we needed only the amounts invested in Acquisition and sale of PPE for the Capital Expenditure Amount.</t>
  </si>
  <si>
    <t>Net Capital Expenditure</t>
  </si>
  <si>
    <t>5-Year Average</t>
  </si>
  <si>
    <t>5-Year Median</t>
  </si>
  <si>
    <t>Growth Rate</t>
  </si>
  <si>
    <r>
      <t>Actual-</t>
    </r>
    <r>
      <rPr>
        <b/>
        <i/>
        <vertAlign val="superscript"/>
        <sz val="11"/>
        <color theme="1"/>
        <rFont val="Calibri"/>
        <family val="2"/>
        <scheme val="minor"/>
      </rPr>
      <t>Note 3</t>
    </r>
  </si>
  <si>
    <t>N/A (no longer listed)</t>
  </si>
  <si>
    <t>PB Ratio</t>
  </si>
  <si>
    <t>Book Value of Equity</t>
  </si>
  <si>
    <t>DCF Best Case is the case where WACC is the Lowest or Other factors are highest</t>
  </si>
  <si>
    <t>DCF Worst Case is the case where WACC is the Highest or Other factors are worst</t>
  </si>
  <si>
    <t>1) Key Highlights (overview of valuation approaches)</t>
  </si>
  <si>
    <t>2) Valuation Overview (methodologies used)</t>
  </si>
  <si>
    <t>3) Transaction Rationale (strategic justification)</t>
  </si>
  <si>
    <t>Key Highlights:</t>
  </si>
  <si>
    <t>Valuation Approaches:</t>
  </si>
  <si>
    <r>
      <rPr>
        <b/>
        <i/>
        <sz val="11"/>
        <color rgb="FF002060"/>
        <rFont val="Calibri"/>
        <family val="2"/>
        <scheme val="minor"/>
      </rPr>
      <t>Discounted Cash Flow (DCF) Analysis:</t>
    </r>
    <r>
      <rPr>
        <i/>
        <sz val="11"/>
        <color rgb="FF002060"/>
        <rFont val="Calibri"/>
        <family val="2"/>
        <scheme val="minor"/>
      </rPr>
      <t>The DCF method provided a forward-looking valuation based on projected cash flows and was stress-tested with a sensitivity analysis to account for changes in key assumptions like growth rate and discount rate.</t>
    </r>
  </si>
  <si>
    <t>Scenario Analysis</t>
  </si>
  <si>
    <t>Risk-Free Rate</t>
  </si>
  <si>
    <t>These values represent the WACC figure for various levels of Debt and Equity Weights</t>
  </si>
  <si>
    <t>What will be the WACC Figure if the Debt Weight and the Equity Weight both keep fluctuating.</t>
  </si>
  <si>
    <t>What will be the WACC Figure if the Risk-free Rate and the Return from the Market both keep fluctuating.</t>
  </si>
  <si>
    <t>Return from the Market</t>
  </si>
  <si>
    <t>These values represent the WACC figure for various levels of Rf and Rm</t>
  </si>
  <si>
    <t xml:space="preserve">The Acquisition occurred in 2022. Therefore publicly available data is from 2021 and before. </t>
  </si>
  <si>
    <r>
      <rPr>
        <b/>
        <i/>
        <sz val="11"/>
        <color rgb="FF002060"/>
        <rFont val="Calibri"/>
        <family val="2"/>
        <scheme val="minor"/>
      </rPr>
      <t>1)</t>
    </r>
    <r>
      <rPr>
        <i/>
        <sz val="11"/>
        <color rgb="FF002060"/>
        <rFont val="Calibri"/>
        <family val="2"/>
        <scheme val="minor"/>
      </rPr>
      <t xml:space="preserve"> Cost of Equity calculated using CAPM Model</t>
    </r>
  </si>
  <si>
    <r>
      <rPr>
        <b/>
        <i/>
        <sz val="11"/>
        <color rgb="FF002060"/>
        <rFont val="Calibri"/>
        <family val="2"/>
        <scheme val="minor"/>
      </rPr>
      <t>2)</t>
    </r>
    <r>
      <rPr>
        <i/>
        <sz val="11"/>
        <color rgb="FF002060"/>
        <rFont val="Calibri"/>
        <family val="2"/>
        <scheme val="minor"/>
      </rPr>
      <t xml:space="preserve"> Cost of Debt calculated using Rf+Credit Spread Method</t>
    </r>
  </si>
  <si>
    <r>
      <rPr>
        <b/>
        <i/>
        <sz val="11"/>
        <color rgb="FF002060"/>
        <rFont val="Calibri"/>
        <family val="2"/>
        <scheme val="minor"/>
      </rPr>
      <t>9)</t>
    </r>
    <r>
      <rPr>
        <i/>
        <sz val="11"/>
        <color rgb="FF002060"/>
        <rFont val="Calibri"/>
        <family val="2"/>
        <scheme val="minor"/>
      </rPr>
      <t xml:space="preserve"> Multiples like EV/EBITDA, EV/Sales, and Price-to-book ratio used for Relative Valuation</t>
    </r>
  </si>
  <si>
    <r>
      <rPr>
        <b/>
        <i/>
        <sz val="11"/>
        <color rgb="FF002060"/>
        <rFont val="Calibri"/>
        <family val="2"/>
        <scheme val="minor"/>
      </rPr>
      <t>8)</t>
    </r>
    <r>
      <rPr>
        <i/>
        <sz val="11"/>
        <color rgb="FF002060"/>
        <rFont val="Calibri"/>
        <family val="2"/>
        <scheme val="minor"/>
      </rPr>
      <t xml:space="preserve"> Terminal Value in DCF Calculated using the "Gordon's Growth Model"</t>
    </r>
  </si>
  <si>
    <r>
      <rPr>
        <b/>
        <i/>
        <sz val="11"/>
        <color rgb="FF002060"/>
        <rFont val="Calibri"/>
        <family val="2"/>
        <scheme val="minor"/>
      </rPr>
      <t>7)</t>
    </r>
    <r>
      <rPr>
        <i/>
        <sz val="11"/>
        <color rgb="FF002060"/>
        <rFont val="Calibri"/>
        <family val="2"/>
        <scheme val="minor"/>
      </rPr>
      <t xml:space="preserve"> Intrinsic Growth Rate of the company calculated using the Formula
Growth Rate=ROIC*Reinvestment Rate
where ROIC is Return on Invested Capital
Reinvestment Rate= Reinvestment Amount/EBIT(1-Tax)
Reinvestment Amount=Net Capex Investment+Working Capital Change</t>
    </r>
  </si>
  <si>
    <t>Pakistan International Airlines</t>
  </si>
  <si>
    <t>Assets</t>
  </si>
  <si>
    <t>Property, plant and equipment</t>
  </si>
  <si>
    <t>Intangible assets</t>
  </si>
  <si>
    <t>Investment Property</t>
  </si>
  <si>
    <t>Long  term Investments</t>
  </si>
  <si>
    <t>Long term deposits</t>
  </si>
  <si>
    <t>Long-term Loan to Subsidiaries</t>
  </si>
  <si>
    <t>Rs 000</t>
  </si>
  <si>
    <t>Trade deposits and short-term prepayments</t>
  </si>
  <si>
    <t>Taxation-net</t>
  </si>
  <si>
    <t>Short-term investments</t>
  </si>
  <si>
    <t>Advances</t>
  </si>
  <si>
    <t>Cash and bank balances</t>
  </si>
  <si>
    <t>Total Assets</t>
  </si>
  <si>
    <t>EQUITY  AND  LIABILITIES</t>
  </si>
  <si>
    <t>Share Capital and Reserves</t>
  </si>
  <si>
    <t>Issued, Subscribed, and Paid-up Share Capital</t>
  </si>
  <si>
    <t>Reserves</t>
  </si>
  <si>
    <t>Revaluation surplus of property, plant, and equipment</t>
  </si>
  <si>
    <t>Non-Current Liabilities</t>
  </si>
  <si>
    <t>Long-term Financing</t>
  </si>
  <si>
    <t>Lease Liabilities</t>
  </si>
  <si>
    <t>Advances from subsidiaries</t>
  </si>
  <si>
    <t>Defferred Liabilities</t>
  </si>
  <si>
    <t>Current Liabilities</t>
  </si>
  <si>
    <t>Unclaimed dividend-Preference Shares</t>
  </si>
  <si>
    <t>Accrued interest</t>
  </si>
  <si>
    <t>Short-term borrowings</t>
  </si>
  <si>
    <t>Current maturity of long-term liabilities</t>
  </si>
  <si>
    <t>Total Equity and Liabilities</t>
  </si>
  <si>
    <t>Cost of Services</t>
  </si>
  <si>
    <t>Aircraft Fuel</t>
  </si>
  <si>
    <t>Others</t>
  </si>
  <si>
    <t>Gross Profit/ (Loss)</t>
  </si>
  <si>
    <t>Administrative expenses</t>
  </si>
  <si>
    <t>Other income</t>
  </si>
  <si>
    <t>Distribution Costs</t>
  </si>
  <si>
    <t>Other provisions and adjustments-net</t>
  </si>
  <si>
    <t>Profit/ (loss) from operations</t>
  </si>
  <si>
    <t>Exchange Loss-Net</t>
  </si>
  <si>
    <t>Loss before interest and taxation</t>
  </si>
  <si>
    <t>Finance Costs</t>
  </si>
  <si>
    <t>Loss before taxation</t>
  </si>
  <si>
    <t>Taxation-current</t>
  </si>
  <si>
    <t>Net Loss for the period</t>
  </si>
  <si>
    <t>Loss per share attributable to :</t>
  </si>
  <si>
    <t>Loss per share-basic and diluted</t>
  </si>
  <si>
    <t>Class A ordinary shares of Rs 10 each</t>
  </si>
  <si>
    <t>Class B ordinary shares of Rs 5 each</t>
  </si>
  <si>
    <t>Weighted Avg Number of ordinary shares outstanding (Class A)</t>
  </si>
  <si>
    <t>Weighted Avg Number of ordinary shares outstanding (Class B)</t>
  </si>
  <si>
    <t>Accumulated Lossess</t>
  </si>
  <si>
    <t>KSE-100 Annual Returns</t>
  </si>
  <si>
    <t>All figures taken from the PSX Website and the numbers for KSE-100 Returns mentioned in the wesbsite "Investing.com"</t>
  </si>
  <si>
    <t>Taken as the 10 Year Pak Govt Bonds Yield Rate</t>
  </si>
  <si>
    <t>Turkish Airlines</t>
  </si>
  <si>
    <r>
      <t>BIST 100 Historical Data-</t>
    </r>
    <r>
      <rPr>
        <b/>
        <vertAlign val="superscript"/>
        <sz val="11"/>
        <color theme="0"/>
        <rFont val="Calibri"/>
        <family val="2"/>
        <scheme val="minor"/>
      </rPr>
      <t>Note 1</t>
    </r>
  </si>
  <si>
    <r>
      <t xml:space="preserve">Since Turkish Airlines is a state-owned entity owned by the Turkish Governemnt and is listed on the Bosra Istanbul Stock Market, we used the data of BIST 100 as the market data to calculate the Beta of the stock. The data for both the stock and the market were taken from the wesbite </t>
    </r>
    <r>
      <rPr>
        <b/>
        <i/>
        <sz val="11"/>
        <color rgb="FF002060"/>
        <rFont val="Calibri"/>
        <family val="2"/>
        <scheme val="minor"/>
      </rPr>
      <t>"Investing.com".</t>
    </r>
  </si>
  <si>
    <t>Regression Beta-1 year weekly</t>
  </si>
  <si>
    <t>Singapore Airlines</t>
  </si>
  <si>
    <r>
      <t xml:space="preserve">Since Singapre Airlines is a state-owned entity owned by the Singapore Governemnt and is listed on the Singapore Stock Market, we used the data of Singapre Stock Exchange as the market data to calculate the Beta of the stock. The data for both the stock and the market were taken from the wesbite </t>
    </r>
    <r>
      <rPr>
        <b/>
        <i/>
        <sz val="11"/>
        <color rgb="FF002060"/>
        <rFont val="Calibri"/>
        <family val="2"/>
        <scheme val="minor"/>
      </rPr>
      <t>"Investing.com".</t>
    </r>
  </si>
  <si>
    <r>
      <t>Singapore Stock Exchange Historical Data-</t>
    </r>
    <r>
      <rPr>
        <b/>
        <vertAlign val="superscript"/>
        <sz val="11"/>
        <color theme="0"/>
        <rFont val="Calibri"/>
        <family val="2"/>
        <scheme val="minor"/>
      </rPr>
      <t>Note 1</t>
    </r>
  </si>
  <si>
    <r>
      <t>Shanghai Stock Exchange Historical Data-</t>
    </r>
    <r>
      <rPr>
        <b/>
        <vertAlign val="superscript"/>
        <sz val="11"/>
        <color theme="0"/>
        <rFont val="Calibri"/>
        <family val="2"/>
        <scheme val="minor"/>
      </rPr>
      <t>Note 1</t>
    </r>
  </si>
  <si>
    <r>
      <t xml:space="preserve">Since China Eastern Airlines is a state-owned entity owned by the Chinese Governemnt and is listed on the Shanghai Stock Market, we used the data of Shanghai Stock Exchange as the market data to calculate the Beta of the stock. The data for both the stock and the market were taken from the wesbite </t>
    </r>
    <r>
      <rPr>
        <b/>
        <i/>
        <sz val="11"/>
        <color rgb="FF002060"/>
        <rFont val="Calibri"/>
        <family val="2"/>
        <scheme val="minor"/>
      </rPr>
      <t>"Investing.com".</t>
    </r>
  </si>
  <si>
    <t>China Southern Airlines Co Ltd Class A</t>
  </si>
  <si>
    <r>
      <t xml:space="preserve">Since China Southern Airlines is a state-owned entity owned by the Chinese Governemnt and is listed on the Shanghai Stock Market, Hong-Kong Stock Exchange and Frankfurt Stock Exchange, we used the data of Shanghai Stock Exchange as the market data to calculate the Beta of the stock since the Shanghai Stock Exchange correlation would be more Bias-free and reliable. The data for both the stock and the market were taken from the wesbite </t>
    </r>
    <r>
      <rPr>
        <b/>
        <i/>
        <sz val="11"/>
        <color rgb="FF002060"/>
        <rFont val="Calibri"/>
        <family val="2"/>
        <scheme val="minor"/>
      </rPr>
      <t>"Investing.com".</t>
    </r>
  </si>
  <si>
    <r>
      <t xml:space="preserve">For making my valuation Model, I calculated the Beta of </t>
    </r>
    <r>
      <rPr>
        <b/>
        <i/>
        <sz val="11"/>
        <color rgb="FF002060"/>
        <rFont val="Calibri"/>
        <family val="2"/>
        <scheme val="minor"/>
      </rPr>
      <t>China Southern Airlines</t>
    </r>
    <r>
      <rPr>
        <i/>
        <sz val="11"/>
        <color rgb="FF002060"/>
        <rFont val="Calibri"/>
        <family val="2"/>
        <scheme val="minor"/>
      </rPr>
      <t xml:space="preserve"> (listed on the </t>
    </r>
    <r>
      <rPr>
        <b/>
        <i/>
        <sz val="11"/>
        <color rgb="FF002060"/>
        <rFont val="Calibri"/>
        <family val="2"/>
        <scheme val="minor"/>
      </rPr>
      <t>Shanghai Stock Exchange</t>
    </r>
    <r>
      <rPr>
        <i/>
        <sz val="11"/>
        <color rgb="FF002060"/>
        <rFont val="Calibri"/>
        <family val="2"/>
        <scheme val="minor"/>
      </rPr>
      <t xml:space="preserve">) to understand its sensitivity to market movements. Using the historical stock price and the Shanghai Stock Exhange data and the SLOPE function in Excel, I compared the airline's returns against the returns of the Shanghai Stock Exchange (SSE) Composite Index as the market benchmark. The resulting Beta value was 1.
</t>
    </r>
    <r>
      <rPr>
        <b/>
        <i/>
        <sz val="11"/>
        <color rgb="FF002060"/>
        <rFont val="Calibri"/>
        <family val="2"/>
        <scheme val="minor"/>
      </rPr>
      <t xml:space="preserve">Explanation of Beta = 1
</t>
    </r>
    <r>
      <rPr>
        <i/>
        <sz val="11"/>
        <color rgb="FF002060"/>
        <rFont val="Calibri"/>
        <family val="2"/>
        <scheme val="minor"/>
      </rPr>
      <t xml:space="preserve">A Beta of 1 implies that China Southern Airlines' stock price moves in tandem with the broader market. In practical terms, if the SSE increases or decreases by 1%, the stock of China Southern Airlines would also be expected to rise or fall by approximately 1%. This indicates that the stock carries average market risk, neither amplifying nor buffering market fluctuations.
</t>
    </r>
    <r>
      <rPr>
        <b/>
        <i/>
        <sz val="11"/>
        <color rgb="FF002060"/>
        <rFont val="Calibri"/>
        <family val="2"/>
        <scheme val="minor"/>
      </rPr>
      <t>Usefulness in Valuation</t>
    </r>
    <r>
      <rPr>
        <i/>
        <sz val="11"/>
        <color rgb="FF002060"/>
        <rFont val="Calibri"/>
        <family val="2"/>
        <scheme val="minor"/>
      </rPr>
      <t xml:space="preserve">
Beta is a critical input in the Capital Asset Pricing Model (CAPM) to estimate the airline's cost of equity. Since a Beta of 1 suggests average market risk, it implies that investors expect returns aligned with the overall market. This makes it a useful metric for adjusting cash flow projections and discount rates in valuation models, especially when comparing China Southern Airlines with similar airline stocks in the Asian market.
</t>
    </r>
  </si>
  <si>
    <r>
      <t>Beta Calculation and Interpretation for China Southern Airlines-</t>
    </r>
    <r>
      <rPr>
        <b/>
        <i/>
        <u/>
        <vertAlign val="superscript"/>
        <sz val="11"/>
        <color rgb="FF002060"/>
        <rFont val="Calibri"/>
        <family val="2"/>
        <scheme val="minor"/>
      </rPr>
      <t>Note 2</t>
    </r>
  </si>
  <si>
    <t>Garuda Indonesia Persero Tbk</t>
  </si>
  <si>
    <t>Jakarta Stock Exchange Historical Data</t>
  </si>
  <si>
    <r>
      <t xml:space="preserve">Since Garudo Indonesia is a state-owned entity owned by the Indonesian Governemnt and is listed on the Jakarta Stock Market, we used the data of Jakarta Stock Exchange as the market data to calculate the Beta of the stock. The data for both the stock and the market were taken from the wesbite </t>
    </r>
    <r>
      <rPr>
        <b/>
        <i/>
        <sz val="11"/>
        <color rgb="FF002060"/>
        <rFont val="Calibri"/>
        <family val="2"/>
        <scheme val="minor"/>
      </rPr>
      <t>"Investing.com".</t>
    </r>
  </si>
  <si>
    <t>PAKISTAN</t>
  </si>
  <si>
    <t>TURKEY</t>
  </si>
  <si>
    <t>SINGAPORE</t>
  </si>
  <si>
    <t>INDONESIA</t>
  </si>
  <si>
    <t>CHINA</t>
  </si>
  <si>
    <r>
      <t xml:space="preserve">For PIA’s valuation model, peer companies were selected based on four main criteria:
1) Government Ownership: </t>
    </r>
    <r>
      <rPr>
        <i/>
        <sz val="11"/>
        <color rgb="FF002060"/>
        <rFont val="Calibri"/>
        <family val="2"/>
        <scheme val="minor"/>
      </rPr>
      <t>This ensures the companies have similar strategic interests, financial structures, and levels of government influence, which can impact risk and returns.</t>
    </r>
    <r>
      <rPr>
        <b/>
        <i/>
        <sz val="11"/>
        <color rgb="FF002060"/>
        <rFont val="Calibri"/>
        <family val="2"/>
        <scheme val="minor"/>
      </rPr>
      <t xml:space="preserve">
2) Publicly Listed: </t>
    </r>
    <r>
      <rPr>
        <i/>
        <sz val="11"/>
        <color rgb="FF002060"/>
        <rFont val="Calibri"/>
        <family val="2"/>
        <scheme val="minor"/>
      </rPr>
      <t>Only airlines that remain publicly traded were included, ensuring transparent, up-to-date financial information for accurate comparative analysis.</t>
    </r>
    <r>
      <rPr>
        <b/>
        <i/>
        <sz val="11"/>
        <color rgb="FF002060"/>
        <rFont val="Calibri"/>
        <family val="2"/>
        <scheme val="minor"/>
      </rPr>
      <t xml:space="preserve">
3) Large-Scale Operations: </t>
    </r>
    <r>
      <rPr>
        <i/>
        <sz val="11"/>
        <color rgb="FF002060"/>
        <rFont val="Calibri"/>
        <family val="2"/>
        <scheme val="minor"/>
      </rPr>
      <t>Selected airlines are significant players in their markets, similar to PIA, allowing for comparability in operational metrics, revenue potential, and market reach.</t>
    </r>
    <r>
      <rPr>
        <b/>
        <i/>
        <sz val="11"/>
        <color rgb="FF002060"/>
        <rFont val="Calibri"/>
        <family val="2"/>
        <scheme val="minor"/>
      </rPr>
      <t xml:space="preserve">
4) Regional Focus on Asia and Southeast Asia: </t>
    </r>
    <r>
      <rPr>
        <i/>
        <sz val="11"/>
        <color rgb="FF002060"/>
        <rFont val="Calibri"/>
        <family val="2"/>
        <scheme val="minor"/>
      </rPr>
      <t>Airlines based in or primarily operating within these regions were prioritized to account for market-specific demand, economic conditions, and regulatory environments comparable to PIA's operating context.</t>
    </r>
    <r>
      <rPr>
        <b/>
        <i/>
        <sz val="11"/>
        <color rgb="FF002060"/>
        <rFont val="Calibri"/>
        <family val="2"/>
        <scheme val="minor"/>
      </rPr>
      <t xml:space="preserve">
</t>
    </r>
    <r>
      <rPr>
        <i/>
        <sz val="11"/>
        <color rgb="FF002060"/>
        <rFont val="Calibri"/>
        <family val="2"/>
        <scheme val="minor"/>
      </rPr>
      <t>Exclusion of Other Asian Airlines like Air India, Qatar Airways, and Thai Airways</t>
    </r>
    <r>
      <rPr>
        <b/>
        <i/>
        <sz val="11"/>
        <color rgb="FF002060"/>
        <rFont val="Calibri"/>
        <family val="2"/>
        <scheme val="minor"/>
      </rPr>
      <t xml:space="preserve">
</t>
    </r>
    <r>
      <rPr>
        <i/>
        <sz val="11"/>
        <color rgb="FF002060"/>
        <rFont val="Calibri"/>
        <family val="2"/>
        <scheme val="minor"/>
      </rPr>
      <t>Air India is government-owned and operates in Asia but is now privately held by Tata Group and no longer directly listed, making it challenging to access consistent, publicly available financial data.
Qatar Airways is fully government-owned but not publicly traded, so it lacks the transparent data necessary for accurate beta calculation and financial comparability.
Thai Airways was delisted during its restructuring and is expected to relist only by 2025, thus lacking recent stock performance data.
This selection approach enhances the reliability of the comparative Beta and valuation, providing closer alignment to PIA’s market position and operational structure</t>
    </r>
    <r>
      <rPr>
        <b/>
        <i/>
        <sz val="11"/>
        <color rgb="FF002060"/>
        <rFont val="Calibri"/>
        <family val="2"/>
        <scheme val="minor"/>
      </rPr>
      <t>.</t>
    </r>
  </si>
  <si>
    <r>
      <rPr>
        <b/>
        <i/>
        <sz val="11"/>
        <color rgb="FF002060"/>
        <rFont val="Calibri"/>
        <family val="2"/>
        <scheme val="minor"/>
      </rPr>
      <t xml:space="preserve">3) </t>
    </r>
    <r>
      <rPr>
        <i/>
        <sz val="11"/>
        <color rgb="FF002060"/>
        <rFont val="Calibri"/>
        <family val="2"/>
        <scheme val="minor"/>
      </rPr>
      <t>Rf</t>
    </r>
    <r>
      <rPr>
        <b/>
        <i/>
        <sz val="11"/>
        <color rgb="FF002060"/>
        <rFont val="Calibri"/>
        <family val="2"/>
        <scheme val="minor"/>
      </rPr>
      <t xml:space="preserve"> </t>
    </r>
    <r>
      <rPr>
        <i/>
        <sz val="11"/>
        <color rgb="FF002060"/>
        <rFont val="Calibri"/>
        <family val="2"/>
        <scheme val="minor"/>
      </rPr>
      <t>Taken as the 10 Year Pak Govt Bonds Yield Rate</t>
    </r>
  </si>
  <si>
    <t>USD 000</t>
  </si>
  <si>
    <r>
      <t>Total Debt-</t>
    </r>
    <r>
      <rPr>
        <b/>
        <vertAlign val="superscript"/>
        <sz val="11"/>
        <color theme="1"/>
        <rFont val="Calibri"/>
        <family val="2"/>
        <scheme val="minor"/>
      </rPr>
      <t>Note 1</t>
    </r>
  </si>
  <si>
    <r>
      <t xml:space="preserve">For calculating the debt-to-equity ratio in this model, only interest-bearing liabilities and true debt obligations were included. This approach provides an accurate picture of the company’s leverage, focusing on financial obligations that impact cash flow and require scheduled repayments.
</t>
    </r>
    <r>
      <rPr>
        <b/>
        <i/>
        <sz val="11"/>
        <color rgb="FF002060"/>
        <rFont val="Calibri"/>
        <family val="2"/>
        <scheme val="minor"/>
      </rPr>
      <t>Included Items</t>
    </r>
    <r>
      <rPr>
        <i/>
        <sz val="11"/>
        <color rgb="FF002060"/>
        <rFont val="Calibri"/>
        <family val="2"/>
        <scheme val="minor"/>
      </rPr>
      <t xml:space="preserve">
</t>
    </r>
    <r>
      <rPr>
        <b/>
        <i/>
        <sz val="11"/>
        <color rgb="FF002060"/>
        <rFont val="Calibri"/>
        <family val="2"/>
        <scheme val="minor"/>
      </rPr>
      <t>Long-term Financing and Short-term Borrowings</t>
    </r>
    <r>
      <rPr>
        <i/>
        <sz val="11"/>
        <color rgb="FF002060"/>
        <rFont val="Calibri"/>
        <family val="2"/>
        <scheme val="minor"/>
      </rPr>
      <t xml:space="preserve"> – These represent the core debt obligations, directly impacting liquidity and solvency.
</t>
    </r>
    <r>
      <rPr>
        <b/>
        <i/>
        <sz val="11"/>
        <color rgb="FF002060"/>
        <rFont val="Calibri"/>
        <family val="2"/>
        <scheme val="minor"/>
      </rPr>
      <t xml:space="preserve">Current Maturity of Long-term Liabilities </t>
    </r>
    <r>
      <rPr>
        <i/>
        <sz val="11"/>
        <color rgb="FF002060"/>
        <rFont val="Calibri"/>
        <family val="2"/>
        <scheme val="minor"/>
      </rPr>
      <t xml:space="preserve">– Although a short-term obligation, this portion of long-term debt will be paid within the year, making it a relevant part of total debt.
</t>
    </r>
    <r>
      <rPr>
        <b/>
        <i/>
        <sz val="11"/>
        <color rgb="FF002060"/>
        <rFont val="Calibri"/>
        <family val="2"/>
        <scheme val="minor"/>
      </rPr>
      <t>Lease Liabilities</t>
    </r>
    <r>
      <rPr>
        <i/>
        <sz val="11"/>
        <color rgb="FF002060"/>
        <rFont val="Calibri"/>
        <family val="2"/>
        <scheme val="minor"/>
      </rPr>
      <t xml:space="preserve"> – Only capital leases were included, as they are financing arrangements and represent a long-term commitment.
</t>
    </r>
    <r>
      <rPr>
        <b/>
        <i/>
        <sz val="11"/>
        <color rgb="FF002060"/>
        <rFont val="Calibri"/>
        <family val="2"/>
        <scheme val="minor"/>
      </rPr>
      <t>Excluded Items</t>
    </r>
    <r>
      <rPr>
        <i/>
        <sz val="11"/>
        <color rgb="FF002060"/>
        <rFont val="Calibri"/>
        <family val="2"/>
        <scheme val="minor"/>
      </rPr>
      <t xml:space="preserve">
</t>
    </r>
    <r>
      <rPr>
        <b/>
        <i/>
        <sz val="11"/>
        <color rgb="FF002060"/>
        <rFont val="Calibri"/>
        <family val="2"/>
        <scheme val="minor"/>
      </rPr>
      <t>Deferred Liabilities and Advances from Subsidiaries</t>
    </r>
    <r>
      <rPr>
        <i/>
        <sz val="11"/>
        <color rgb="FF002060"/>
        <rFont val="Calibri"/>
        <family val="2"/>
        <scheme val="minor"/>
      </rPr>
      <t xml:space="preserve"> – These do not represent actual debt, as they are either deferred expenses (e.g., taxes) or non-interest-bearing obligations, meaning they do not impact cash flow or financial risk in the same way as traditional debt.
This focused approach enables more accurate insights into financial leverage, isolating obligations that directly affect the company’s risk and return profile.</t>
    </r>
  </si>
  <si>
    <r>
      <t xml:space="preserve">In PIA’s 2023 financial statements, the Equity is negative due to </t>
    </r>
    <r>
      <rPr>
        <b/>
        <i/>
        <sz val="11"/>
        <color rgb="FF002060"/>
        <rFont val="Calibri"/>
        <family val="2"/>
        <scheme val="minor"/>
      </rPr>
      <t>"Accumulated Losses",</t>
    </r>
    <r>
      <rPr>
        <i/>
        <sz val="11"/>
        <color rgb="FF002060"/>
        <rFont val="Calibri"/>
        <family val="2"/>
        <scheme val="minor"/>
      </rPr>
      <t xml:space="preserve"> resulting in </t>
    </r>
    <r>
      <rPr>
        <b/>
        <i/>
        <sz val="11"/>
        <color rgb="FF002060"/>
        <rFont val="Calibri"/>
        <family val="2"/>
        <scheme val="minor"/>
      </rPr>
      <t>Negative Reserves.</t>
    </r>
    <r>
      <rPr>
        <i/>
        <sz val="11"/>
        <color rgb="FF002060"/>
        <rFont val="Calibri"/>
        <family val="2"/>
        <scheme val="minor"/>
      </rPr>
      <t xml:space="preserve"> This causes the debt-to-equity ratio to be negative, as debt is divided by a negative equity value.
</t>
    </r>
    <r>
      <rPr>
        <b/>
        <i/>
        <sz val="11"/>
        <color rgb="FF002060"/>
        <rFont val="Calibri"/>
        <family val="2"/>
        <scheme val="minor"/>
      </rPr>
      <t>Interpretation</t>
    </r>
    <r>
      <rPr>
        <i/>
        <sz val="11"/>
        <color rgb="FF002060"/>
        <rFont val="Calibri"/>
        <family val="2"/>
        <scheme val="minor"/>
      </rPr>
      <t xml:space="preserve">
A negative debt-to-equity ratio indicates a high-risk financial position, where liabilities exceed assets, leading to an equity shortfall. This negative ratio highlights that PIA’s debt levels are unsupported by shareholder equity, signaling financial distress and potential solvency issues. While a high debt-to-equity ratio suggests leverage, a negative ratio emphasizes the need for restructuring, refinancing, or other measures to restore financial stability.</t>
    </r>
  </si>
  <si>
    <t>Note 2-Explanation of PIA's Negative Debt-to-Equity Ratio</t>
  </si>
  <si>
    <t>All figures taken from the Consolidated Financial Statements provided in the Annual Report and the numbers mentioned in the wesbsite "Investing.com" and "StockAnalysis.com" as at year ended December 31st 2023 or June 30 2024 for the companies whose financial year is from July-June. 
Since the PIA Privatisation is going on in recent times, it is better to use the "Most Recent" available (audited) data of the peer companies as well.</t>
  </si>
  <si>
    <t>Latest available Share Price (USD)</t>
  </si>
  <si>
    <t>Price to sales ratio</t>
  </si>
  <si>
    <t>THYAQ</t>
  </si>
  <si>
    <t>SGD to USD</t>
  </si>
  <si>
    <t>Latest Exchange Rates</t>
  </si>
  <si>
    <t>TRY to USD</t>
  </si>
  <si>
    <t>GIAA</t>
  </si>
  <si>
    <t>IDR to USD</t>
  </si>
  <si>
    <t xml:space="preserve">Cash and bank balance </t>
  </si>
  <si>
    <t xml:space="preserve">PAT </t>
  </si>
  <si>
    <t xml:space="preserve">EBITDA </t>
  </si>
  <si>
    <t>China Eastern Airlines Corp Ltd (SHA: 600115)</t>
  </si>
  <si>
    <t>CNY to USD</t>
  </si>
  <si>
    <t>N/A as negative EPS</t>
  </si>
  <si>
    <t>HKD to USD</t>
  </si>
  <si>
    <r>
      <t>China Southern Airlines Co Ltd Class A-</t>
    </r>
    <r>
      <rPr>
        <b/>
        <vertAlign val="superscript"/>
        <sz val="11"/>
        <color theme="1"/>
        <rFont val="Calibri"/>
        <family val="2"/>
        <scheme val="minor"/>
      </rPr>
      <t>Note i</t>
    </r>
  </si>
  <si>
    <t>Note i</t>
  </si>
  <si>
    <t>Only Market Cap in HKD, Other data in CNY (so CNY exchange rate used to convert rest of the numebrs)</t>
  </si>
  <si>
    <t>Taken as the Average Return on the KSE-100 Index for the last 10 years</t>
  </si>
  <si>
    <t>Finance costs-2023 (the latest year whose annual audited information is available)</t>
  </si>
  <si>
    <t>Total Debt (USD M)</t>
  </si>
  <si>
    <r>
      <t xml:space="preserve">To estimate the credit spread, we can look at the credit ratings of comparable entities or use industry averages. Since PIA is a government-owned entity with a relatively high risk profile (due to its operational challenges and financial instability), we can expect the credit spread to be higher compared to investment-grade companies.
For example, for companies with </t>
    </r>
    <r>
      <rPr>
        <b/>
        <i/>
        <sz val="11"/>
        <color rgb="FF002060"/>
        <rFont val="Calibri"/>
        <family val="2"/>
        <scheme val="minor"/>
      </rPr>
      <t>BB</t>
    </r>
    <r>
      <rPr>
        <i/>
        <sz val="11"/>
        <color rgb="FF002060"/>
        <rFont val="Calibri"/>
        <family val="2"/>
        <scheme val="minor"/>
      </rPr>
      <t xml:space="preserve"> or </t>
    </r>
    <r>
      <rPr>
        <b/>
        <i/>
        <sz val="11"/>
        <color rgb="FF002060"/>
        <rFont val="Calibri"/>
        <family val="2"/>
        <scheme val="minor"/>
      </rPr>
      <t>Lower</t>
    </r>
    <r>
      <rPr>
        <i/>
        <sz val="11"/>
        <color rgb="FF002060"/>
        <rFont val="Calibri"/>
        <family val="2"/>
        <scheme val="minor"/>
      </rPr>
      <t xml:space="preserve"> credit ratings, the typical credit spread can range from </t>
    </r>
    <r>
      <rPr>
        <b/>
        <i/>
        <sz val="11"/>
        <color rgb="FF002060"/>
        <rFont val="Calibri"/>
        <family val="2"/>
        <scheme val="minor"/>
      </rPr>
      <t>5%</t>
    </r>
    <r>
      <rPr>
        <i/>
        <sz val="11"/>
        <color rgb="FF002060"/>
        <rFont val="Calibri"/>
        <family val="2"/>
        <scheme val="minor"/>
      </rPr>
      <t xml:space="preserve"> to </t>
    </r>
    <r>
      <rPr>
        <b/>
        <i/>
        <sz val="11"/>
        <color rgb="FF002060"/>
        <rFont val="Calibri"/>
        <family val="2"/>
        <scheme val="minor"/>
      </rPr>
      <t>10%</t>
    </r>
    <r>
      <rPr>
        <i/>
        <sz val="11"/>
        <color rgb="FF002060"/>
        <rFont val="Calibri"/>
        <family val="2"/>
        <scheme val="minor"/>
      </rPr>
      <t xml:space="preserve">, or even higher for companies in financial distress.
</t>
    </r>
    <r>
      <rPr>
        <b/>
        <i/>
        <sz val="11"/>
        <color rgb="FF002060"/>
        <rFont val="Calibri"/>
        <family val="2"/>
        <scheme val="minor"/>
      </rPr>
      <t>Estimation of Credit Spread:</t>
    </r>
    <r>
      <rPr>
        <i/>
        <sz val="11"/>
        <color rgb="FF002060"/>
        <rFont val="Calibri"/>
        <family val="2"/>
        <scheme val="minor"/>
      </rPr>
      <t xml:space="preserve">
Considering PIA’s challenges, a credit spread of around 8% to 10% is a reasonable estimate for a company with its risk profile.</t>
    </r>
  </si>
  <si>
    <t>More Realistic</t>
  </si>
  <si>
    <t>I chose the Risk-Free Rate + Credit Spread method for calculating the Cost of Debt (Kd) as it better reflects PIA's risk profile. This method accounts for the additional risk associated with PIA’s financial challenges by adding a credit spread to the risk-free rate. It provides a clear, market-based estimate of what PIA would pay to raise debt, factoring in its credit risk.
The Finance Cost/Total Debt method was not suitable due to the lack of detailed debt data for PIA in the public domain, making it harder to calculate an accurate cost of debt from available financials. This method is also more reliable for companies with stable or clear borrowing costs, which is not the case for PIA.</t>
  </si>
  <si>
    <t>Selection of the Method for calculating Kd</t>
  </si>
  <si>
    <t>EBIT Margin (operating Profit Margin)</t>
  </si>
  <si>
    <t>We have taken the Growth rate of Pakistan's GDP in 2024 as forecasted by the State Bank of Pakistan</t>
  </si>
  <si>
    <t>Rs B</t>
  </si>
  <si>
    <t>No. of Shares of PIA at the time of privatisation (000)</t>
  </si>
  <si>
    <t xml:space="preserve">The reason we Took the Actual EBIT of 2023 is because it was positive and would result in a positive PV of FCFF and hence give a positive value of the company using the DCF Method. If we took the average EBIT of 2019-2023 as the actual number, the PV of FCFF would've become negative giving a negative value of the company which would be unrealistic.  </t>
  </si>
  <si>
    <t>Method of Valuation</t>
  </si>
  <si>
    <t>Valuation (Rs B)</t>
  </si>
  <si>
    <t>Difference</t>
  </si>
  <si>
    <t>Discounted CashFlow</t>
  </si>
  <si>
    <r>
      <t>Valuation Advised by EY to the Government-</t>
    </r>
    <r>
      <rPr>
        <b/>
        <u/>
        <vertAlign val="superscript"/>
        <sz val="11"/>
        <color theme="1"/>
        <rFont val="Calibri"/>
        <family val="2"/>
        <scheme val="minor"/>
      </rPr>
      <t>Note 1</t>
    </r>
  </si>
  <si>
    <r>
      <t xml:space="preserve">The Government has been advised to keep the reserve (minimum) price for the majority holding </t>
    </r>
    <r>
      <rPr>
        <b/>
        <i/>
        <sz val="11"/>
        <color rgb="FF002060"/>
        <rFont val="Calibri"/>
        <family val="2"/>
        <scheme val="minor"/>
      </rPr>
      <t>(51%)</t>
    </r>
    <r>
      <rPr>
        <i/>
        <sz val="11"/>
        <color rgb="FF002060"/>
        <rFont val="Calibri"/>
        <family val="2"/>
        <scheme val="minor"/>
      </rPr>
      <t xml:space="preserve">in PIA as </t>
    </r>
    <r>
      <rPr>
        <b/>
        <i/>
        <sz val="11"/>
        <color rgb="FF002060"/>
        <rFont val="Calibri"/>
        <family val="2"/>
        <scheme val="minor"/>
      </rPr>
      <t>85.3</t>
    </r>
    <r>
      <rPr>
        <i/>
        <sz val="11"/>
        <color rgb="FF002060"/>
        <rFont val="Calibri"/>
        <family val="2"/>
        <scheme val="minor"/>
      </rPr>
      <t xml:space="preserve"> Billion. Therefore, the valuation for the entire </t>
    </r>
    <r>
      <rPr>
        <b/>
        <i/>
        <sz val="11"/>
        <color rgb="FF002060"/>
        <rFont val="Calibri"/>
        <family val="2"/>
        <scheme val="minor"/>
      </rPr>
      <t>100%</t>
    </r>
    <r>
      <rPr>
        <i/>
        <sz val="11"/>
        <color rgb="FF002060"/>
        <rFont val="Calibri"/>
        <family val="2"/>
        <scheme val="minor"/>
      </rPr>
      <t xml:space="preserve"> holding of PIA advised by EY is </t>
    </r>
    <r>
      <rPr>
        <b/>
        <i/>
        <sz val="11"/>
        <color rgb="FF002060"/>
        <rFont val="Calibri"/>
        <family val="2"/>
        <scheme val="minor"/>
      </rPr>
      <t>166.7B</t>
    </r>
    <r>
      <rPr>
        <i/>
        <sz val="11"/>
        <color rgb="FF002060"/>
        <rFont val="Calibri"/>
        <family val="2"/>
        <scheme val="minor"/>
      </rPr>
      <t xml:space="preserve"> Rs</t>
    </r>
  </si>
  <si>
    <t>Valuation Advised to the Government by EY</t>
  </si>
  <si>
    <t>These Values represent the different Values of Value per share that will occur in case of different WACC and Reinvestment Rate</t>
  </si>
  <si>
    <t>Data Table</t>
  </si>
  <si>
    <t>If WACC is as follows, what will be the Value per share in each scenario</t>
  </si>
  <si>
    <r>
      <t xml:space="preserve">All of the data for the aforementioned companies was taken from the website </t>
    </r>
    <r>
      <rPr>
        <b/>
        <i/>
        <sz val="11"/>
        <color rgb="FF002060"/>
        <rFont val="Calibri"/>
        <family val="2"/>
        <scheme val="minor"/>
      </rPr>
      <t>"StockAnalysis.com"</t>
    </r>
    <r>
      <rPr>
        <i/>
        <sz val="11"/>
        <color rgb="FF002060"/>
        <rFont val="Calibri"/>
        <family val="2"/>
        <scheme val="minor"/>
      </rPr>
      <t xml:space="preserve"> and </t>
    </r>
    <r>
      <rPr>
        <b/>
        <i/>
        <sz val="11"/>
        <color rgb="FF002060"/>
        <rFont val="Calibri"/>
        <family val="2"/>
        <scheme val="minor"/>
      </rPr>
      <t>"Investing.com</t>
    </r>
    <r>
      <rPr>
        <i/>
        <sz val="11"/>
        <color rgb="FF002060"/>
        <rFont val="Calibri"/>
        <family val="2"/>
        <scheme val="minor"/>
      </rPr>
      <t xml:space="preserve">", and also cross-checked from the Annual Reports of the respective companies as at the year end date of the year ended </t>
    </r>
    <r>
      <rPr>
        <b/>
        <i/>
        <sz val="11"/>
        <color rgb="FF002060"/>
        <rFont val="Calibri"/>
        <family val="2"/>
        <scheme val="minor"/>
      </rPr>
      <t>December 31st 2023</t>
    </r>
    <r>
      <rPr>
        <i/>
        <sz val="11"/>
        <color rgb="FF002060"/>
        <rFont val="Calibri"/>
        <family val="2"/>
        <scheme val="minor"/>
      </rPr>
      <t xml:space="preserve"> or </t>
    </r>
    <r>
      <rPr>
        <b/>
        <i/>
        <sz val="11"/>
        <color rgb="FF002060"/>
        <rFont val="Calibri"/>
        <family val="2"/>
        <scheme val="minor"/>
      </rPr>
      <t>30th June 2024</t>
    </r>
    <r>
      <rPr>
        <i/>
        <sz val="11"/>
        <color rgb="FF002060"/>
        <rFont val="Calibri"/>
        <family val="2"/>
        <scheme val="minor"/>
      </rPr>
      <t xml:space="preserve"> or </t>
    </r>
    <r>
      <rPr>
        <b/>
        <i/>
        <sz val="11"/>
        <color rgb="FF002060"/>
        <rFont val="Calibri"/>
        <family val="2"/>
        <scheme val="minor"/>
      </rPr>
      <t>30th September 2024</t>
    </r>
    <r>
      <rPr>
        <i/>
        <sz val="11"/>
        <color rgb="FF002060"/>
        <rFont val="Calibri"/>
        <family val="2"/>
        <scheme val="minor"/>
      </rPr>
      <t xml:space="preserve"> (if fiscal year is July-June or Oct-Sept)</t>
    </r>
  </si>
  <si>
    <t>SINGF</t>
  </si>
  <si>
    <t>Price to Sales Ratio</t>
  </si>
  <si>
    <t>Not Available</t>
  </si>
  <si>
    <t>Not calculatble due to EBITDA figure being unknown</t>
  </si>
  <si>
    <r>
      <t xml:space="preserve">We got the Market value of equity by multiplying the </t>
    </r>
    <r>
      <rPr>
        <b/>
        <i/>
        <sz val="11"/>
        <color rgb="FF002060"/>
        <rFont val="Calibri"/>
        <family val="2"/>
        <scheme val="minor"/>
      </rPr>
      <t>Latest PAT</t>
    </r>
    <r>
      <rPr>
        <i/>
        <sz val="11"/>
        <color rgb="FF002060"/>
        <rFont val="Calibri"/>
        <family val="2"/>
        <scheme val="minor"/>
      </rPr>
      <t xml:space="preserve"> of the company (which was negative) with the </t>
    </r>
    <r>
      <rPr>
        <b/>
        <i/>
        <sz val="11"/>
        <color rgb="FF002060"/>
        <rFont val="Calibri"/>
        <family val="2"/>
        <scheme val="minor"/>
      </rPr>
      <t>Comps Median PE Ratio</t>
    </r>
    <r>
      <rPr>
        <i/>
        <sz val="11"/>
        <color rgb="FF002060"/>
        <rFont val="Calibri"/>
        <family val="2"/>
        <scheme val="minor"/>
      </rPr>
      <t>. This gave us a negative Vale per share which is unrealistic. Therefore we have used further multiples like Price-to book ratio and Price to Sales Ratio.</t>
    </r>
  </si>
  <si>
    <r>
      <t xml:space="preserve">The Reason for a negative Valuation of PIA using the </t>
    </r>
    <r>
      <rPr>
        <b/>
        <i/>
        <sz val="11"/>
        <color rgb="FF002060"/>
        <rFont val="Calibri"/>
        <family val="2"/>
        <scheme val="minor"/>
      </rPr>
      <t>PB Ratio</t>
    </r>
    <r>
      <rPr>
        <i/>
        <sz val="11"/>
        <color rgb="FF002060"/>
        <rFont val="Calibri"/>
        <family val="2"/>
        <scheme val="minor"/>
      </rPr>
      <t xml:space="preserve"> multiple is the </t>
    </r>
    <r>
      <rPr>
        <b/>
        <i/>
        <sz val="11"/>
        <color rgb="FF002060"/>
        <rFont val="Calibri"/>
        <family val="2"/>
        <scheme val="minor"/>
      </rPr>
      <t>"Negative Equity"</t>
    </r>
    <r>
      <rPr>
        <i/>
        <sz val="11"/>
        <color rgb="FF002060"/>
        <rFont val="Calibri"/>
        <family val="2"/>
        <scheme val="minor"/>
      </rPr>
      <t xml:space="preserve"> of PIA. We multiplied the "Book Value of Equity" of PIA with the median of peer companies PB Ratio to get an estimate of the market value of equity of PIA.
However, due to the negative value of equity, the market value of equity and the resultant value per share is also coming as negative making this method also of no practical use. </t>
    </r>
  </si>
  <si>
    <t xml:space="preserve">EBIT (Operating Profit) </t>
  </si>
  <si>
    <t>Actual Value per share advised by EY</t>
  </si>
  <si>
    <t>Value per share  Advised to the Government by EY</t>
  </si>
  <si>
    <r>
      <t xml:space="preserve">Comparable Company Analysis (Comp Analysis) is a valuation method that involves comparing the financial metrics (like EV/EBITDA, EV/EBIT, EV/Sales, and P/E ratio) of a target company with similar publicly traded companies. Here the purpose of this analysis was to calculate the Fair value per share using the comparable company method so that we can compare the results with the actual price advised by EY to the Governemnt for the valuation of PIA.
 </t>
    </r>
    <r>
      <rPr>
        <b/>
        <i/>
        <sz val="11"/>
        <color rgb="FF002060"/>
        <rFont val="Calibri"/>
        <family val="2"/>
        <scheme val="minor"/>
      </rPr>
      <t>If the Fair value per share calculated is lesser than that, it can be infered that</t>
    </r>
    <r>
      <rPr>
        <i/>
        <sz val="11"/>
        <color rgb="FF002060"/>
        <rFont val="Calibri"/>
        <family val="2"/>
        <scheme val="minor"/>
      </rPr>
      <t xml:space="preserve">
1) EY has used other multiples than what we have used for Relative Valuation
2) Some discrepancy in the collation and interpretaion of the data
3) EY Did NOT use the Relative Valuation Method for Valuation of PIA</t>
    </r>
  </si>
  <si>
    <r>
      <t xml:space="preserve">A football field analysis is a visual representation used in investment banking to compare a range of valuation methods and show potential Equity Values or the Value Per Share. It typically displays different valuation approaches, such as Discounted Cash Flow (DCF), Comparable Company Analysis, Precedent Transactions, and more, all on a single chart. 
The range of valuations from each method is plotted as a horizontal bar, similar to a football field's layout, helping to compare and assess different valuations at a glance. This analysis is often used in M&amp;A, IPOs, and investment presentations to summarize valuation outcomes for easier decision-making.
We used 2 methods for calculating the Equity Value and the Value per Share, namely </t>
    </r>
    <r>
      <rPr>
        <b/>
        <i/>
        <sz val="11"/>
        <color rgb="FF002060"/>
        <rFont val="Calibri"/>
        <family val="2"/>
        <scheme val="minor"/>
      </rPr>
      <t>"Comparable Company Valuation (Relative Valuation)"</t>
    </r>
    <r>
      <rPr>
        <i/>
        <sz val="11"/>
        <color rgb="FF002060"/>
        <rFont val="Calibri"/>
        <family val="2"/>
        <scheme val="minor"/>
      </rPr>
      <t xml:space="preserve"> and the </t>
    </r>
    <r>
      <rPr>
        <b/>
        <i/>
        <sz val="11"/>
        <color rgb="FF002060"/>
        <rFont val="Calibri"/>
        <family val="2"/>
        <scheme val="minor"/>
      </rPr>
      <t>"DCF Method"</t>
    </r>
    <r>
      <rPr>
        <i/>
        <sz val="11"/>
        <color rgb="FF002060"/>
        <rFont val="Calibri"/>
        <family val="2"/>
        <scheme val="minor"/>
      </rPr>
      <t>. The calculations from both methods is done in the previous sheets. The Highest and Lowest Value per Share from both methods is displayed in the Chart above.</t>
    </r>
  </si>
  <si>
    <t>A multi-method approach was used to value PIA, leveraging DCF analysis, relative valuation. The analysis supports a price range close to $31 per share, reflecting both intrinsic value and market-driven strategic considerations.</t>
  </si>
  <si>
    <r>
      <rPr>
        <b/>
        <i/>
        <sz val="11"/>
        <color rgb="FF002060"/>
        <rFont val="Calibri"/>
        <family val="2"/>
        <scheme val="minor"/>
      </rPr>
      <t xml:space="preserve">WACC Calculation: </t>
    </r>
    <r>
      <rPr>
        <i/>
        <sz val="11"/>
        <color rgb="FF002060"/>
        <rFont val="Calibri"/>
        <family val="2"/>
        <scheme val="minor"/>
      </rPr>
      <t xml:space="preserve">A custom Weighted Average Cost of Capital (WACC) was developed based on PIA’s capital structure, beta, and cost of debt. This rate served as the discount rate for the DCF.
Furthermore, WACC Scenario Analysis was also conducted to give various levels of WACC for various input levels of Rf, Rm, Tax-Rate, Debt and Equity Weight. </t>
    </r>
  </si>
  <si>
    <r>
      <rPr>
        <b/>
        <i/>
        <sz val="11"/>
        <color rgb="FF002060"/>
        <rFont val="Calibri"/>
        <family val="2"/>
        <scheme val="minor"/>
      </rPr>
      <t xml:space="preserve">Kd Calculation: </t>
    </r>
    <r>
      <rPr>
        <i/>
        <sz val="11"/>
        <color rgb="FF002060"/>
        <rFont val="Calibri"/>
        <family val="2"/>
        <scheme val="minor"/>
      </rPr>
      <t xml:space="preserve">The Kd was calculated using 2 methods. First by dividing the finance cost by the Total Debt which gave an unrealistic or biased number. The other method was the "Rf+Credit Spread Method". See the Sheet for more details. </t>
    </r>
  </si>
  <si>
    <r>
      <rPr>
        <b/>
        <i/>
        <sz val="11"/>
        <color rgb="FF002060"/>
        <rFont val="Calibri"/>
        <family val="2"/>
        <scheme val="minor"/>
      </rPr>
      <t>Beta Calculation:</t>
    </r>
    <r>
      <rPr>
        <i/>
        <sz val="11"/>
        <color rgb="FF002060"/>
        <rFont val="Calibri"/>
        <family val="2"/>
        <scheme val="minor"/>
      </rPr>
      <t xml:space="preserve"> Beta was calculated using PIA’s historical performance, capturing market volatility relative to broader indices. This was essential for deriving an accurate cost of equity. Beta for all competitor companies was also calculated. </t>
    </r>
  </si>
  <si>
    <t>Valuation Overview of PIA, Inc.</t>
  </si>
  <si>
    <r>
      <rPr>
        <b/>
        <i/>
        <sz val="11"/>
        <color rgb="FF002060"/>
        <rFont val="Calibri"/>
        <family val="2"/>
        <scheme val="minor"/>
      </rPr>
      <t>Comparable Company Valuation:</t>
    </r>
    <r>
      <rPr>
        <i/>
        <sz val="11"/>
        <color rgb="FF002060"/>
        <rFont val="Calibri"/>
        <family val="2"/>
        <scheme val="minor"/>
      </rPr>
      <t xml:space="preserve"> PIA’s value was benchmarked against peer companies such as Singapre Airlines, Turkish Airlines, China Eastern Airlines etc, using key financial multiples (P/E, EV/EBITDA, EV/Sales), which provided context for market-based valuations.</t>
    </r>
  </si>
  <si>
    <r>
      <rPr>
        <b/>
        <i/>
        <sz val="11"/>
        <color rgb="FF002060"/>
        <rFont val="Calibri"/>
        <family val="2"/>
        <scheme val="minor"/>
      </rPr>
      <t xml:space="preserve">6) </t>
    </r>
    <r>
      <rPr>
        <i/>
        <sz val="11"/>
        <color rgb="FF002060"/>
        <rFont val="Calibri"/>
        <family val="2"/>
        <scheme val="minor"/>
      </rPr>
      <t xml:space="preserve">Tax rate taken as 25% and 30% in WACC Calculation and DCF Calculation respectively. </t>
    </r>
  </si>
  <si>
    <r>
      <rPr>
        <b/>
        <i/>
        <sz val="11"/>
        <color rgb="FF002060"/>
        <rFont val="Calibri"/>
        <family val="2"/>
        <scheme val="minor"/>
      </rPr>
      <t>10)</t>
    </r>
    <r>
      <rPr>
        <i/>
        <sz val="11"/>
        <color rgb="FF002060"/>
        <rFont val="Calibri"/>
        <family val="2"/>
        <scheme val="minor"/>
      </rPr>
      <t xml:space="preserve"> China Southern Airlines's Class A Shares used for data in the Relative Valuation.</t>
    </r>
  </si>
  <si>
    <r>
      <rPr>
        <b/>
        <i/>
        <sz val="11"/>
        <color rgb="FF002060"/>
        <rFont val="Calibri"/>
        <family val="2"/>
        <scheme val="minor"/>
      </rPr>
      <t>11)</t>
    </r>
    <r>
      <rPr>
        <i/>
        <sz val="11"/>
        <color rgb="FF002060"/>
        <rFont val="Calibri"/>
        <family val="2"/>
        <scheme val="minor"/>
      </rPr>
      <t xml:space="preserve"> For using the PE ratio as a mutiple for Relative Valuation, EPS of PIA had to be positive. Therefore, PE Ratio Not used due to the EPS being negative</t>
    </r>
  </si>
  <si>
    <r>
      <rPr>
        <b/>
        <i/>
        <sz val="11"/>
        <color rgb="FF002060"/>
        <rFont val="Calibri"/>
        <family val="2"/>
        <scheme val="minor"/>
      </rPr>
      <t>12)</t>
    </r>
    <r>
      <rPr>
        <i/>
        <sz val="11"/>
        <color rgb="FF002060"/>
        <rFont val="Calibri"/>
        <family val="2"/>
        <scheme val="minor"/>
      </rPr>
      <t xml:space="preserve"> PB Ratio also could not be used for Relative Valuation because the Book value of Equity of PIA was Negative. </t>
    </r>
  </si>
  <si>
    <r>
      <rPr>
        <b/>
        <i/>
        <sz val="11"/>
        <color rgb="FF002060"/>
        <rFont val="Calibri"/>
        <family val="2"/>
        <scheme val="minor"/>
      </rPr>
      <t>4)</t>
    </r>
    <r>
      <rPr>
        <i/>
        <sz val="11"/>
        <color rgb="FF002060"/>
        <rFont val="Calibri"/>
        <family val="2"/>
        <scheme val="minor"/>
      </rPr>
      <t xml:space="preserve"> Rm Taken as the Average Return on the KSE-100 Index for the last 10 years</t>
    </r>
  </si>
  <si>
    <r>
      <rPr>
        <b/>
        <i/>
        <sz val="11"/>
        <color rgb="FF002060"/>
        <rFont val="Calibri"/>
        <family val="2"/>
        <scheme val="minor"/>
      </rPr>
      <t>5)</t>
    </r>
    <r>
      <rPr>
        <i/>
        <sz val="11"/>
        <color rgb="FF002060"/>
        <rFont val="Calibri"/>
        <family val="2"/>
        <scheme val="minor"/>
      </rPr>
      <t xml:space="preserve"> Beta for PIA and Peer Companies calculated using the "Variance/Covariance Formula, Data Analysis Tool in Excel, and the Slope Formula".</t>
    </r>
  </si>
  <si>
    <r>
      <rPr>
        <b/>
        <i/>
        <sz val="11"/>
        <color rgb="FF002060"/>
        <rFont val="Calibri"/>
        <family val="2"/>
        <scheme val="minor"/>
      </rPr>
      <t>13)</t>
    </r>
    <r>
      <rPr>
        <i/>
        <sz val="11"/>
        <color rgb="FF002060"/>
        <rFont val="Calibri"/>
        <family val="2"/>
        <scheme val="minor"/>
      </rPr>
      <t xml:space="preserve"> 5 Peer companies selected using the criteria mentioned in the Sheet "Selection of peer companies". </t>
    </r>
  </si>
  <si>
    <r>
      <rPr>
        <b/>
        <i/>
        <sz val="11"/>
        <color rgb="FF002060"/>
        <rFont val="Calibri"/>
        <family val="2"/>
        <scheme val="minor"/>
      </rPr>
      <t>14)</t>
    </r>
    <r>
      <rPr>
        <i/>
        <sz val="11"/>
        <color rgb="FF002060"/>
        <rFont val="Calibri"/>
        <family val="2"/>
        <scheme val="minor"/>
      </rPr>
      <t xml:space="preserve"> Asset based valuation (Market Value of Total Assets Less Total Liabilities) not used due to lack of reliable and consistent data on the fleet, aircraft of PIA, and their respective Current market Values. </t>
    </r>
  </si>
  <si>
    <r>
      <rPr>
        <b/>
        <i/>
        <sz val="11"/>
        <color rgb="FF002060"/>
        <rFont val="Calibri"/>
        <family val="2"/>
        <scheme val="minor"/>
      </rPr>
      <t>15)</t>
    </r>
    <r>
      <rPr>
        <i/>
        <sz val="11"/>
        <color rgb="FF002060"/>
        <rFont val="Calibri"/>
        <family val="2"/>
        <scheme val="minor"/>
      </rPr>
      <t xml:space="preserve"> Dividend Discounting Valuation Method Could NOT be used due to near 0% Payout Ratio and negative EPS in the recent financial years.</t>
    </r>
  </si>
  <si>
    <r>
      <t xml:space="preserve">The valuation discrepancy between EY’s </t>
    </r>
    <r>
      <rPr>
        <b/>
        <i/>
        <sz val="11"/>
        <color rgb="FF002060"/>
        <rFont val="Calibri"/>
        <family val="2"/>
        <scheme val="minor"/>
      </rPr>
      <t>166.7</t>
    </r>
    <r>
      <rPr>
        <i/>
        <sz val="11"/>
        <color rgb="FF002060"/>
        <rFont val="Calibri"/>
        <family val="2"/>
        <scheme val="minor"/>
      </rPr>
      <t xml:space="preserve"> </t>
    </r>
    <r>
      <rPr>
        <b/>
        <i/>
        <sz val="11"/>
        <color rgb="FF002060"/>
        <rFont val="Calibri"/>
        <family val="2"/>
        <scheme val="minor"/>
      </rPr>
      <t>Billion</t>
    </r>
    <r>
      <rPr>
        <i/>
        <sz val="11"/>
        <color rgb="FF002060"/>
        <rFont val="Calibri"/>
        <family val="2"/>
        <scheme val="minor"/>
      </rPr>
      <t xml:space="preserve"> PKR estimate for PIA and my DCF model's </t>
    </r>
    <r>
      <rPr>
        <b/>
        <i/>
        <sz val="11"/>
        <color rgb="FF002060"/>
        <rFont val="Calibri"/>
        <family val="2"/>
        <scheme val="minor"/>
      </rPr>
      <t>330.91 Billion</t>
    </r>
    <r>
      <rPr>
        <i/>
        <sz val="11"/>
        <color rgb="FF002060"/>
        <rFont val="Calibri"/>
        <family val="2"/>
        <scheme val="minor"/>
      </rPr>
      <t xml:space="preserve"> PKR arises from several factors in our methodologies:
</t>
    </r>
    <r>
      <rPr>
        <b/>
        <i/>
        <sz val="11"/>
        <color rgb="FF002060"/>
        <rFont val="Calibri"/>
        <family val="2"/>
        <scheme val="minor"/>
      </rPr>
      <t>1) Different Valuation Method:</t>
    </r>
    <r>
      <rPr>
        <i/>
        <sz val="11"/>
        <color rgb="FF002060"/>
        <rFont val="Calibri"/>
        <family val="2"/>
        <scheme val="minor"/>
      </rPr>
      <t xml:space="preserve"> I used the DCF Method for Valuation of PIA. EY might have used Asset Based Valuation, Precedent Transaction Analysis Valuation due to availability and access to more reliable and relevant data on the Aircraft fleets of PIA and their respective Market Values, and experience with similar bids in the past. 
</t>
    </r>
    <r>
      <rPr>
        <b/>
        <i/>
        <sz val="11"/>
        <color rgb="FF002060"/>
        <rFont val="Calibri"/>
        <family val="2"/>
        <scheme val="minor"/>
      </rPr>
      <t>2) Reinvestment Rate:</t>
    </r>
    <r>
      <rPr>
        <i/>
        <sz val="11"/>
        <color rgb="FF002060"/>
        <rFont val="Calibri"/>
        <family val="2"/>
        <scheme val="minor"/>
      </rPr>
      <t xml:space="preserve"> My model uses a higher reinvestment rate, calculated using the EBIT/Reinvestment Amount formula, reflecting the need for greater capital to drive future growth in an industry with increasing demand. EY may have assumed a more conservative reinvestment rate.
</t>
    </r>
    <r>
      <rPr>
        <b/>
        <i/>
        <sz val="11"/>
        <color rgb="FF002060"/>
        <rFont val="Calibri"/>
        <family val="2"/>
        <scheme val="minor"/>
      </rPr>
      <t>3) Tax Rate Assumptions</t>
    </r>
    <r>
      <rPr>
        <i/>
        <sz val="11"/>
        <color rgb="FF002060"/>
        <rFont val="Calibri"/>
        <family val="2"/>
        <scheme val="minor"/>
      </rPr>
      <t xml:space="preserve">: Different assumptions on PIA's effective tax rate could lead to significant valuation variances, as tax impacts free cash flows directly.
</t>
    </r>
    <r>
      <rPr>
        <b/>
        <i/>
        <sz val="11"/>
        <color rgb="FF002060"/>
        <rFont val="Calibri"/>
        <family val="2"/>
        <scheme val="minor"/>
      </rPr>
      <t>4) Peer Company Selection:</t>
    </r>
    <r>
      <rPr>
        <i/>
        <sz val="11"/>
        <color rgb="FF002060"/>
        <rFont val="Calibri"/>
        <family val="2"/>
        <scheme val="minor"/>
      </rPr>
      <t xml:space="preserve"> My model includes peers with operational profiles more closely aligned with PIA’s in terms of size, government ownership, listing on stock exchange, and market environment. EY may have used a broader or different peer set, impacting the calculated multiples.
</t>
    </r>
    <r>
      <rPr>
        <b/>
        <i/>
        <sz val="11"/>
        <color rgb="FF002060"/>
        <rFont val="Calibri"/>
        <family val="2"/>
        <scheme val="minor"/>
      </rPr>
      <t>5) Beta Calculation:</t>
    </r>
    <r>
      <rPr>
        <i/>
        <sz val="11"/>
        <color rgb="FF002060"/>
        <rFont val="Calibri"/>
        <family val="2"/>
        <scheme val="minor"/>
      </rPr>
      <t xml:space="preserve"> I derived beta using CAPM Model using the recent market data and comparables, aiming to reflect PIA’s specific risk profile. EY’s method may vary, resulting in a different cost of equity. Difference might also be due to different Rf and Rm used by EY.
</t>
    </r>
    <r>
      <rPr>
        <b/>
        <i/>
        <sz val="11"/>
        <color rgb="FF002060"/>
        <rFont val="Calibri"/>
        <family val="2"/>
        <scheme val="minor"/>
      </rPr>
      <t>6) Intrinsic Growth Rate:</t>
    </r>
    <r>
      <rPr>
        <i/>
        <sz val="11"/>
        <color rgb="FF002060"/>
        <rFont val="Calibri"/>
        <family val="2"/>
        <scheme val="minor"/>
      </rPr>
      <t xml:space="preserve"> My model includes a more aggressive intrinsic growth rate calculated using the ROIC and Reinvestment Rate calculated using the historical data anticipating higher long-term growth potential due to structural changes in the region’s airline market.  EY may have used a more conservative approach for calculating the Growth Rate. 
Other reasons could include difference in Kd Calculaion, Different Target Debt/Equity Ratio used, different method to calculate Terminal value etc. </t>
    </r>
  </si>
  <si>
    <r>
      <rPr>
        <b/>
        <i/>
        <sz val="11"/>
        <color rgb="FF002060"/>
        <rFont val="Calibri"/>
        <family val="2"/>
        <scheme val="minor"/>
      </rPr>
      <t>17)</t>
    </r>
    <r>
      <rPr>
        <i/>
        <sz val="11"/>
        <color rgb="FF002060"/>
        <rFont val="Calibri"/>
        <family val="2"/>
        <scheme val="minor"/>
      </rPr>
      <t xml:space="preserve"> All the data of PIA Taken from the Unconsolidated Financial Statements to make the valuation estimate as reliable as possible. Adding the data of subsidiaries like PIA Invetsments Limited, and Skyrooms Pvt Ltd would inflate the valuation of PIA </t>
    </r>
  </si>
  <si>
    <r>
      <rPr>
        <b/>
        <i/>
        <sz val="11"/>
        <color rgb="FF002060"/>
        <rFont val="Calibri"/>
        <family val="2"/>
        <scheme val="minor"/>
      </rPr>
      <t>16)</t>
    </r>
    <r>
      <rPr>
        <i/>
        <sz val="11"/>
        <color rgb="FF002060"/>
        <rFont val="Calibri"/>
        <family val="2"/>
        <scheme val="minor"/>
      </rPr>
      <t xml:space="preserve"> The "Adjusted Replacement Cost" (Cost-to-duplicate) Valuation method also CAN NOT be used due to non-availability of data on the numebr of aircrafts, fleets, machineries, Real Estate, and their respective replacement costs. Therefore, only useable method is "DCF"</t>
    </r>
  </si>
  <si>
    <r>
      <rPr>
        <b/>
        <i/>
        <sz val="11"/>
        <color rgb="FF002060"/>
        <rFont val="Calibri"/>
        <family val="2"/>
        <scheme val="minor"/>
      </rPr>
      <t>Intrinsic Growth &amp; Reinvestment Rate:</t>
    </r>
    <r>
      <rPr>
        <i/>
        <sz val="11"/>
        <color rgb="FF002060"/>
        <rFont val="Calibri"/>
        <family val="2"/>
        <scheme val="minor"/>
      </rPr>
      <t xml:space="preserve"> Calculated using PIA’s historical Reinvestment patterns, Capex Trend, and Changes in Working Capital. Growth Rate calculated using the ROIC and Reinvestment Rate. (See the sheet for detailed calculaion)</t>
    </r>
  </si>
  <si>
    <t>PKR</t>
  </si>
  <si>
    <r>
      <rPr>
        <b/>
        <i/>
        <sz val="11"/>
        <color rgb="FF002060"/>
        <rFont val="Calibri"/>
        <family val="2"/>
        <scheme val="minor"/>
      </rPr>
      <t>Final Recommendation:</t>
    </r>
    <r>
      <rPr>
        <i/>
        <sz val="11"/>
        <color rgb="FF002060"/>
        <rFont val="Calibri"/>
        <family val="2"/>
        <scheme val="minor"/>
      </rPr>
      <t>The valuation using DCF supports a price range that justifies the Rs 32 per share Advised by EY to the Government for the privatisation of PIA, combining intrinsic valuation with strategic considerations and comparative analysis. This price reflects a balance between financial fundamentals and the long-term potential of the Airline.</t>
    </r>
  </si>
  <si>
    <r>
      <rPr>
        <b/>
        <i/>
        <sz val="11"/>
        <color rgb="FF002060"/>
        <rFont val="Calibri"/>
        <family val="2"/>
        <scheme val="minor"/>
      </rPr>
      <t xml:space="preserve">Football Field Analysis: </t>
    </r>
    <r>
      <rPr>
        <i/>
        <sz val="11"/>
        <color rgb="FF002060"/>
        <rFont val="Calibri"/>
        <family val="2"/>
        <scheme val="minor"/>
      </rPr>
      <t>A football field chart was used to visually integrate the different valuation approaches, showing a range of outcomes based on various models. This supported the decision that the target price near Rs 32 per share was well-justified.</t>
    </r>
  </si>
  <si>
    <t xml:space="preserve">Reasons for PIA’s Financial Distress. </t>
  </si>
  <si>
    <r>
      <t xml:space="preserve">Pakistan International Airlines (PIA) has been grappling with financial distress for years, marked by negative equity and consistent annual losses. Several factors contribute to this challenging financial position:
</t>
    </r>
    <r>
      <rPr>
        <b/>
        <i/>
        <sz val="11"/>
        <color rgb="FF002060"/>
        <rFont val="Calibri"/>
        <family val="2"/>
        <scheme val="minor"/>
      </rPr>
      <t>1) Negative Equity:</t>
    </r>
    <r>
      <rPr>
        <i/>
        <sz val="11"/>
        <color rgb="FF002060"/>
        <rFont val="Calibri"/>
        <family val="2"/>
        <scheme val="minor"/>
      </rPr>
      <t xml:space="preserve"> PIA's liabilities have consistently outpaced its assets due to years of accumulated losses, resulting in a negative equity balance. This means the airline’s debt obligations are higher than the net value of its assets, eroding shareholder equity and making it difficult for the airline to finance operations sustainably.
</t>
    </r>
    <r>
      <rPr>
        <b/>
        <i/>
        <sz val="11"/>
        <color rgb="FF002060"/>
        <rFont val="Calibri"/>
        <family val="2"/>
        <scheme val="minor"/>
      </rPr>
      <t>2) Consistent Losses:</t>
    </r>
    <r>
      <rPr>
        <i/>
        <sz val="11"/>
        <color rgb="FF002060"/>
        <rFont val="Calibri"/>
        <family val="2"/>
        <scheme val="minor"/>
      </rPr>
      <t xml:space="preserve"> PIA has faced significant operational inefficiencies, including high fixed costs, fuel expenses, and debt servicing costs. Additionally, management and governance issues have impacted productivity and profitability. These factors, combined with intense competition from both local and international carriers, have made it challenging for PIA to turn a profit.
</t>
    </r>
    <r>
      <rPr>
        <b/>
        <i/>
        <sz val="11"/>
        <color rgb="FF002060"/>
        <rFont val="Calibri"/>
        <family val="2"/>
        <scheme val="minor"/>
      </rPr>
      <t>3) Doubtful Debts:</t>
    </r>
    <r>
      <rPr>
        <i/>
        <sz val="11"/>
        <color rgb="FF002060"/>
        <rFont val="Calibri"/>
        <family val="2"/>
        <scheme val="minor"/>
      </rPr>
      <t xml:space="preserve"> PIA has significant doubtful debts (trade receivables) from the government and other customers. Additionally, the loan it have to its subsidiaries is also doubtful and has been written off in the 2023 audited financial statements. 
</t>
    </r>
    <r>
      <rPr>
        <b/>
        <i/>
        <sz val="11"/>
        <color rgb="FF002060"/>
        <rFont val="Calibri"/>
        <family val="2"/>
        <scheme val="minor"/>
      </rPr>
      <t>4) Extremely high Borrowings:</t>
    </r>
    <r>
      <rPr>
        <i/>
        <sz val="11"/>
        <color rgb="FF002060"/>
        <rFont val="Calibri"/>
        <family val="2"/>
        <scheme val="minor"/>
      </rPr>
      <t xml:space="preserve"> The 2023 audited FS revealed a staggering 448B Rs (1.5B$) of Total Liabilities, 362B (1.26B$) Non-current Liabilities, and 67B Rs (234M$) Accrued Interest. These are unsustianable levels of debt and the interest and repayments on this debt further strain resources, limiting PIA’s ability to invest in key areas like fleet modernization and network expansion.
</t>
    </r>
    <r>
      <rPr>
        <b/>
        <i/>
        <sz val="11"/>
        <color rgb="FF002060"/>
        <rFont val="Calibri"/>
        <family val="2"/>
        <scheme val="minor"/>
      </rPr>
      <t>5) Aging Fleet and High Operational Costs:</t>
    </r>
    <r>
      <rPr>
        <i/>
        <sz val="11"/>
        <color rgb="FF002060"/>
        <rFont val="Calibri"/>
        <family val="2"/>
        <scheme val="minor"/>
      </rPr>
      <t xml:space="preserve"> PIA's fleet has become outdated, increasing maintenance costs and reducing efficiency. The airline is forced to spend more on repairs and maintenance, further exacerbating its financial challenges.</t>
    </r>
  </si>
  <si>
    <t>Will Privatization Solve PIA’s Financial Issues?</t>
  </si>
  <si>
    <r>
      <t xml:space="preserve">Privatization offers a viable path to address these structural issues. By transferring ownership to a private investor, PIA could benefit from:
</t>
    </r>
    <r>
      <rPr>
        <b/>
        <i/>
        <sz val="11"/>
        <color rgb="FF002060"/>
        <rFont val="Calibri"/>
        <family val="2"/>
        <scheme val="minor"/>
      </rPr>
      <t>1) Operational Efficiency:</t>
    </r>
    <r>
      <rPr>
        <i/>
        <sz val="11"/>
        <color rgb="FF002060"/>
        <rFont val="Calibri"/>
        <family val="2"/>
        <scheme val="minor"/>
      </rPr>
      <t xml:space="preserve"> A private investor with a focus on profitability is likely to streamline operations, cut unnecessary costs, and drive productivity.
</t>
    </r>
    <r>
      <rPr>
        <b/>
        <i/>
        <sz val="11"/>
        <color rgb="FF002060"/>
        <rFont val="Calibri"/>
        <family val="2"/>
        <scheme val="minor"/>
      </rPr>
      <t>2) Access to Capital:</t>
    </r>
    <r>
      <rPr>
        <i/>
        <sz val="11"/>
        <color rgb="FF002060"/>
        <rFont val="Calibri"/>
        <family val="2"/>
        <scheme val="minor"/>
      </rPr>
      <t xml:space="preserve"> Privatization could bring in the investment needed for fleet modernization and infrastructure development, enabling PIA to compete more effectively.
</t>
    </r>
    <r>
      <rPr>
        <b/>
        <i/>
        <sz val="11"/>
        <color rgb="FF002060"/>
        <rFont val="Calibri"/>
        <family val="2"/>
        <scheme val="minor"/>
      </rPr>
      <t>3) Strategic Focus:</t>
    </r>
    <r>
      <rPr>
        <i/>
        <sz val="11"/>
        <color rgb="FF002060"/>
        <rFont val="Calibri"/>
        <family val="2"/>
        <scheme val="minor"/>
      </rPr>
      <t xml:space="preserve"> A private owner would focus on improving the airline’s bottom line and long-term sustainability, with a clear mandate to reduce waste, invest in key areas, and explore new revenue streams.</t>
    </r>
  </si>
  <si>
    <t>Feasibility of the Valuation and Achieving the PKR 142 Billion Target</t>
  </si>
  <si>
    <r>
      <t xml:space="preserve">The government has set a target valuation of PKR 142 billion for 100% ownership of PIA, with an asking price of PKR 85.3 billion for a 51% stake, as advised by Ernst &amp; Young. This valuation reflects PIA's strategic assets, potential growth, and market value. To achieve this, the government has been actively seeking bidders for the privatization of the airline, aiming to find a strategic investor who can revitalize PIA and unlock its value.
In an effort to make PIA more attractive to potential investors, the government established the </t>
    </r>
    <r>
      <rPr>
        <b/>
        <i/>
        <sz val="11"/>
        <color rgb="FF002060"/>
        <rFont val="Calibri"/>
        <family val="2"/>
        <scheme val="minor"/>
      </rPr>
      <t>PIA Investment Limited (PIAIL) Holding company</t>
    </r>
    <r>
      <rPr>
        <i/>
        <sz val="11"/>
        <color rgb="FF002060"/>
        <rFont val="Calibri"/>
        <family val="2"/>
        <scheme val="minor"/>
      </rPr>
      <t xml:space="preserve">. This move was designed to transfer PIA’s debt to </t>
    </r>
    <r>
      <rPr>
        <b/>
        <i/>
        <sz val="11"/>
        <color rgb="FF002060"/>
        <rFont val="Calibri"/>
        <family val="2"/>
        <scheme val="minor"/>
      </rPr>
      <t>PIAIL</t>
    </r>
    <r>
      <rPr>
        <i/>
        <sz val="11"/>
        <color rgb="FF002060"/>
        <rFont val="Calibri"/>
        <family val="2"/>
        <scheme val="minor"/>
      </rPr>
      <t xml:space="preserve">, thereby relieving the airline of its significant financial burden and making it more financially viable for privatization. Despite this, recent bids have been cautious, with some investors expressing concerns about PIA’s governance issues and ongoing operational inefficiencies.
The government has also been working on restructuring PIA’s operations, addressing financial imbalances, and streamlining the privatization process. However, whether the PKR 142 billion target will be fully realized depends on the negotiation outcome, the level of investor confidence, and the perceived potential for PIA’s recovery post-privatization.
</t>
    </r>
  </si>
  <si>
    <t>4) Privatisation Bid Recommendation and Feasibility(supported by analysis)</t>
  </si>
  <si>
    <t>nyu stern se data lena 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</si>
</sst>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_(* #,##0.000_);_(* \(#,##0.000\);_(* &quot;-&quot;??_);_(@_)"/>
    <numFmt numFmtId="165" formatCode="_(* #,##0_);_(* \(#,##0\);_(* &quot;-&quot;??_);_(@_)"/>
    <numFmt numFmtId="166" formatCode="0.000%"/>
    <numFmt numFmtId="167" formatCode="0.00000%"/>
    <numFmt numFmtId="168" formatCode="[$-409]d\-mmm\-yy;@"/>
    <numFmt numFmtId="169" formatCode="0.0000%"/>
    <numFmt numFmtId="170" formatCode="0.00\x"/>
  </numFmts>
  <fonts count="41"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4"/>
      <color theme="0"/>
      <name val="Calibri"/>
      <family val="2"/>
      <scheme val="minor"/>
    </font>
    <font>
      <i/>
      <sz val="10"/>
      <color theme="1"/>
      <name val="Calibri"/>
      <family val="2"/>
      <scheme val="minor"/>
    </font>
    <font>
      <vertAlign val="superscript"/>
      <sz val="11"/>
      <color theme="1"/>
      <name val="Calibri"/>
      <family val="2"/>
      <scheme val="minor"/>
    </font>
    <font>
      <sz val="11"/>
      <color rgb="FF002060"/>
      <name val="Calibri"/>
      <family val="2"/>
      <scheme val="minor"/>
    </font>
    <font>
      <b/>
      <sz val="11"/>
      <color rgb="FF002060"/>
      <name val="Calibri"/>
      <family val="2"/>
      <scheme val="minor"/>
    </font>
    <font>
      <b/>
      <i/>
      <sz val="11"/>
      <color theme="0"/>
      <name val="Calibri"/>
      <family val="2"/>
      <scheme val="minor"/>
    </font>
    <font>
      <sz val="11"/>
      <name val="Calibri"/>
      <family val="2"/>
      <scheme val="minor"/>
    </font>
    <font>
      <b/>
      <vertAlign val="superscript"/>
      <sz val="11"/>
      <color theme="1"/>
      <name val="Calibri"/>
      <family val="2"/>
      <scheme val="minor"/>
    </font>
    <font>
      <b/>
      <sz val="9"/>
      <color indexed="81"/>
      <name val="Tahoma"/>
      <family val="2"/>
    </font>
    <font>
      <sz val="9"/>
      <color indexed="81"/>
      <name val="Tahoma"/>
      <family val="2"/>
    </font>
    <font>
      <sz val="11"/>
      <color rgb="FF000000"/>
      <name val="Calibri"/>
      <family val="2"/>
    </font>
    <font>
      <b/>
      <sz val="11"/>
      <color theme="0"/>
      <name val="Calibri"/>
      <family val="2"/>
    </font>
    <font>
      <b/>
      <u/>
      <sz val="11"/>
      <color theme="0"/>
      <name val="Calibri"/>
      <family val="2"/>
      <scheme val="minor"/>
    </font>
    <font>
      <b/>
      <i/>
      <sz val="11"/>
      <color rgb="FF002060"/>
      <name val="Calibri"/>
      <family val="2"/>
      <scheme val="minor"/>
    </font>
    <font>
      <b/>
      <u/>
      <sz val="11"/>
      <color rgb="FF002060"/>
      <name val="Calibri"/>
      <family val="2"/>
      <scheme val="minor"/>
    </font>
    <font>
      <i/>
      <sz val="11"/>
      <color theme="0"/>
      <name val="Calibri"/>
      <family val="2"/>
      <scheme val="minor"/>
    </font>
    <font>
      <i/>
      <sz val="11"/>
      <color rgb="FF002060"/>
      <name val="Calibri"/>
      <family val="2"/>
      <scheme val="minor"/>
    </font>
    <font>
      <i/>
      <sz val="11"/>
      <color theme="1"/>
      <name val="Calibri"/>
      <family val="2"/>
      <scheme val="minor"/>
    </font>
    <font>
      <b/>
      <vertAlign val="superscript"/>
      <sz val="11"/>
      <color rgb="FF002060"/>
      <name val="Calibri"/>
      <family val="2"/>
      <scheme val="minor"/>
    </font>
    <font>
      <b/>
      <i/>
      <sz val="11"/>
      <color rgb="FF00B0F0"/>
      <name val="Calibri"/>
      <family val="2"/>
      <scheme val="minor"/>
    </font>
    <font>
      <b/>
      <i/>
      <sz val="11"/>
      <color theme="1"/>
      <name val="Calibri"/>
      <family val="2"/>
      <scheme val="minor"/>
    </font>
    <font>
      <sz val="11"/>
      <color rgb="FF000000"/>
      <name val="Calibri"/>
      <family val="2"/>
      <scheme val="minor"/>
    </font>
    <font>
      <b/>
      <sz val="14"/>
      <color theme="0"/>
      <name val="Calibri"/>
      <family val="2"/>
    </font>
    <font>
      <u/>
      <sz val="11"/>
      <color theme="10"/>
      <name val="Calibri"/>
      <family val="2"/>
      <scheme val="minor"/>
    </font>
    <font>
      <b/>
      <sz val="11"/>
      <name val="Calibri"/>
      <family val="2"/>
      <scheme val="minor"/>
    </font>
    <font>
      <sz val="10"/>
      <color rgb="FF000000"/>
      <name val="Times New Roman"/>
      <family val="1"/>
    </font>
    <font>
      <b/>
      <vertAlign val="superscript"/>
      <sz val="11"/>
      <color theme="0"/>
      <name val="Calibri"/>
      <family val="2"/>
      <scheme val="minor"/>
    </font>
    <font>
      <b/>
      <i/>
      <vertAlign val="superscript"/>
      <sz val="11"/>
      <color theme="1"/>
      <name val="Calibri"/>
      <family val="2"/>
      <scheme val="minor"/>
    </font>
    <font>
      <sz val="8"/>
      <color theme="1"/>
      <name val="Arial"/>
      <family val="2"/>
    </font>
    <font>
      <sz val="11"/>
      <color theme="0" tint="-0.249977111117893"/>
      <name val="Calibri"/>
      <family val="2"/>
      <scheme val="minor"/>
    </font>
    <font>
      <b/>
      <i/>
      <u/>
      <sz val="11"/>
      <color rgb="FF002060"/>
      <name val="Calibri"/>
      <family val="2"/>
      <scheme val="minor"/>
    </font>
    <font>
      <b/>
      <i/>
      <u/>
      <vertAlign val="superscript"/>
      <sz val="11"/>
      <color rgb="FF002060"/>
      <name val="Calibri"/>
      <family val="2"/>
      <scheme val="minor"/>
    </font>
    <font>
      <u/>
      <sz val="11"/>
      <color theme="1"/>
      <name val="Calibri"/>
      <family val="2"/>
      <scheme val="minor"/>
    </font>
    <font>
      <b/>
      <u/>
      <sz val="11"/>
      <color theme="1"/>
      <name val="Calibri"/>
      <family val="2"/>
      <scheme val="minor"/>
    </font>
    <font>
      <b/>
      <u/>
      <vertAlign val="superscript"/>
      <sz val="11"/>
      <color theme="1"/>
      <name val="Calibri"/>
      <family val="2"/>
      <scheme val="minor"/>
    </font>
    <font>
      <sz val="11"/>
      <color theme="0" tint="-4.9989318521683403E-2"/>
      <name val="Calibri"/>
      <family val="2"/>
      <scheme val="minor"/>
    </font>
  </fonts>
  <fills count="10">
    <fill>
      <patternFill patternType="none"/>
    </fill>
    <fill>
      <patternFill patternType="gray125"/>
    </fill>
    <fill>
      <patternFill patternType="solid">
        <fgColor rgb="FF002060"/>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0"/>
        <bgColor indexed="64"/>
      </patternFill>
    </fill>
  </fills>
  <borders count="63">
    <border>
      <left/>
      <right/>
      <top/>
      <bottom/>
      <diagonal/>
    </border>
    <border>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bottom style="hair">
        <color auto="1"/>
      </bottom>
      <diagonal/>
    </border>
    <border>
      <left/>
      <right/>
      <top style="hair">
        <color auto="1"/>
      </top>
      <bottom/>
      <diagonal/>
    </border>
    <border>
      <left/>
      <right/>
      <top style="medium">
        <color indexed="64"/>
      </top>
      <bottom style="thin">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ck">
        <color rgb="FF002060"/>
      </top>
      <bottom/>
      <diagonal/>
    </border>
    <border>
      <left/>
      <right/>
      <top style="thick">
        <color rgb="FF002060"/>
      </top>
      <bottom style="medium">
        <color rgb="FF002060"/>
      </bottom>
      <diagonal/>
    </border>
    <border>
      <left style="medium">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rgb="FF002060"/>
      </bottom>
      <diagonal/>
    </border>
    <border>
      <left/>
      <right/>
      <top/>
      <bottom style="medium">
        <color theme="0"/>
      </bottom>
      <diagonal/>
    </border>
    <border>
      <left/>
      <right/>
      <top style="medium">
        <color rgb="FF002060"/>
      </top>
      <bottom style="medium">
        <color rgb="FF002060"/>
      </bottom>
      <diagonal/>
    </border>
    <border>
      <left/>
      <right/>
      <top/>
      <bottom style="thin">
        <color rgb="FF383B8C"/>
      </bottom>
      <diagonal/>
    </border>
    <border>
      <left/>
      <right/>
      <top/>
      <bottom style="thin">
        <color rgb="FF343880"/>
      </bottom>
      <diagonal/>
    </border>
    <border>
      <left style="thin">
        <color rgb="FF383B8C"/>
      </left>
      <right style="thin">
        <color rgb="FF383B8C"/>
      </right>
      <top style="thin">
        <color rgb="FF383B8C"/>
      </top>
      <bottom/>
      <diagonal/>
    </border>
    <border>
      <left style="thin">
        <color rgb="FF343880"/>
      </left>
      <right style="thin">
        <color rgb="FF343880"/>
      </right>
      <top style="thin">
        <color rgb="FF343880"/>
      </top>
      <bottom/>
      <diagonal/>
    </border>
    <border>
      <left style="thin">
        <color rgb="FF383B8C"/>
      </left>
      <right style="thin">
        <color rgb="FF383B8C"/>
      </right>
      <top/>
      <bottom/>
      <diagonal/>
    </border>
    <border>
      <left style="thin">
        <color rgb="FF343880"/>
      </left>
      <right style="thin">
        <color rgb="FF343880"/>
      </right>
      <top/>
      <bottom/>
      <diagonal/>
    </border>
    <border>
      <left style="thin">
        <color rgb="FF383B8C"/>
      </left>
      <right style="thin">
        <color rgb="FF383B8C"/>
      </right>
      <top/>
      <bottom style="thin">
        <color rgb="FF383B8C"/>
      </bottom>
      <diagonal/>
    </border>
    <border>
      <left style="thin">
        <color rgb="FF343880"/>
      </left>
      <right style="thin">
        <color rgb="FF343880"/>
      </right>
      <top/>
      <bottom style="thin">
        <color rgb="FF343880"/>
      </bottom>
      <diagonal/>
    </border>
    <border>
      <left/>
      <right/>
      <top style="thin">
        <color rgb="FF383B8C"/>
      </top>
      <bottom style="thin">
        <color rgb="FF343883"/>
      </bottom>
      <diagonal/>
    </border>
    <border>
      <left/>
      <right/>
      <top style="thin">
        <color rgb="FF343883"/>
      </top>
      <bottom/>
      <diagonal/>
    </border>
    <border>
      <left/>
      <right/>
      <top/>
      <bottom style="thin">
        <color rgb="FF2F3487"/>
      </bottom>
      <diagonal/>
    </border>
    <border>
      <left/>
      <right/>
      <top/>
      <bottom style="thin">
        <color rgb="FF2B2B7C"/>
      </bottom>
      <diagonal/>
    </border>
    <border>
      <left style="thin">
        <color rgb="FF2F3487"/>
      </left>
      <right style="thin">
        <color rgb="FF2F3487"/>
      </right>
      <top style="thin">
        <color rgb="FF2F3487"/>
      </top>
      <bottom/>
      <diagonal/>
    </border>
    <border>
      <left style="thin">
        <color rgb="FF2B2B7C"/>
      </left>
      <right style="thin">
        <color rgb="FF2B2B7C"/>
      </right>
      <top style="thin">
        <color rgb="FF2B2B7C"/>
      </top>
      <bottom/>
      <diagonal/>
    </border>
    <border>
      <left style="thin">
        <color rgb="FF2F3487"/>
      </left>
      <right style="thin">
        <color rgb="FF2F3487"/>
      </right>
      <top/>
      <bottom/>
      <diagonal/>
    </border>
    <border>
      <left style="thin">
        <color rgb="FF2B2B7C"/>
      </left>
      <right style="thin">
        <color rgb="FF2B2B7C"/>
      </right>
      <top/>
      <bottom/>
      <diagonal/>
    </border>
    <border>
      <left style="thin">
        <color rgb="FF2F3487"/>
      </left>
      <right style="thin">
        <color rgb="FF2F3487"/>
      </right>
      <top/>
      <bottom style="thin">
        <color rgb="FF2F3487"/>
      </bottom>
      <diagonal/>
    </border>
    <border>
      <left style="thin">
        <color rgb="FF2B2B7C"/>
      </left>
      <right style="thin">
        <color rgb="FF2B2B7C"/>
      </right>
      <top/>
      <bottom style="thin">
        <color rgb="FF2B2B7C"/>
      </bottom>
      <diagonal/>
    </border>
    <border>
      <left/>
      <right/>
      <top style="thin">
        <color rgb="FF2F3487"/>
      </top>
      <bottom style="thin">
        <color rgb="FF3F3F90"/>
      </bottom>
      <diagonal/>
    </border>
    <border>
      <left/>
      <right/>
      <top style="thin">
        <color rgb="FF3F3F90"/>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double">
        <color indexed="64"/>
      </bottom>
      <diagonal/>
    </border>
    <border>
      <left style="thin">
        <color indexed="64"/>
      </left>
      <right/>
      <top/>
      <bottom/>
      <diagonal/>
    </border>
    <border>
      <left/>
      <right/>
      <top style="medium">
        <color rgb="FF002060"/>
      </top>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top/>
      <bottom/>
      <diagonal/>
    </border>
    <border>
      <left/>
      <right style="medium">
        <color rgb="FF002060"/>
      </right>
      <top/>
      <bottom/>
      <diagonal/>
    </border>
    <border>
      <left style="medium">
        <color rgb="FF002060"/>
      </left>
      <right/>
      <top/>
      <bottom style="medium">
        <color rgb="FF002060"/>
      </bottom>
      <diagonal/>
    </border>
    <border>
      <left/>
      <right style="medium">
        <color rgb="FF002060"/>
      </right>
      <top/>
      <bottom style="medium">
        <color rgb="FF002060"/>
      </bottom>
      <diagonal/>
    </border>
  </borders>
  <cellStyleXfs count="15">
    <xf numFmtId="0" fontId="0" fillId="0" borderId="0"/>
    <xf numFmtId="43" fontId="1" fillId="0" borderId="0" applyFont="0" applyFill="0" applyBorder="0" applyAlignment="0" applyProtection="0"/>
    <xf numFmtId="9" fontId="1" fillId="0" borderId="0" applyFont="0" applyFill="0" applyBorder="0" applyAlignment="0" applyProtection="0"/>
    <xf numFmtId="0" fontId="15" fillId="0" borderId="0"/>
    <xf numFmtId="0" fontId="15" fillId="0" borderId="0"/>
    <xf numFmtId="43" fontId="15" fillId="0" borderId="0" applyFont="0" applyFill="0" applyBorder="0" applyAlignment="0" applyProtection="0"/>
    <xf numFmtId="9" fontId="15" fillId="0" borderId="0" applyFont="0" applyFill="0" applyBorder="0" applyAlignment="0" applyProtection="0"/>
    <xf numFmtId="0" fontId="28" fillId="0" borderId="0" applyNumberFormat="0" applyFill="0" applyBorder="0" applyAlignment="0" applyProtection="0"/>
    <xf numFmtId="0" fontId="30" fillId="0" borderId="0"/>
    <xf numFmtId="43" fontId="30" fillId="0" borderId="0" applyFont="0" applyFill="0" applyBorder="0" applyAlignment="0" applyProtection="0"/>
    <xf numFmtId="0" fontId="33" fillId="0" borderId="0"/>
    <xf numFmtId="9" fontId="1" fillId="0" borderId="0" applyFont="0" applyFill="0" applyBorder="0" applyAlignment="0" applyProtection="0"/>
    <xf numFmtId="43" fontId="1" fillId="0" borderId="0" applyFont="0" applyFill="0" applyBorder="0" applyAlignment="0" applyProtection="0"/>
    <xf numFmtId="43" fontId="33" fillId="0" borderId="0" applyFont="0" applyFill="0" applyBorder="0" applyAlignment="0" applyProtection="0"/>
    <xf numFmtId="9" fontId="30" fillId="0" borderId="0" applyFont="0" applyFill="0" applyBorder="0" applyAlignment="0" applyProtection="0"/>
  </cellStyleXfs>
  <cellXfs count="422">
    <xf numFmtId="0" fontId="0" fillId="0" borderId="0" xfId="0"/>
    <xf numFmtId="0" fontId="5" fillId="2" borderId="0" xfId="0" applyFont="1" applyFill="1"/>
    <xf numFmtId="0" fontId="6" fillId="0" borderId="0" xfId="0" applyFont="1"/>
    <xf numFmtId="43" fontId="0" fillId="0" borderId="0" xfId="1" applyFont="1"/>
    <xf numFmtId="0" fontId="0" fillId="0" borderId="1" xfId="0" applyBorder="1"/>
    <xf numFmtId="0" fontId="0" fillId="0" borderId="1" xfId="0" applyBorder="1" applyAlignment="1">
      <alignment horizontal="center"/>
    </xf>
    <xf numFmtId="0" fontId="0" fillId="0" borderId="4" xfId="0" applyBorder="1"/>
    <xf numFmtId="0" fontId="0" fillId="0" borderId="4" xfId="0" applyBorder="1" applyAlignment="1">
      <alignment horizontal="center"/>
    </xf>
    <xf numFmtId="0" fontId="0" fillId="0" borderId="0" xfId="0" applyAlignment="1">
      <alignment horizontal="center"/>
    </xf>
    <xf numFmtId="0" fontId="3" fillId="3" borderId="0" xfId="0" applyFont="1" applyFill="1"/>
    <xf numFmtId="0" fontId="8" fillId="0" borderId="0" xfId="0" applyFont="1" applyAlignment="1">
      <alignment horizontal="center"/>
    </xf>
    <xf numFmtId="164" fontId="8" fillId="0" borderId="0" xfId="1" applyNumberFormat="1" applyFont="1" applyAlignment="1">
      <alignment horizontal="center"/>
    </xf>
    <xf numFmtId="43" fontId="8" fillId="0" borderId="0" xfId="1" applyFont="1" applyAlignment="1">
      <alignment horizontal="center"/>
    </xf>
    <xf numFmtId="10" fontId="8" fillId="0" borderId="0" xfId="0" applyNumberFormat="1" applyFont="1" applyAlignment="1">
      <alignment horizontal="center"/>
    </xf>
    <xf numFmtId="10" fontId="0" fillId="4" borderId="0" xfId="2" applyNumberFormat="1" applyFont="1" applyFill="1" applyAlignment="1">
      <alignment horizontal="center"/>
    </xf>
    <xf numFmtId="2" fontId="0" fillId="4" borderId="0" xfId="0" applyNumberFormat="1" applyFill="1" applyAlignment="1">
      <alignment horizontal="center"/>
    </xf>
    <xf numFmtId="0" fontId="9" fillId="0" borderId="0" xfId="0" applyFont="1"/>
    <xf numFmtId="10" fontId="0" fillId="0" borderId="0" xfId="2" applyNumberFormat="1" applyFont="1" applyFill="1" applyAlignment="1">
      <alignment horizontal="center"/>
    </xf>
    <xf numFmtId="43" fontId="8" fillId="0" borderId="0" xfId="1" applyFont="1" applyFill="1" applyAlignment="1">
      <alignment horizontal="center"/>
    </xf>
    <xf numFmtId="2" fontId="0" fillId="0" borderId="0" xfId="0" applyNumberFormat="1" applyAlignment="1">
      <alignment horizontal="center"/>
    </xf>
    <xf numFmtId="0" fontId="3" fillId="0" borderId="1" xfId="0" applyFont="1" applyBorder="1"/>
    <xf numFmtId="10" fontId="0" fillId="0" borderId="1" xfId="0" applyNumberFormat="1" applyBorder="1"/>
    <xf numFmtId="43" fontId="0" fillId="0" borderId="1" xfId="0" applyNumberFormat="1" applyBorder="1"/>
    <xf numFmtId="0" fontId="3" fillId="0" borderId="4" xfId="0" applyFont="1" applyBorder="1"/>
    <xf numFmtId="10" fontId="0" fillId="0" borderId="4" xfId="0" applyNumberFormat="1" applyBorder="1"/>
    <xf numFmtId="10" fontId="0" fillId="0" borderId="4" xfId="2" applyNumberFormat="1" applyFont="1" applyBorder="1"/>
    <xf numFmtId="43" fontId="0" fillId="0" borderId="4" xfId="0" applyNumberFormat="1" applyBorder="1"/>
    <xf numFmtId="10" fontId="8" fillId="0" borderId="0" xfId="0" applyNumberFormat="1" applyFont="1"/>
    <xf numFmtId="0" fontId="10" fillId="5" borderId="0" xfId="0" applyFont="1" applyFill="1"/>
    <xf numFmtId="0" fontId="3" fillId="5" borderId="0" xfId="0" applyFont="1" applyFill="1"/>
    <xf numFmtId="0" fontId="0" fillId="0" borderId="5" xfId="0" applyBorder="1"/>
    <xf numFmtId="9" fontId="11" fillId="0" borderId="5" xfId="0" applyNumberFormat="1" applyFont="1" applyBorder="1"/>
    <xf numFmtId="10" fontId="0" fillId="4" borderId="0" xfId="0" applyNumberFormat="1" applyFill="1"/>
    <xf numFmtId="43" fontId="0" fillId="0" borderId="5" xfId="0" applyNumberFormat="1" applyBorder="1"/>
    <xf numFmtId="10" fontId="0" fillId="4" borderId="0" xfId="2" applyNumberFormat="1" applyFont="1" applyFill="1"/>
    <xf numFmtId="0" fontId="3" fillId="0" borderId="4" xfId="0" applyFont="1" applyBorder="1" applyAlignment="1">
      <alignment horizontal="right"/>
    </xf>
    <xf numFmtId="2" fontId="0" fillId="0" borderId="0" xfId="0" applyNumberFormat="1"/>
    <xf numFmtId="165" fontId="8" fillId="0" borderId="0" xfId="1" applyNumberFormat="1" applyFont="1"/>
    <xf numFmtId="10" fontId="0" fillId="0" borderId="0" xfId="2" applyNumberFormat="1" applyFont="1"/>
    <xf numFmtId="10" fontId="0" fillId="0" borderId="0" xfId="0" applyNumberFormat="1"/>
    <xf numFmtId="165" fontId="8" fillId="0" borderId="5" xfId="1" applyNumberFormat="1" applyFont="1" applyBorder="1"/>
    <xf numFmtId="10" fontId="0" fillId="0" borderId="5" xfId="2" applyNumberFormat="1" applyFont="1" applyBorder="1"/>
    <xf numFmtId="9" fontId="0" fillId="0" borderId="0" xfId="0" applyNumberFormat="1"/>
    <xf numFmtId="165" fontId="0" fillId="0" borderId="0" xfId="1" applyNumberFormat="1" applyFont="1"/>
    <xf numFmtId="9" fontId="0" fillId="0" borderId="0" xfId="2" applyFont="1"/>
    <xf numFmtId="0" fontId="0" fillId="0" borderId="6" xfId="0" applyBorder="1"/>
    <xf numFmtId="43" fontId="0" fillId="4" borderId="6" xfId="1" applyFont="1" applyFill="1" applyBorder="1"/>
    <xf numFmtId="0" fontId="3" fillId="0" borderId="0" xfId="0" applyFont="1" applyAlignment="1">
      <alignment horizontal="right"/>
    </xf>
    <xf numFmtId="10" fontId="3" fillId="0" borderId="0" xfId="0" applyNumberFormat="1" applyFont="1" applyAlignment="1">
      <alignment horizontal="right"/>
    </xf>
    <xf numFmtId="10" fontId="0" fillId="0" borderId="0" xfId="2" applyNumberFormat="1" applyFont="1" applyFill="1" applyBorder="1"/>
    <xf numFmtId="0" fontId="3" fillId="6" borderId="0" xfId="0" applyFont="1" applyFill="1"/>
    <xf numFmtId="167" fontId="3" fillId="6" borderId="0" xfId="2" applyNumberFormat="1" applyFont="1" applyFill="1"/>
    <xf numFmtId="0" fontId="16" fillId="2" borderId="0" xfId="3" applyFont="1" applyFill="1" applyAlignment="1">
      <alignment horizontal="center"/>
    </xf>
    <xf numFmtId="0" fontId="16" fillId="0" borderId="0" xfId="3" applyFont="1" applyAlignment="1">
      <alignment horizontal="center"/>
    </xf>
    <xf numFmtId="0" fontId="4" fillId="0" borderId="0" xfId="0" applyFont="1"/>
    <xf numFmtId="0" fontId="2" fillId="2" borderId="0" xfId="0" applyFont="1" applyFill="1" applyAlignment="1">
      <alignment horizontal="center"/>
    </xf>
    <xf numFmtId="0" fontId="17" fillId="2" borderId="0" xfId="0" applyFont="1" applyFill="1"/>
    <xf numFmtId="0" fontId="17" fillId="2" borderId="0" xfId="0" applyFont="1" applyFill="1" applyAlignment="1">
      <alignment horizontal="center"/>
    </xf>
    <xf numFmtId="0" fontId="17" fillId="0" borderId="0" xfId="0" applyFont="1" applyAlignment="1">
      <alignment horizontal="center"/>
    </xf>
    <xf numFmtId="43" fontId="0" fillId="4" borderId="0" xfId="1" applyFont="1" applyFill="1"/>
    <xf numFmtId="0" fontId="18" fillId="0" borderId="0" xfId="0" applyFont="1"/>
    <xf numFmtId="43" fontId="0" fillId="0" borderId="0" xfId="0" applyNumberFormat="1"/>
    <xf numFmtId="0" fontId="2" fillId="2" borderId="0" xfId="0" applyFont="1" applyFill="1"/>
    <xf numFmtId="0" fontId="11" fillId="0" borderId="0" xfId="0" applyFont="1"/>
    <xf numFmtId="10" fontId="11" fillId="0" borderId="0" xfId="0" applyNumberFormat="1" applyFont="1"/>
    <xf numFmtId="0" fontId="2" fillId="0" borderId="0" xfId="0" applyFont="1"/>
    <xf numFmtId="0" fontId="2" fillId="0" borderId="0" xfId="0" applyFont="1" applyAlignment="1">
      <alignment horizontal="center"/>
    </xf>
    <xf numFmtId="0" fontId="19" fillId="0" borderId="0" xfId="0" applyFont="1" applyAlignment="1">
      <alignment horizontal="center"/>
    </xf>
    <xf numFmtId="164" fontId="0" fillId="0" borderId="0" xfId="1" applyNumberFormat="1" applyFont="1"/>
    <xf numFmtId="0" fontId="2" fillId="5" borderId="0" xfId="0" applyFont="1" applyFill="1"/>
    <xf numFmtId="168" fontId="0" fillId="0" borderId="0" xfId="0" applyNumberFormat="1"/>
    <xf numFmtId="43" fontId="0" fillId="0" borderId="0" xfId="1" applyFont="1" applyAlignment="1">
      <alignment horizontal="center"/>
    </xf>
    <xf numFmtId="0" fontId="20" fillId="0" borderId="0" xfId="0" applyFont="1"/>
    <xf numFmtId="0" fontId="3" fillId="0" borderId="0" xfId="0" applyFont="1"/>
    <xf numFmtId="10" fontId="0" fillId="0" borderId="0" xfId="2" applyNumberFormat="1" applyFont="1" applyAlignment="1">
      <alignment horizontal="center"/>
    </xf>
    <xf numFmtId="43" fontId="2" fillId="5" borderId="0" xfId="0" applyNumberFormat="1" applyFont="1" applyFill="1"/>
    <xf numFmtId="0" fontId="21" fillId="0" borderId="0" xfId="0" applyFont="1" applyAlignment="1">
      <alignment wrapText="1"/>
    </xf>
    <xf numFmtId="0" fontId="22" fillId="0" borderId="0" xfId="0" applyFont="1" applyAlignment="1">
      <alignment horizontal="centerContinuous"/>
    </xf>
    <xf numFmtId="0" fontId="0" fillId="0" borderId="8" xfId="0" applyBorder="1"/>
    <xf numFmtId="0" fontId="22" fillId="0" borderId="0" xfId="0" applyFont="1" applyAlignment="1">
      <alignment horizontal="center"/>
    </xf>
    <xf numFmtId="0" fontId="18" fillId="0" borderId="0" xfId="0" applyFont="1" applyAlignment="1">
      <alignment horizontal="center"/>
    </xf>
    <xf numFmtId="0" fontId="2" fillId="2" borderId="0" xfId="3" applyFont="1" applyFill="1" applyAlignment="1">
      <alignment horizontal="left" vertical="center" wrapText="1"/>
    </xf>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165" fontId="0" fillId="0" borderId="16" xfId="0" applyNumberFormat="1" applyBorder="1"/>
    <xf numFmtId="0" fontId="8" fillId="0" borderId="0" xfId="0" applyFont="1"/>
    <xf numFmtId="165" fontId="0" fillId="0" borderId="17" xfId="0" applyNumberFormat="1" applyBorder="1"/>
    <xf numFmtId="0" fontId="24" fillId="0" borderId="0" xfId="0" applyFont="1"/>
    <xf numFmtId="10" fontId="0" fillId="0" borderId="17" xfId="2" applyNumberFormat="1" applyFont="1" applyBorder="1"/>
    <xf numFmtId="165" fontId="0" fillId="0" borderId="0" xfId="0" applyNumberFormat="1"/>
    <xf numFmtId="0" fontId="21" fillId="0" borderId="0" xfId="0" applyFont="1"/>
    <xf numFmtId="9" fontId="21" fillId="0" borderId="0" xfId="2" applyFont="1"/>
    <xf numFmtId="165" fontId="11" fillId="0" borderId="0" xfId="1" applyNumberFormat="1" applyFont="1"/>
    <xf numFmtId="169" fontId="0" fillId="0" borderId="0" xfId="2" applyNumberFormat="1" applyFont="1"/>
    <xf numFmtId="10" fontId="2" fillId="5" borderId="0" xfId="0" applyNumberFormat="1" applyFont="1" applyFill="1"/>
    <xf numFmtId="0" fontId="22" fillId="4" borderId="0" xfId="0" applyFont="1" applyFill="1" applyAlignment="1">
      <alignment horizontal="center"/>
    </xf>
    <xf numFmtId="165" fontId="0" fillId="4" borderId="0" xfId="0" applyNumberFormat="1" applyFill="1"/>
    <xf numFmtId="0" fontId="0" fillId="4" borderId="0" xfId="0" applyFill="1"/>
    <xf numFmtId="9" fontId="8" fillId="4" borderId="0" xfId="0" applyNumberFormat="1" applyFont="1" applyFill="1"/>
    <xf numFmtId="165" fontId="0" fillId="4" borderId="0" xfId="1" applyNumberFormat="1" applyFont="1" applyFill="1"/>
    <xf numFmtId="165" fontId="0" fillId="4" borderId="17" xfId="0" applyNumberFormat="1" applyFill="1" applyBorder="1"/>
    <xf numFmtId="0" fontId="0" fillId="5" borderId="0" xfId="0" applyFill="1"/>
    <xf numFmtId="10" fontId="0" fillId="5" borderId="0" xfId="2" applyNumberFormat="1" applyFont="1" applyFill="1"/>
    <xf numFmtId="10" fontId="0" fillId="5" borderId="0" xfId="0" applyNumberFormat="1" applyFill="1"/>
    <xf numFmtId="0" fontId="2" fillId="0" borderId="0" xfId="3" applyFont="1" applyAlignment="1">
      <alignment horizontal="left" vertical="center" wrapText="1"/>
    </xf>
    <xf numFmtId="0" fontId="18" fillId="0" borderId="0" xfId="3" applyFont="1" applyAlignment="1">
      <alignment horizontal="left" vertical="center" wrapText="1"/>
    </xf>
    <xf numFmtId="165" fontId="20" fillId="0" borderId="0" xfId="0" applyNumberFormat="1" applyFont="1" applyAlignment="1">
      <alignment wrapText="1"/>
    </xf>
    <xf numFmtId="10" fontId="18" fillId="0" borderId="0" xfId="0" applyNumberFormat="1" applyFont="1" applyAlignment="1">
      <alignment wrapText="1"/>
    </xf>
    <xf numFmtId="169" fontId="18" fillId="0" borderId="0" xfId="0" applyNumberFormat="1" applyFont="1" applyAlignment="1">
      <alignment wrapText="1"/>
    </xf>
    <xf numFmtId="10" fontId="18" fillId="4" borderId="0" xfId="0" applyNumberFormat="1" applyFont="1" applyFill="1" applyAlignment="1">
      <alignment wrapText="1"/>
    </xf>
    <xf numFmtId="43" fontId="21" fillId="0" borderId="0" xfId="1" applyFont="1" applyBorder="1" applyAlignment="1">
      <alignment wrapText="1"/>
    </xf>
    <xf numFmtId="43" fontId="21" fillId="0" borderId="0" xfId="1" applyFont="1"/>
    <xf numFmtId="165" fontId="3" fillId="0" borderId="17" xfId="0" applyNumberFormat="1" applyFont="1" applyBorder="1"/>
    <xf numFmtId="9" fontId="21" fillId="0" borderId="0" xfId="0" applyNumberFormat="1" applyFont="1" applyAlignment="1">
      <alignment wrapText="1"/>
    </xf>
    <xf numFmtId="43" fontId="21" fillId="4" borderId="0" xfId="1" applyFont="1" applyFill="1" applyBorder="1" applyAlignment="1">
      <alignment wrapText="1"/>
    </xf>
    <xf numFmtId="9" fontId="18" fillId="0" borderId="0" xfId="0" applyNumberFormat="1" applyFont="1" applyAlignment="1">
      <alignment wrapText="1"/>
    </xf>
    <xf numFmtId="0" fontId="21" fillId="0" borderId="0" xfId="0" applyFont="1" applyAlignment="1">
      <alignment horizontal="left" vertical="center" wrapText="1"/>
    </xf>
    <xf numFmtId="43" fontId="3" fillId="0" borderId="1" xfId="0" applyNumberFormat="1" applyFont="1" applyBorder="1"/>
    <xf numFmtId="43" fontId="3" fillId="0" borderId="0" xfId="0" applyNumberFormat="1" applyFont="1"/>
    <xf numFmtId="0" fontId="0" fillId="0" borderId="0" xfId="0" applyAlignment="1">
      <alignment horizontal="left"/>
    </xf>
    <xf numFmtId="165" fontId="3" fillId="0" borderId="0" xfId="0" applyNumberFormat="1" applyFont="1" applyAlignment="1">
      <alignment horizontal="left"/>
    </xf>
    <xf numFmtId="165" fontId="3" fillId="0" borderId="0" xfId="0" applyNumberFormat="1" applyFont="1"/>
    <xf numFmtId="43" fontId="3" fillId="0" borderId="17" xfId="0" applyNumberFormat="1" applyFont="1" applyBorder="1"/>
    <xf numFmtId="9" fontId="3" fillId="0" borderId="0" xfId="2" applyFont="1"/>
    <xf numFmtId="0" fontId="18" fillId="0" borderId="0" xfId="0" applyFont="1" applyAlignment="1">
      <alignment horizontal="center" wrapText="1"/>
    </xf>
    <xf numFmtId="0" fontId="21" fillId="0" borderId="0" xfId="0" applyFont="1" applyAlignment="1">
      <alignment vertical="center" wrapText="1"/>
    </xf>
    <xf numFmtId="0" fontId="25" fillId="0" borderId="0" xfId="0" applyFont="1"/>
    <xf numFmtId="169" fontId="18" fillId="4" borderId="0" xfId="0" applyNumberFormat="1" applyFont="1" applyFill="1" applyAlignment="1">
      <alignment wrapText="1"/>
    </xf>
    <xf numFmtId="43" fontId="18" fillId="4" borderId="0" xfId="1" applyFont="1" applyFill="1" applyBorder="1" applyAlignment="1">
      <alignment wrapText="1"/>
    </xf>
    <xf numFmtId="43" fontId="21" fillId="0" borderId="0" xfId="1" applyFont="1" applyFill="1" applyBorder="1" applyAlignment="1">
      <alignment wrapText="1"/>
    </xf>
    <xf numFmtId="170" fontId="3" fillId="0" borderId="0" xfId="0" applyNumberFormat="1" applyFont="1"/>
    <xf numFmtId="43" fontId="11" fillId="0" borderId="0" xfId="0" applyNumberFormat="1" applyFont="1"/>
    <xf numFmtId="0" fontId="0" fillId="0" borderId="0" xfId="0" applyAlignment="1">
      <alignment wrapText="1"/>
    </xf>
    <xf numFmtId="0" fontId="0" fillId="2" borderId="0" xfId="0" applyFill="1"/>
    <xf numFmtId="0" fontId="0" fillId="7" borderId="0" xfId="0" applyFill="1"/>
    <xf numFmtId="0" fontId="3" fillId="0" borderId="18" xfId="0" applyFont="1" applyBorder="1"/>
    <xf numFmtId="0" fontId="19" fillId="0" borderId="21" xfId="0" applyFont="1" applyBorder="1" applyAlignment="1">
      <alignment horizontal="center" vertical="center"/>
    </xf>
    <xf numFmtId="0" fontId="19" fillId="0" borderId="21" xfId="0" applyFont="1" applyBorder="1" applyAlignment="1">
      <alignment horizontal="center" vertical="center" wrapText="1"/>
    </xf>
    <xf numFmtId="0" fontId="19" fillId="0" borderId="0" xfId="0" applyFont="1" applyAlignment="1">
      <alignment horizontal="center" vertical="center"/>
    </xf>
    <xf numFmtId="0" fontId="19" fillId="0" borderId="0" xfId="0" applyFont="1" applyAlignment="1">
      <alignment horizontal="center" vertical="center" wrapText="1"/>
    </xf>
    <xf numFmtId="4" fontId="0" fillId="0" borderId="0" xfId="0" applyNumberFormat="1"/>
    <xf numFmtId="10" fontId="0" fillId="0" borderId="0" xfId="0" applyNumberFormat="1" applyAlignment="1">
      <alignment horizontal="center"/>
    </xf>
    <xf numFmtId="165" fontId="0" fillId="0" borderId="0" xfId="1" applyNumberFormat="1" applyFont="1" applyAlignment="1">
      <alignment vertical="center"/>
    </xf>
    <xf numFmtId="43" fontId="0" fillId="0" borderId="0" xfId="1" applyFont="1" applyAlignment="1">
      <alignment vertical="center"/>
    </xf>
    <xf numFmtId="0" fontId="0" fillId="0" borderId="0" xfId="0" applyAlignment="1">
      <alignment vertical="center"/>
    </xf>
    <xf numFmtId="43" fontId="0" fillId="0" borderId="0" xfId="0" applyNumberFormat="1" applyAlignment="1">
      <alignment vertical="center"/>
    </xf>
    <xf numFmtId="10" fontId="0" fillId="0" borderId="0" xfId="2" applyNumberFormat="1" applyFont="1" applyAlignment="1">
      <alignment horizontal="center" vertical="center"/>
    </xf>
    <xf numFmtId="0" fontId="18" fillId="0" borderId="22" xfId="0" applyFont="1" applyBorder="1"/>
    <xf numFmtId="0" fontId="2" fillId="2" borderId="0" xfId="0" applyFont="1" applyFill="1" applyAlignment="1">
      <alignment horizontal="center" wrapText="1"/>
    </xf>
    <xf numFmtId="0" fontId="0" fillId="8" borderId="0" xfId="0" applyFill="1" applyAlignment="1">
      <alignment horizontal="center"/>
    </xf>
    <xf numFmtId="43" fontId="0" fillId="6" borderId="0" xfId="1" applyFont="1" applyFill="1" applyAlignment="1">
      <alignment horizontal="center"/>
    </xf>
    <xf numFmtId="43" fontId="0" fillId="6" borderId="0" xfId="0" applyNumberFormat="1" applyFill="1" applyAlignment="1">
      <alignment horizontal="center"/>
    </xf>
    <xf numFmtId="0" fontId="0" fillId="6" borderId="0" xfId="0" applyFill="1" applyAlignment="1">
      <alignment horizontal="center"/>
    </xf>
    <xf numFmtId="170" fontId="0" fillId="6" borderId="0" xfId="1" applyNumberFormat="1" applyFont="1" applyFill="1" applyAlignment="1">
      <alignment horizontal="center"/>
    </xf>
    <xf numFmtId="43" fontId="0" fillId="0" borderId="0" xfId="1" applyFont="1" applyFill="1" applyAlignment="1">
      <alignment horizontal="center"/>
    </xf>
    <xf numFmtId="43" fontId="0" fillId="0" borderId="0" xfId="0" applyNumberFormat="1" applyAlignment="1">
      <alignment horizontal="center"/>
    </xf>
    <xf numFmtId="170" fontId="0" fillId="0" borderId="0" xfId="1" applyNumberFormat="1" applyFont="1" applyFill="1" applyAlignment="1">
      <alignment horizontal="center"/>
    </xf>
    <xf numFmtId="170" fontId="0" fillId="0" borderId="0" xfId="0" applyNumberFormat="1" applyAlignment="1">
      <alignment horizontal="center"/>
    </xf>
    <xf numFmtId="170" fontId="0" fillId="0" borderId="0" xfId="1" applyNumberFormat="1" applyFont="1" applyAlignment="1">
      <alignment horizontal="center"/>
    </xf>
    <xf numFmtId="0" fontId="0" fillId="6" borderId="0" xfId="0" applyFill="1"/>
    <xf numFmtId="170" fontId="0" fillId="6" borderId="0" xfId="0" applyNumberFormat="1" applyFill="1"/>
    <xf numFmtId="43" fontId="0" fillId="6" borderId="0" xfId="1" applyFont="1" applyFill="1"/>
    <xf numFmtId="170" fontId="3" fillId="6" borderId="0" xfId="0" applyNumberFormat="1" applyFont="1" applyFill="1"/>
    <xf numFmtId="0" fontId="4" fillId="2" borderId="0" xfId="0" applyFont="1" applyFill="1"/>
    <xf numFmtId="0" fontId="3" fillId="6" borderId="24" xfId="0" applyFont="1" applyFill="1" applyBorder="1"/>
    <xf numFmtId="43" fontId="3" fillId="6" borderId="24" xfId="1" applyFont="1" applyFill="1" applyBorder="1"/>
    <xf numFmtId="0" fontId="18" fillId="0" borderId="0" xfId="0" applyFont="1" applyAlignment="1">
      <alignment vertical="center"/>
    </xf>
    <xf numFmtId="0" fontId="3" fillId="0" borderId="0" xfId="0" applyFont="1" applyAlignment="1">
      <alignment horizontal="center"/>
    </xf>
    <xf numFmtId="43" fontId="0" fillId="0" borderId="0" xfId="1" applyFont="1" applyAlignment="1"/>
    <xf numFmtId="0" fontId="22" fillId="0" borderId="0" xfId="0" applyFont="1" applyAlignment="1">
      <alignment wrapText="1"/>
    </xf>
    <xf numFmtId="0" fontId="22" fillId="0" borderId="0" xfId="0" applyFont="1"/>
    <xf numFmtId="0" fontId="3" fillId="0" borderId="18" xfId="0" applyFont="1" applyBorder="1" applyAlignment="1">
      <alignment horizontal="center" vertical="center"/>
    </xf>
    <xf numFmtId="0" fontId="10" fillId="2" borderId="0" xfId="0" applyFont="1" applyFill="1"/>
    <xf numFmtId="0" fontId="22" fillId="0" borderId="7" xfId="0" applyFont="1" applyBorder="1" applyAlignment="1">
      <alignment horizontal="center"/>
    </xf>
    <xf numFmtId="43" fontId="0" fillId="0" borderId="1" xfId="1" applyFont="1" applyBorder="1"/>
    <xf numFmtId="43" fontId="0" fillId="0" borderId="0" xfId="1" applyFont="1" applyBorder="1"/>
    <xf numFmtId="0" fontId="29" fillId="0" borderId="0" xfId="0" applyFont="1"/>
    <xf numFmtId="0" fontId="28" fillId="0" borderId="0" xfId="7"/>
    <xf numFmtId="0" fontId="12" fillId="0" borderId="0" xfId="0" applyFont="1"/>
    <xf numFmtId="0" fontId="11" fillId="0" borderId="0" xfId="8" applyFont="1" applyAlignment="1">
      <alignment horizontal="left" vertical="top"/>
    </xf>
    <xf numFmtId="0" fontId="9" fillId="0" borderId="0" xfId="8" applyFont="1" applyAlignment="1">
      <alignment horizontal="left" vertical="top" wrapText="1"/>
    </xf>
    <xf numFmtId="0" fontId="9" fillId="0" borderId="0" xfId="1" applyNumberFormat="1" applyFont="1" applyAlignment="1">
      <alignment horizontal="center" wrapText="1"/>
    </xf>
    <xf numFmtId="0" fontId="11" fillId="0" borderId="0" xfId="8" applyFont="1" applyAlignment="1">
      <alignment horizontal="left" vertical="top" wrapText="1"/>
    </xf>
    <xf numFmtId="165" fontId="11" fillId="0" borderId="0" xfId="1" applyNumberFormat="1" applyFont="1" applyAlignment="1">
      <alignment horizontal="center" vertical="top" shrinkToFit="1"/>
    </xf>
    <xf numFmtId="0" fontId="29" fillId="0" borderId="0" xfId="8" applyFont="1" applyAlignment="1">
      <alignment horizontal="left" vertical="top" wrapText="1"/>
    </xf>
    <xf numFmtId="165" fontId="11" fillId="0" borderId="25" xfId="1" applyNumberFormat="1" applyFont="1" applyBorder="1" applyAlignment="1">
      <alignment horizontal="center" vertical="center" wrapText="1"/>
    </xf>
    <xf numFmtId="165" fontId="11" fillId="0" borderId="26" xfId="1" applyNumberFormat="1" applyFont="1" applyBorder="1" applyAlignment="1">
      <alignment horizontal="center" vertical="center" wrapText="1"/>
    </xf>
    <xf numFmtId="165" fontId="11" fillId="0" borderId="27" xfId="1" applyNumberFormat="1" applyFont="1" applyFill="1" applyBorder="1" applyAlignment="1">
      <alignment horizontal="center" vertical="top" shrinkToFit="1"/>
    </xf>
    <xf numFmtId="165" fontId="11" fillId="0" borderId="28" xfId="1" applyNumberFormat="1" applyFont="1" applyFill="1" applyBorder="1" applyAlignment="1">
      <alignment horizontal="center" vertical="top" shrinkToFit="1"/>
    </xf>
    <xf numFmtId="165" fontId="11" fillId="0" borderId="29" xfId="1" applyNumberFormat="1" applyFont="1" applyFill="1" applyBorder="1" applyAlignment="1">
      <alignment horizontal="center" vertical="top" shrinkToFit="1"/>
    </xf>
    <xf numFmtId="165" fontId="11" fillId="0" borderId="30" xfId="1" applyNumberFormat="1" applyFont="1" applyFill="1" applyBorder="1" applyAlignment="1">
      <alignment horizontal="center" vertical="top" shrinkToFit="1"/>
    </xf>
    <xf numFmtId="165" fontId="11" fillId="0" borderId="29" xfId="1" applyNumberFormat="1" applyFont="1" applyFill="1" applyBorder="1" applyAlignment="1">
      <alignment horizontal="center" wrapText="1"/>
    </xf>
    <xf numFmtId="165" fontId="11" fillId="0" borderId="29" xfId="1" applyNumberFormat="1" applyFont="1" applyFill="1" applyBorder="1" applyAlignment="1">
      <alignment horizontal="center" vertical="top" wrapText="1"/>
    </xf>
    <xf numFmtId="165" fontId="11" fillId="0" borderId="31" xfId="1" applyNumberFormat="1" applyFont="1" applyFill="1" applyBorder="1" applyAlignment="1">
      <alignment horizontal="center" wrapText="1"/>
    </xf>
    <xf numFmtId="165" fontId="11" fillId="0" borderId="32" xfId="1" applyNumberFormat="1" applyFont="1" applyFill="1" applyBorder="1" applyAlignment="1">
      <alignment horizontal="center" vertical="top" shrinkToFit="1"/>
    </xf>
    <xf numFmtId="0" fontId="11" fillId="0" borderId="0" xfId="8" applyFont="1" applyAlignment="1">
      <alignment horizontal="left" wrapText="1"/>
    </xf>
    <xf numFmtId="165" fontId="11" fillId="0" borderId="33" xfId="1" applyNumberFormat="1" applyFont="1" applyBorder="1" applyAlignment="1">
      <alignment horizontal="center" vertical="top" wrapText="1"/>
    </xf>
    <xf numFmtId="165" fontId="11" fillId="0" borderId="34" xfId="1" applyNumberFormat="1" applyFont="1" applyBorder="1" applyAlignment="1">
      <alignment horizontal="center" wrapText="1"/>
    </xf>
    <xf numFmtId="165" fontId="11" fillId="0" borderId="35" xfId="1" applyNumberFormat="1" applyFont="1" applyBorder="1" applyAlignment="1">
      <alignment horizontal="center" wrapText="1"/>
    </xf>
    <xf numFmtId="165" fontId="11" fillId="0" borderId="36" xfId="1" applyNumberFormat="1" applyFont="1" applyBorder="1" applyAlignment="1">
      <alignment horizontal="center" wrapText="1"/>
    </xf>
    <xf numFmtId="165" fontId="11" fillId="0" borderId="37" xfId="1" applyNumberFormat="1" applyFont="1" applyFill="1" applyBorder="1" applyAlignment="1">
      <alignment horizontal="center" vertical="top" shrinkToFit="1"/>
    </xf>
    <xf numFmtId="165" fontId="11" fillId="0" borderId="38" xfId="1" applyNumberFormat="1" applyFont="1" applyFill="1" applyBorder="1" applyAlignment="1">
      <alignment horizontal="center" vertical="top" shrinkToFit="1"/>
    </xf>
    <xf numFmtId="165" fontId="11" fillId="0" borderId="39" xfId="1" applyNumberFormat="1" applyFont="1" applyFill="1" applyBorder="1" applyAlignment="1">
      <alignment horizontal="center" vertical="top" wrapText="1"/>
    </xf>
    <xf numFmtId="165" fontId="11" fillId="0" borderId="40" xfId="1" applyNumberFormat="1" applyFont="1" applyFill="1" applyBorder="1" applyAlignment="1">
      <alignment horizontal="center" vertical="top" shrinkToFit="1"/>
    </xf>
    <xf numFmtId="165" fontId="11" fillId="0" borderId="39" xfId="1" applyNumberFormat="1" applyFont="1" applyFill="1" applyBorder="1" applyAlignment="1">
      <alignment horizontal="center" vertical="top" shrinkToFit="1"/>
    </xf>
    <xf numFmtId="165" fontId="11" fillId="0" borderId="41" xfId="1" applyNumberFormat="1" applyFont="1" applyFill="1" applyBorder="1" applyAlignment="1">
      <alignment horizontal="center" wrapText="1"/>
    </xf>
    <xf numFmtId="165" fontId="11" fillId="0" borderId="42" xfId="1" applyNumberFormat="1" applyFont="1" applyFill="1" applyBorder="1" applyAlignment="1">
      <alignment horizontal="center" vertical="top" shrinkToFit="1"/>
    </xf>
    <xf numFmtId="165" fontId="11" fillId="0" borderId="43" xfId="1" applyNumberFormat="1" applyFont="1" applyBorder="1" applyAlignment="1">
      <alignment horizontal="center" vertical="top" shrinkToFit="1"/>
    </xf>
    <xf numFmtId="165" fontId="9" fillId="0" borderId="44" xfId="1" applyNumberFormat="1" applyFont="1" applyBorder="1" applyAlignment="1">
      <alignment horizontal="center" vertical="top" wrapText="1"/>
    </xf>
    <xf numFmtId="165" fontId="11" fillId="0" borderId="0" xfId="1" applyNumberFormat="1" applyFont="1" applyAlignment="1">
      <alignment horizontal="center" vertical="top"/>
    </xf>
    <xf numFmtId="165" fontId="9" fillId="0" borderId="0" xfId="9" applyNumberFormat="1" applyFont="1" applyFill="1" applyBorder="1" applyAlignment="1">
      <alignment horizontal="left" vertical="top" wrapText="1"/>
    </xf>
    <xf numFmtId="165" fontId="9" fillId="0" borderId="0" xfId="1" applyNumberFormat="1" applyFont="1" applyFill="1" applyBorder="1" applyAlignment="1">
      <alignment horizontal="center" vertical="center" wrapText="1"/>
    </xf>
    <xf numFmtId="165" fontId="11" fillId="0" borderId="0" xfId="9" applyNumberFormat="1" applyFont="1" applyFill="1" applyBorder="1" applyAlignment="1">
      <alignment horizontal="left" vertical="top" wrapText="1"/>
    </xf>
    <xf numFmtId="165" fontId="11" fillId="0" borderId="0" xfId="1" applyNumberFormat="1" applyFont="1" applyFill="1" applyBorder="1" applyAlignment="1">
      <alignment horizontal="center" vertical="center" wrapText="1"/>
    </xf>
    <xf numFmtId="165" fontId="11" fillId="0" borderId="45" xfId="1" applyNumberFormat="1" applyFont="1" applyFill="1" applyBorder="1" applyAlignment="1">
      <alignment horizontal="center" vertical="top" wrapText="1"/>
    </xf>
    <xf numFmtId="165" fontId="11" fillId="0" borderId="46" xfId="1" applyNumberFormat="1" applyFont="1" applyFill="1" applyBorder="1" applyAlignment="1">
      <alignment horizontal="center" vertical="top" shrinkToFit="1"/>
    </xf>
    <xf numFmtId="165" fontId="11" fillId="0" borderId="47" xfId="1" applyNumberFormat="1" applyFont="1" applyFill="1" applyBorder="1" applyAlignment="1">
      <alignment horizontal="center" wrapText="1"/>
    </xf>
    <xf numFmtId="165" fontId="11" fillId="0" borderId="48" xfId="1" applyNumberFormat="1" applyFont="1" applyFill="1" applyBorder="1" applyAlignment="1">
      <alignment horizontal="center" vertical="top" shrinkToFit="1"/>
    </xf>
    <xf numFmtId="165" fontId="11" fillId="0" borderId="47" xfId="1" applyNumberFormat="1" applyFont="1" applyFill="1" applyBorder="1" applyAlignment="1">
      <alignment horizontal="center" vertical="top" shrinkToFit="1"/>
    </xf>
    <xf numFmtId="165" fontId="11" fillId="0" borderId="1" xfId="1" applyNumberFormat="1" applyFont="1" applyFill="1" applyBorder="1" applyAlignment="1">
      <alignment horizontal="center" vertical="top" shrinkToFit="1"/>
    </xf>
    <xf numFmtId="0" fontId="9" fillId="9" borderId="0" xfId="8" applyFont="1" applyFill="1" applyAlignment="1">
      <alignment horizontal="left" vertical="top"/>
    </xf>
    <xf numFmtId="0" fontId="8" fillId="9" borderId="0" xfId="8" applyFont="1" applyFill="1" applyAlignment="1">
      <alignment horizontal="left" vertical="top"/>
    </xf>
    <xf numFmtId="165" fontId="29" fillId="0" borderId="50" xfId="1" applyNumberFormat="1" applyFont="1" applyBorder="1" applyAlignment="1">
      <alignment horizontal="center" vertical="top"/>
    </xf>
    <xf numFmtId="165" fontId="11" fillId="0" borderId="0" xfId="1" applyNumberFormat="1" applyFont="1" applyFill="1" applyBorder="1" applyAlignment="1">
      <alignment horizontal="center" vertical="top" wrapText="1"/>
    </xf>
    <xf numFmtId="165" fontId="11" fillId="0" borderId="0" xfId="1" applyNumberFormat="1" applyFont="1" applyFill="1" applyBorder="1" applyAlignment="1">
      <alignment horizontal="center" vertical="top" shrinkToFit="1"/>
    </xf>
    <xf numFmtId="165" fontId="9" fillId="0" borderId="0" xfId="9" applyNumberFormat="1" applyFont="1" applyFill="1" applyBorder="1" applyAlignment="1">
      <alignment horizontal="left" vertical="center" wrapText="1"/>
    </xf>
    <xf numFmtId="165" fontId="11" fillId="0" borderId="45" xfId="1" applyNumberFormat="1" applyFont="1" applyFill="1" applyBorder="1" applyAlignment="1">
      <alignment horizontal="center" wrapText="1"/>
    </xf>
    <xf numFmtId="165" fontId="11" fillId="0" borderId="48" xfId="1" applyNumberFormat="1" applyFont="1" applyFill="1" applyBorder="1" applyAlignment="1">
      <alignment horizontal="center" wrapText="1"/>
    </xf>
    <xf numFmtId="165" fontId="11" fillId="0" borderId="49" xfId="1" applyNumberFormat="1" applyFont="1" applyFill="1" applyBorder="1" applyAlignment="1">
      <alignment horizontal="center" vertical="top" wrapText="1"/>
    </xf>
    <xf numFmtId="165" fontId="11" fillId="0" borderId="51" xfId="1" applyNumberFormat="1" applyFont="1" applyFill="1" applyBorder="1" applyAlignment="1">
      <alignment horizontal="center" vertical="top" shrinkToFit="1"/>
    </xf>
    <xf numFmtId="165" fontId="11" fillId="0" borderId="52" xfId="1" applyNumberFormat="1" applyFont="1" applyFill="1" applyBorder="1" applyAlignment="1">
      <alignment horizontal="center" vertical="top" wrapText="1"/>
    </xf>
    <xf numFmtId="165" fontId="11" fillId="0" borderId="46" xfId="1" applyNumberFormat="1" applyFont="1" applyFill="1" applyBorder="1" applyAlignment="1">
      <alignment horizontal="center" vertical="top" wrapText="1"/>
    </xf>
    <xf numFmtId="165" fontId="11" fillId="0" borderId="53" xfId="1" applyNumberFormat="1" applyFont="1" applyFill="1" applyBorder="1" applyAlignment="1">
      <alignment horizontal="center" vertical="top" shrinkToFit="1"/>
    </xf>
    <xf numFmtId="165" fontId="9" fillId="0" borderId="54" xfId="1" applyNumberFormat="1" applyFont="1" applyFill="1" applyBorder="1" applyAlignment="1">
      <alignment horizontal="center" vertical="top" shrinkToFit="1"/>
    </xf>
    <xf numFmtId="0" fontId="2" fillId="0" borderId="0" xfId="3" applyFont="1" applyAlignment="1">
      <alignment horizontal="left"/>
    </xf>
    <xf numFmtId="0" fontId="2" fillId="0" borderId="0" xfId="3" applyFont="1" applyAlignment="1">
      <alignment horizontal="center"/>
    </xf>
    <xf numFmtId="0" fontId="2" fillId="0" borderId="0" xfId="3" applyFont="1" applyAlignment="1">
      <alignment horizontal="center" vertical="center" wrapText="1"/>
    </xf>
    <xf numFmtId="0" fontId="26" fillId="0" borderId="0" xfId="3" applyFont="1" applyAlignment="1">
      <alignment horizontal="left"/>
    </xf>
    <xf numFmtId="43" fontId="8" fillId="0" borderId="0" xfId="1" applyFont="1" applyFill="1" applyBorder="1" applyAlignment="1">
      <alignment horizontal="center" vertical="center"/>
    </xf>
    <xf numFmtId="0" fontId="9" fillId="0" borderId="0" xfId="8" applyFont="1" applyAlignment="1">
      <alignment horizontal="left" vertical="top"/>
    </xf>
    <xf numFmtId="10" fontId="8" fillId="0" borderId="0" xfId="6" applyNumberFormat="1" applyFont="1" applyFill="1" applyBorder="1" applyAlignment="1">
      <alignment horizontal="center" vertical="center"/>
    </xf>
    <xf numFmtId="43" fontId="11" fillId="0" borderId="0" xfId="1" applyFont="1" applyAlignment="1">
      <alignment horizontal="left" vertical="top"/>
    </xf>
    <xf numFmtId="43" fontId="11" fillId="0" borderId="45" xfId="1" applyFont="1" applyBorder="1" applyAlignment="1">
      <alignment horizontal="left" vertical="top"/>
    </xf>
    <xf numFmtId="43" fontId="11" fillId="0" borderId="49" xfId="1" applyFont="1" applyBorder="1" applyAlignment="1">
      <alignment horizontal="left" vertical="top"/>
    </xf>
    <xf numFmtId="169" fontId="2" fillId="0" borderId="0" xfId="2" applyNumberFormat="1" applyFont="1" applyFill="1"/>
    <xf numFmtId="43" fontId="8" fillId="0" borderId="0" xfId="1" applyFont="1"/>
    <xf numFmtId="2" fontId="0" fillId="6" borderId="0" xfId="1" applyNumberFormat="1" applyFont="1" applyFill="1" applyAlignment="1">
      <alignment horizontal="center"/>
    </xf>
    <xf numFmtId="0" fontId="23" fillId="0" borderId="0" xfId="0" applyFont="1" applyAlignment="1">
      <alignment horizontal="center"/>
    </xf>
    <xf numFmtId="0" fontId="10" fillId="0" borderId="0" xfId="0" applyFont="1" applyAlignment="1">
      <alignment wrapText="1"/>
    </xf>
    <xf numFmtId="0" fontId="18" fillId="6" borderId="0" xfId="0" applyFont="1" applyFill="1"/>
    <xf numFmtId="0" fontId="8" fillId="6" borderId="0" xfId="0" applyFont="1" applyFill="1"/>
    <xf numFmtId="0" fontId="2" fillId="2" borderId="0" xfId="10" applyFont="1" applyFill="1"/>
    <xf numFmtId="0" fontId="26" fillId="0" borderId="0" xfId="8" applyFont="1" applyAlignment="1">
      <alignment horizontal="left" vertical="top"/>
    </xf>
    <xf numFmtId="0" fontId="1" fillId="0" borderId="0" xfId="10" applyFont="1"/>
    <xf numFmtId="9" fontId="9" fillId="0" borderId="48" xfId="10" applyNumberFormat="1" applyFont="1" applyBorder="1"/>
    <xf numFmtId="0" fontId="3" fillId="0" borderId="0" xfId="10" applyFont="1"/>
    <xf numFmtId="0" fontId="1" fillId="0" borderId="52" xfId="10" applyFont="1" applyBorder="1"/>
    <xf numFmtId="165" fontId="1" fillId="0" borderId="1" xfId="10" applyNumberFormat="1" applyFont="1" applyBorder="1"/>
    <xf numFmtId="0" fontId="1" fillId="0" borderId="55" xfId="10" applyFont="1" applyBorder="1"/>
    <xf numFmtId="165" fontId="34" fillId="0" borderId="0" xfId="10" applyNumberFormat="1" applyFont="1" applyAlignment="1">
      <alignment vertical="top"/>
    </xf>
    <xf numFmtId="9" fontId="8" fillId="0" borderId="0" xfId="10" applyNumberFormat="1" applyFont="1" applyAlignment="1">
      <alignment vertical="top"/>
    </xf>
    <xf numFmtId="0" fontId="2" fillId="2" borderId="55" xfId="10" applyFont="1" applyFill="1" applyBorder="1" applyAlignment="1">
      <alignment horizontal="right"/>
    </xf>
    <xf numFmtId="0" fontId="1" fillId="0" borderId="53" xfId="10" applyFont="1" applyBorder="1"/>
    <xf numFmtId="9" fontId="9" fillId="0" borderId="51" xfId="10" applyNumberFormat="1" applyFont="1" applyBorder="1"/>
    <xf numFmtId="0" fontId="18" fillId="0" borderId="0" xfId="8" applyFont="1" applyAlignment="1">
      <alignment horizontal="left" vertical="top"/>
    </xf>
    <xf numFmtId="0" fontId="21" fillId="0" borderId="0" xfId="8" applyFont="1" applyAlignment="1">
      <alignment horizontal="left" vertical="top"/>
    </xf>
    <xf numFmtId="167" fontId="0" fillId="0" borderId="5" xfId="0" applyNumberFormat="1" applyBorder="1"/>
    <xf numFmtId="166" fontId="1" fillId="0" borderId="52" xfId="2" applyNumberFormat="1" applyFont="1" applyFill="1" applyBorder="1" applyAlignment="1">
      <alignment vertical="top"/>
    </xf>
    <xf numFmtId="166" fontId="1" fillId="0" borderId="1" xfId="2" applyNumberFormat="1" applyFont="1" applyFill="1" applyBorder="1" applyAlignment="1">
      <alignment vertical="top"/>
    </xf>
    <xf numFmtId="166" fontId="1" fillId="0" borderId="46" xfId="2" applyNumberFormat="1" applyFont="1" applyFill="1" applyBorder="1" applyAlignment="1">
      <alignment vertical="top"/>
    </xf>
    <xf numFmtId="166" fontId="1" fillId="0" borderId="0" xfId="2" applyNumberFormat="1" applyFont="1" applyFill="1" applyBorder="1" applyAlignment="1">
      <alignment vertical="top"/>
    </xf>
    <xf numFmtId="166" fontId="1" fillId="0" borderId="48" xfId="2" applyNumberFormat="1" applyFont="1" applyFill="1" applyBorder="1" applyAlignment="1">
      <alignment vertical="top"/>
    </xf>
    <xf numFmtId="166" fontId="1" fillId="0" borderId="4" xfId="2" applyNumberFormat="1" applyFont="1" applyFill="1" applyBorder="1" applyAlignment="1">
      <alignment vertical="top"/>
    </xf>
    <xf numFmtId="166" fontId="1" fillId="0" borderId="51" xfId="2" applyNumberFormat="1" applyFont="1" applyFill="1" applyBorder="1" applyAlignment="1">
      <alignment vertical="top"/>
    </xf>
    <xf numFmtId="166" fontId="9" fillId="6" borderId="0" xfId="2" applyNumberFormat="1" applyFont="1" applyFill="1" applyBorder="1" applyAlignment="1">
      <alignment vertical="top"/>
    </xf>
    <xf numFmtId="10" fontId="9" fillId="6" borderId="0" xfId="10" applyNumberFormat="1" applyFont="1" applyFill="1" applyAlignment="1">
      <alignment vertical="top"/>
    </xf>
    <xf numFmtId="169" fontId="8" fillId="0" borderId="0" xfId="0" applyNumberFormat="1" applyFont="1"/>
    <xf numFmtId="10" fontId="9" fillId="0" borderId="48" xfId="10" applyNumberFormat="1" applyFont="1" applyBorder="1"/>
    <xf numFmtId="10" fontId="9" fillId="0" borderId="51" xfId="10" applyNumberFormat="1" applyFont="1" applyBorder="1"/>
    <xf numFmtId="10" fontId="9" fillId="6" borderId="48" xfId="10" applyNumberFormat="1" applyFont="1" applyFill="1" applyBorder="1"/>
    <xf numFmtId="10" fontId="8" fillId="0" borderId="4" xfId="2" applyNumberFormat="1" applyFont="1" applyBorder="1" applyAlignment="1">
      <alignment vertical="top"/>
    </xf>
    <xf numFmtId="10" fontId="8" fillId="0" borderId="52" xfId="2" applyNumberFormat="1" applyFont="1" applyBorder="1" applyAlignment="1">
      <alignment vertical="top"/>
    </xf>
    <xf numFmtId="10" fontId="8" fillId="0" borderId="1" xfId="2" applyNumberFormat="1" applyFont="1" applyBorder="1" applyAlignment="1">
      <alignment vertical="top"/>
    </xf>
    <xf numFmtId="10" fontId="8" fillId="0" borderId="46" xfId="2" applyNumberFormat="1" applyFont="1" applyBorder="1" applyAlignment="1">
      <alignment vertical="top"/>
    </xf>
    <xf numFmtId="10" fontId="8" fillId="0" borderId="55" xfId="2" applyNumberFormat="1" applyFont="1" applyBorder="1" applyAlignment="1">
      <alignment vertical="top"/>
    </xf>
    <xf numFmtId="10" fontId="8" fillId="0" borderId="0" xfId="2" applyNumberFormat="1" applyFont="1" applyBorder="1" applyAlignment="1">
      <alignment vertical="top"/>
    </xf>
    <xf numFmtId="10" fontId="8" fillId="0" borderId="48" xfId="2" applyNumberFormat="1" applyFont="1" applyBorder="1" applyAlignment="1">
      <alignment vertical="top"/>
    </xf>
    <xf numFmtId="10" fontId="9" fillId="6" borderId="0" xfId="2" applyNumberFormat="1" applyFont="1" applyFill="1" applyBorder="1" applyAlignment="1">
      <alignment vertical="top"/>
    </xf>
    <xf numFmtId="10" fontId="8" fillId="0" borderId="53" xfId="2" applyNumberFormat="1" applyFont="1" applyBorder="1" applyAlignment="1">
      <alignment vertical="top"/>
    </xf>
    <xf numFmtId="10" fontId="8" fillId="0" borderId="51" xfId="2" applyNumberFormat="1" applyFont="1" applyBorder="1" applyAlignment="1">
      <alignment vertical="top"/>
    </xf>
    <xf numFmtId="10" fontId="8" fillId="0" borderId="0" xfId="2" applyNumberFormat="1" applyFont="1" applyFill="1" applyBorder="1" applyAlignment="1">
      <alignment vertical="top"/>
    </xf>
    <xf numFmtId="165" fontId="1" fillId="0" borderId="46" xfId="10" applyNumberFormat="1" applyFont="1" applyBorder="1"/>
    <xf numFmtId="165" fontId="34" fillId="0" borderId="48" xfId="10" applyNumberFormat="1" applyFont="1" applyBorder="1" applyAlignment="1">
      <alignment vertical="top"/>
    </xf>
    <xf numFmtId="10" fontId="9" fillId="6" borderId="48" xfId="2" applyNumberFormat="1" applyFont="1" applyFill="1" applyBorder="1" applyAlignment="1">
      <alignment vertical="top"/>
    </xf>
    <xf numFmtId="0" fontId="0" fillId="0" borderId="55" xfId="0" applyBorder="1"/>
    <xf numFmtId="10" fontId="8" fillId="0" borderId="48" xfId="2" applyNumberFormat="1" applyFont="1" applyFill="1" applyBorder="1" applyAlignment="1">
      <alignment vertical="top"/>
    </xf>
    <xf numFmtId="0" fontId="21" fillId="4" borderId="0" xfId="0" applyFont="1" applyFill="1"/>
    <xf numFmtId="0" fontId="21" fillId="4" borderId="0" xfId="0" applyFont="1" applyFill="1" applyAlignment="1">
      <alignment wrapText="1"/>
    </xf>
    <xf numFmtId="168" fontId="2" fillId="2" borderId="0" xfId="3" applyNumberFormat="1" applyFont="1" applyFill="1" applyAlignment="1">
      <alignment horizontal="center" vertical="center" wrapText="1"/>
    </xf>
    <xf numFmtId="43" fontId="0" fillId="0" borderId="56" xfId="1" applyFont="1" applyBorder="1"/>
    <xf numFmtId="43" fontId="0" fillId="0" borderId="24" xfId="1" applyFont="1" applyBorder="1"/>
    <xf numFmtId="43" fontId="8" fillId="0" borderId="45" xfId="1" applyFont="1" applyFill="1" applyBorder="1" applyAlignment="1">
      <alignment horizontal="center" vertical="center"/>
    </xf>
    <xf numFmtId="43" fontId="0" fillId="0" borderId="49" xfId="1" applyFont="1" applyBorder="1"/>
    <xf numFmtId="43" fontId="0" fillId="0" borderId="47" xfId="1" applyFont="1" applyBorder="1"/>
    <xf numFmtId="0" fontId="26" fillId="0" borderId="0" xfId="3" applyFont="1" applyAlignment="1">
      <alignment horizontal="left" vertical="center"/>
    </xf>
    <xf numFmtId="0" fontId="26" fillId="0" borderId="0" xfId="3" applyFont="1" applyAlignment="1">
      <alignment horizontal="left" vertical="center" wrapText="1"/>
    </xf>
    <xf numFmtId="0" fontId="9" fillId="0" borderId="0" xfId="3" applyFont="1" applyAlignment="1">
      <alignment horizontal="left" vertical="center" wrapText="1"/>
    </xf>
    <xf numFmtId="43" fontId="0" fillId="0" borderId="45" xfId="1" applyFont="1" applyBorder="1"/>
    <xf numFmtId="43" fontId="8" fillId="0" borderId="0" xfId="8" applyNumberFormat="1" applyFont="1" applyAlignment="1">
      <alignment horizontal="left" vertical="top"/>
    </xf>
    <xf numFmtId="43" fontId="8" fillId="0" borderId="49" xfId="1" applyFont="1" applyFill="1" applyBorder="1" applyAlignment="1">
      <alignment horizontal="center" vertical="center"/>
    </xf>
    <xf numFmtId="0" fontId="11" fillId="0" borderId="0" xfId="0" applyFont="1" applyAlignment="1">
      <alignment vertical="top" wrapText="1"/>
    </xf>
    <xf numFmtId="0" fontId="9" fillId="0" borderId="0" xfId="3" applyFont="1" applyAlignment="1">
      <alignment horizontal="left"/>
    </xf>
    <xf numFmtId="0" fontId="8" fillId="0" borderId="0" xfId="3" applyFont="1" applyAlignment="1">
      <alignment horizontal="left"/>
    </xf>
    <xf numFmtId="0" fontId="8" fillId="0" borderId="0" xfId="8" applyFont="1" applyAlignment="1">
      <alignment horizontal="left" vertical="top"/>
    </xf>
    <xf numFmtId="43" fontId="8" fillId="0" borderId="0" xfId="1" applyFont="1" applyAlignment="1">
      <alignment horizontal="left" vertical="top"/>
    </xf>
    <xf numFmtId="43" fontId="8" fillId="0" borderId="45" xfId="1" applyFont="1" applyBorder="1" applyAlignment="1">
      <alignment horizontal="left" vertical="top"/>
    </xf>
    <xf numFmtId="43" fontId="8" fillId="0" borderId="47" xfId="1" applyFont="1" applyBorder="1" applyAlignment="1">
      <alignment horizontal="left" vertical="top"/>
    </xf>
    <xf numFmtId="43" fontId="8" fillId="0" borderId="49" xfId="1" applyFont="1" applyBorder="1" applyAlignment="1">
      <alignment horizontal="left" vertical="top"/>
    </xf>
    <xf numFmtId="43" fontId="8" fillId="0" borderId="56" xfId="8" applyNumberFormat="1" applyFont="1" applyBorder="1" applyAlignment="1">
      <alignment horizontal="left" vertical="top"/>
    </xf>
    <xf numFmtId="0" fontId="8" fillId="0" borderId="0" xfId="0" applyFont="1" applyAlignment="1">
      <alignment vertical="top" wrapText="1"/>
    </xf>
    <xf numFmtId="43" fontId="8" fillId="0" borderId="56" xfId="1" applyFont="1" applyBorder="1" applyAlignment="1">
      <alignment horizontal="left" vertical="top"/>
    </xf>
    <xf numFmtId="43" fontId="8" fillId="0" borderId="24" xfId="1" applyFont="1" applyBorder="1"/>
    <xf numFmtId="0" fontId="22" fillId="0" borderId="7" xfId="0" applyFont="1" applyBorder="1" applyAlignment="1">
      <alignment horizontal="centerContinuous"/>
    </xf>
    <xf numFmtId="0" fontId="35" fillId="0" borderId="0" xfId="0" applyFont="1" applyAlignment="1">
      <alignment horizontal="left"/>
    </xf>
    <xf numFmtId="0" fontId="37" fillId="0" borderId="0" xfId="0" applyFont="1"/>
    <xf numFmtId="0" fontId="35" fillId="0" borderId="0" xfId="0" applyFont="1"/>
    <xf numFmtId="43" fontId="0" fillId="0" borderId="0" xfId="1" applyFont="1" applyFill="1" applyBorder="1"/>
    <xf numFmtId="43" fontId="0" fillId="0" borderId="45" xfId="1" applyFont="1" applyFill="1" applyBorder="1"/>
    <xf numFmtId="43" fontId="0" fillId="0" borderId="47" xfId="1" applyFont="1" applyFill="1" applyBorder="1"/>
    <xf numFmtId="43" fontId="0" fillId="0" borderId="49" xfId="1" applyFont="1" applyFill="1" applyBorder="1"/>
    <xf numFmtId="0" fontId="38" fillId="0" borderId="0" xfId="0" applyFont="1"/>
    <xf numFmtId="169" fontId="9" fillId="6" borderId="0" xfId="2" applyNumberFormat="1" applyFont="1" applyFill="1" applyBorder="1" applyAlignment="1">
      <alignment vertical="top"/>
    </xf>
    <xf numFmtId="167" fontId="9" fillId="6" borderId="0" xfId="2" applyNumberFormat="1" applyFont="1" applyFill="1" applyBorder="1" applyAlignment="1">
      <alignment vertical="top"/>
    </xf>
    <xf numFmtId="166" fontId="9" fillId="6" borderId="48" xfId="10" applyNumberFormat="1" applyFont="1" applyFill="1" applyBorder="1"/>
    <xf numFmtId="169" fontId="0" fillId="0" borderId="4" xfId="2" applyNumberFormat="1" applyFont="1" applyBorder="1"/>
    <xf numFmtId="166" fontId="9" fillId="0" borderId="48" xfId="10" applyNumberFormat="1" applyFont="1" applyBorder="1"/>
    <xf numFmtId="166" fontId="8" fillId="0" borderId="0" xfId="10" applyNumberFormat="1" applyFont="1" applyAlignment="1">
      <alignment vertical="top"/>
    </xf>
    <xf numFmtId="166" fontId="11" fillId="0" borderId="0" xfId="2" applyNumberFormat="1" applyFont="1" applyFill="1" applyBorder="1" applyAlignment="1">
      <alignment vertical="top"/>
    </xf>
    <xf numFmtId="10" fontId="8" fillId="0" borderId="0" xfId="2" applyNumberFormat="1" applyFont="1" applyAlignment="1">
      <alignment vertical="top"/>
    </xf>
    <xf numFmtId="10" fontId="8" fillId="0" borderId="0" xfId="2" applyNumberFormat="1" applyFont="1" applyFill="1" applyAlignment="1">
      <alignment vertical="top"/>
    </xf>
    <xf numFmtId="0" fontId="21" fillId="0" borderId="4" xfId="0" applyFont="1" applyBorder="1"/>
    <xf numFmtId="10" fontId="8" fillId="0" borderId="0" xfId="2" applyNumberFormat="1" applyFont="1" applyAlignment="1">
      <alignment horizontal="center" vertical="top"/>
    </xf>
    <xf numFmtId="165" fontId="0" fillId="0" borderId="0" xfId="0" applyNumberFormat="1" applyAlignment="1">
      <alignment horizontal="center"/>
    </xf>
    <xf numFmtId="0" fontId="9" fillId="0" borderId="0" xfId="0" applyFont="1" applyAlignment="1">
      <alignment horizontal="center"/>
    </xf>
    <xf numFmtId="0" fontId="9" fillId="0" borderId="0" xfId="0" applyFont="1" applyAlignment="1">
      <alignment horizontal="left"/>
    </xf>
    <xf numFmtId="167" fontId="8" fillId="0" borderId="0" xfId="0" applyNumberFormat="1" applyFont="1"/>
    <xf numFmtId="43" fontId="18" fillId="0" borderId="0" xfId="1" applyFont="1" applyFill="1" applyBorder="1" applyAlignment="1">
      <alignment wrapText="1"/>
    </xf>
    <xf numFmtId="43" fontId="40" fillId="0" borderId="0" xfId="10" applyNumberFormat="1" applyFont="1"/>
    <xf numFmtId="43" fontId="1" fillId="0" borderId="0" xfId="1" applyFont="1" applyAlignment="1"/>
    <xf numFmtId="2" fontId="3" fillId="6" borderId="0" xfId="1" applyNumberFormat="1" applyFont="1" applyFill="1" applyAlignment="1">
      <alignment horizontal="center"/>
    </xf>
    <xf numFmtId="43" fontId="22" fillId="0" borderId="0" xfId="1" applyFont="1" applyAlignment="1">
      <alignment horizontal="center" vertical="center" wrapText="1"/>
    </xf>
    <xf numFmtId="0" fontId="23" fillId="0" borderId="0" xfId="0" applyFont="1"/>
    <xf numFmtId="0" fontId="18" fillId="0" borderId="0" xfId="0" applyFont="1" applyAlignment="1">
      <alignment wrapText="1"/>
    </xf>
    <xf numFmtId="43" fontId="18" fillId="0" borderId="0" xfId="0" applyNumberFormat="1" applyFont="1" applyAlignment="1">
      <alignment horizontal="center" wrapText="1"/>
    </xf>
    <xf numFmtId="43" fontId="18" fillId="0" borderId="0" xfId="1" applyFont="1" applyAlignment="1">
      <alignment horizontal="center" wrapText="1"/>
    </xf>
    <xf numFmtId="164" fontId="0" fillId="0" borderId="0" xfId="1" applyNumberFormat="1" applyFont="1" applyFill="1" applyBorder="1"/>
    <xf numFmtId="43" fontId="3" fillId="0" borderId="0" xfId="1" applyFont="1" applyFill="1" applyBorder="1"/>
    <xf numFmtId="0" fontId="10" fillId="0" borderId="0" xfId="0" applyFont="1"/>
    <xf numFmtId="0" fontId="16" fillId="2" borderId="0" xfId="3" applyFont="1" applyFill="1" applyAlignment="1">
      <alignment horizontal="center"/>
    </xf>
    <xf numFmtId="0" fontId="21" fillId="4" borderId="0" xfId="0" applyFont="1" applyFill="1" applyAlignment="1">
      <alignment wrapText="1"/>
    </xf>
    <xf numFmtId="0" fontId="18" fillId="9" borderId="0" xfId="0" applyFont="1" applyFill="1" applyAlignment="1">
      <alignment vertical="center" wrapText="1"/>
    </xf>
    <xf numFmtId="0" fontId="21" fillId="9" borderId="0" xfId="0" applyFont="1" applyFill="1" applyAlignment="1">
      <alignment vertical="center" wrapText="1"/>
    </xf>
    <xf numFmtId="0" fontId="2" fillId="2" borderId="0" xfId="0" applyFont="1" applyFill="1" applyAlignment="1">
      <alignment horizontal="center"/>
    </xf>
    <xf numFmtId="0" fontId="27" fillId="2" borderId="0" xfId="3" applyFont="1" applyFill="1" applyAlignment="1">
      <alignment horizontal="center"/>
    </xf>
    <xf numFmtId="0" fontId="2" fillId="2" borderId="1" xfId="10" applyFont="1" applyFill="1" applyBorder="1" applyAlignment="1">
      <alignment horizontal="center"/>
    </xf>
    <xf numFmtId="0" fontId="2" fillId="2" borderId="46" xfId="10" applyFont="1" applyFill="1" applyBorder="1" applyAlignment="1">
      <alignment horizontal="center"/>
    </xf>
    <xf numFmtId="0" fontId="5" fillId="2" borderId="0" xfId="0" applyFont="1" applyFill="1"/>
    <xf numFmtId="0" fontId="0" fillId="0" borderId="2" xfId="0" applyBorder="1" applyAlignment="1">
      <alignment horizontal="center"/>
    </xf>
    <xf numFmtId="0" fontId="0" fillId="0" borderId="3" xfId="0" applyBorder="1" applyAlignment="1">
      <alignment horizontal="center"/>
    </xf>
    <xf numFmtId="0" fontId="10" fillId="5" borderId="0" xfId="0" applyFont="1" applyFill="1"/>
    <xf numFmtId="0" fontId="21" fillId="0" borderId="57" xfId="0" applyFont="1" applyBorder="1" applyAlignment="1">
      <alignment wrapText="1"/>
    </xf>
    <xf numFmtId="0" fontId="21" fillId="0" borderId="56" xfId="0" applyFont="1" applyBorder="1" applyAlignment="1">
      <alignment wrapText="1"/>
    </xf>
    <xf numFmtId="0" fontId="21" fillId="0" borderId="58" xfId="0" applyFont="1" applyBorder="1" applyAlignment="1">
      <alignment wrapText="1"/>
    </xf>
    <xf numFmtId="0" fontId="21" fillId="0" borderId="59" xfId="0" applyFont="1" applyBorder="1" applyAlignment="1">
      <alignment wrapText="1"/>
    </xf>
    <xf numFmtId="0" fontId="21" fillId="0" borderId="0" xfId="0" applyFont="1" applyAlignment="1">
      <alignment wrapText="1"/>
    </xf>
    <xf numFmtId="0" fontId="21" fillId="0" borderId="60" xfId="0" applyFont="1" applyBorder="1" applyAlignment="1">
      <alignment wrapText="1"/>
    </xf>
    <xf numFmtId="0" fontId="21" fillId="0" borderId="61" xfId="0" applyFont="1" applyBorder="1" applyAlignment="1">
      <alignment wrapText="1"/>
    </xf>
    <xf numFmtId="0" fontId="21" fillId="0" borderId="22" xfId="0" applyFont="1" applyBorder="1" applyAlignment="1">
      <alignment wrapText="1"/>
    </xf>
    <xf numFmtId="0" fontId="21" fillId="0" borderId="62" xfId="0" applyFont="1" applyBorder="1" applyAlignment="1">
      <alignment wrapText="1"/>
    </xf>
    <xf numFmtId="0" fontId="22" fillId="0" borderId="0" xfId="0" applyFont="1" applyAlignment="1">
      <alignment wrapText="1"/>
    </xf>
    <xf numFmtId="0" fontId="10" fillId="5" borderId="0" xfId="0" applyFont="1" applyFill="1" applyAlignment="1">
      <alignment wrapText="1"/>
    </xf>
    <xf numFmtId="0" fontId="2" fillId="2" borderId="0" xfId="0" applyFont="1" applyFill="1"/>
    <xf numFmtId="0" fontId="2" fillId="2" borderId="0" xfId="0" applyFont="1" applyFill="1" applyAlignment="1">
      <alignment horizontal="center" vertical="center"/>
    </xf>
    <xf numFmtId="0" fontId="3" fillId="0" borderId="0" xfId="0" applyFont="1" applyAlignment="1">
      <alignment horizontal="center"/>
    </xf>
    <xf numFmtId="0" fontId="21" fillId="9" borderId="0" xfId="8" applyFont="1" applyFill="1" applyAlignment="1">
      <alignment horizontal="left" vertical="top" wrapText="1"/>
    </xf>
    <xf numFmtId="0" fontId="18" fillId="0" borderId="0" xfId="0" applyFont="1" applyAlignment="1">
      <alignment horizontal="center"/>
    </xf>
    <xf numFmtId="0" fontId="2" fillId="2" borderId="0" xfId="3" applyFont="1" applyFill="1" applyAlignment="1">
      <alignment horizontal="left" vertical="center" wrapText="1"/>
    </xf>
    <xf numFmtId="0" fontId="21" fillId="0" borderId="9" xfId="0" applyFont="1" applyBorder="1" applyAlignment="1">
      <alignment horizontal="left" vertical="center" wrapText="1"/>
    </xf>
    <xf numFmtId="0" fontId="21" fillId="0" borderId="10" xfId="0" applyFont="1" applyBorder="1" applyAlignment="1">
      <alignment horizontal="left" vertical="center" wrapText="1"/>
    </xf>
    <xf numFmtId="0" fontId="21" fillId="0" borderId="11" xfId="0" applyFont="1" applyBorder="1" applyAlignment="1">
      <alignment horizontal="left" vertical="center" wrapText="1"/>
    </xf>
    <xf numFmtId="0" fontId="21" fillId="0" borderId="12" xfId="0" applyFont="1" applyBorder="1" applyAlignment="1">
      <alignment horizontal="left" vertical="center" wrapText="1"/>
    </xf>
    <xf numFmtId="0" fontId="21" fillId="0" borderId="0" xfId="0" applyFont="1" applyAlignment="1">
      <alignment horizontal="left" vertical="center" wrapText="1"/>
    </xf>
    <xf numFmtId="0" fontId="21" fillId="0" borderId="13" xfId="0" applyFont="1" applyBorder="1" applyAlignment="1">
      <alignment horizontal="left" vertical="center" wrapText="1"/>
    </xf>
    <xf numFmtId="0" fontId="21" fillId="0" borderId="14" xfId="0" applyFont="1" applyBorder="1" applyAlignment="1">
      <alignment horizontal="left" vertical="center" wrapText="1"/>
    </xf>
    <xf numFmtId="0" fontId="21" fillId="0" borderId="8" xfId="0" applyFont="1" applyBorder="1" applyAlignment="1">
      <alignment horizontal="left" vertical="center" wrapText="1"/>
    </xf>
    <xf numFmtId="0" fontId="21" fillId="0" borderId="15" xfId="0" applyFont="1" applyBorder="1" applyAlignment="1">
      <alignment horizontal="left" vertical="center" wrapText="1"/>
    </xf>
    <xf numFmtId="0" fontId="2" fillId="0" borderId="0" xfId="3" applyFont="1" applyAlignment="1">
      <alignment horizontal="left" vertical="center" wrapText="1"/>
    </xf>
    <xf numFmtId="0" fontId="18" fillId="0" borderId="0" xfId="0" applyFont="1" applyAlignment="1">
      <alignment horizontal="center" vertical="center" wrapText="1"/>
    </xf>
    <xf numFmtId="0" fontId="21" fillId="0" borderId="0" xfId="0" applyFont="1" applyAlignment="1">
      <alignment vertical="center" wrapText="1"/>
    </xf>
    <xf numFmtId="0" fontId="21" fillId="0" borderId="57" xfId="0" applyFont="1" applyBorder="1" applyAlignment="1">
      <alignment horizontal="left" wrapText="1"/>
    </xf>
    <xf numFmtId="0" fontId="21" fillId="0" borderId="56" xfId="0" applyFont="1" applyBorder="1" applyAlignment="1">
      <alignment horizontal="left" wrapText="1"/>
    </xf>
    <xf numFmtId="0" fontId="21" fillId="0" borderId="58" xfId="0" applyFont="1" applyBorder="1" applyAlignment="1">
      <alignment horizontal="left" wrapText="1"/>
    </xf>
    <xf numFmtId="0" fontId="21" fillId="0" borderId="59" xfId="0" applyFont="1" applyBorder="1" applyAlignment="1">
      <alignment horizontal="left" wrapText="1"/>
    </xf>
    <xf numFmtId="0" fontId="21" fillId="0" borderId="0" xfId="0" applyFont="1" applyAlignment="1">
      <alignment horizontal="left" wrapText="1"/>
    </xf>
    <xf numFmtId="0" fontId="21" fillId="0" borderId="60" xfId="0" applyFont="1" applyBorder="1" applyAlignment="1">
      <alignment horizontal="left" wrapText="1"/>
    </xf>
    <xf numFmtId="0" fontId="21" fillId="0" borderId="61" xfId="0" applyFont="1" applyBorder="1" applyAlignment="1">
      <alignment horizontal="left" wrapText="1"/>
    </xf>
    <xf numFmtId="0" fontId="21" fillId="0" borderId="22" xfId="0" applyFont="1" applyBorder="1" applyAlignment="1">
      <alignment horizontal="left" wrapText="1"/>
    </xf>
    <xf numFmtId="0" fontId="21" fillId="0" borderId="62" xfId="0" applyFont="1" applyBorder="1" applyAlignment="1">
      <alignment horizontal="left" wrapText="1"/>
    </xf>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3" fillId="0" borderId="19" xfId="0" applyFont="1" applyBorder="1" applyAlignment="1">
      <alignment horizontal="center"/>
    </xf>
    <xf numFmtId="0" fontId="3" fillId="0" borderId="7" xfId="0" applyFont="1" applyBorder="1" applyAlignment="1">
      <alignment horizontal="center"/>
    </xf>
    <xf numFmtId="0" fontId="3" fillId="0" borderId="20" xfId="0" applyFont="1" applyBorder="1" applyAlignment="1">
      <alignment horizontal="center"/>
    </xf>
    <xf numFmtId="43" fontId="22" fillId="0" borderId="0" xfId="1" applyFont="1" applyAlignment="1">
      <alignment horizontal="center" vertical="center" wrapText="1"/>
    </xf>
    <xf numFmtId="43" fontId="22" fillId="0" borderId="22" xfId="1" applyFont="1" applyBorder="1" applyAlignment="1">
      <alignment horizontal="center" vertical="center" wrapText="1"/>
    </xf>
    <xf numFmtId="0" fontId="2" fillId="2" borderId="23" xfId="0" applyFont="1" applyFill="1" applyBorder="1" applyAlignment="1">
      <alignment horizontal="center"/>
    </xf>
  </cellXfs>
  <cellStyles count="15">
    <cellStyle name="Comma" xfId="1" builtinId="3"/>
    <cellStyle name="Comma 2" xfId="5" xr:uid="{F943E927-92DE-44A2-97F4-763FDDEC525A}"/>
    <cellStyle name="Comma 2 2" xfId="13" xr:uid="{7DC6C35E-1403-4481-959F-5D4F867A8DE4}"/>
    <cellStyle name="Comma 3" xfId="9" xr:uid="{FBC9770D-D4CD-4644-BA1C-1335DC857678}"/>
    <cellStyle name="Comma 4" xfId="12" xr:uid="{7F6028E2-3A0C-4422-A9F6-89509F50E4AF}"/>
    <cellStyle name="Hyperlink" xfId="7" builtinId="8"/>
    <cellStyle name="Normal" xfId="0" builtinId="0"/>
    <cellStyle name="Normal 2" xfId="3" xr:uid="{DA42CC58-EA18-4836-A698-CEA13D2924BF}"/>
    <cellStyle name="Normal 2 2" xfId="8" xr:uid="{FAE5CE69-2E04-4692-9577-A70C2D9061D2}"/>
    <cellStyle name="Normal 3" xfId="10" xr:uid="{C051DF01-24B7-49DA-9D29-941457CC137A}"/>
    <cellStyle name="Normal 4" xfId="4" xr:uid="{D74781FD-EEB6-4C04-81A7-411AAD08CDCB}"/>
    <cellStyle name="Percent" xfId="2" builtinId="5"/>
    <cellStyle name="Percent 2" xfId="6" xr:uid="{065CF056-69F5-4EDE-A856-B79BB3D35D6B}"/>
    <cellStyle name="Percent 2 2" xfId="14" xr:uid="{A8646B7D-D21E-4E7B-B70B-73D73EB9EB09}"/>
    <cellStyle name="Percent 4" xfId="11" xr:uid="{798E3141-EE73-4D7C-A79F-01B33662D26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Value Per</a:t>
            </a:r>
            <a:r>
              <a:rPr lang="en-US" b="1" baseline="0">
                <a:solidFill>
                  <a:schemeClr val="bg1"/>
                </a:solidFill>
              </a:rPr>
              <a:t> Share Summary</a:t>
            </a:r>
            <a:endParaRPr lang="en-US" b="1">
              <a:solidFill>
                <a:schemeClr val="bg1"/>
              </a:solidFill>
            </a:endParaRPr>
          </a:p>
        </c:rich>
      </c:tx>
      <c:overlay val="0"/>
      <c:spPr>
        <a:solidFill>
          <a:srgbClr val="00206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rgbClr val="002060"/>
            </a:solidFill>
            <a:ln>
              <a:noFill/>
            </a:ln>
            <a:effectLst/>
          </c:spPr>
          <c:invertIfNegative val="0"/>
          <c:cat>
            <c:strRef>
              <c:f>'Compr Scenario Analysis-DCF'!$B$6:$B$10</c:f>
              <c:strCache>
                <c:ptCount val="5"/>
                <c:pt idx="0">
                  <c:v>WACC</c:v>
                </c:pt>
                <c:pt idx="1">
                  <c:v>Terminal Growth Rate</c:v>
                </c:pt>
                <c:pt idx="2">
                  <c:v>Expected Growth Rate of FCFF</c:v>
                </c:pt>
                <c:pt idx="3">
                  <c:v>Tax Rate</c:v>
                </c:pt>
                <c:pt idx="4">
                  <c:v>Reinvestment Rate</c:v>
                </c:pt>
              </c:strCache>
            </c:strRef>
          </c:cat>
          <c:val>
            <c:numRef>
              <c:f>'Compr Scenario Analysis-DCF'!$D$6:$D$10</c:f>
              <c:numCache>
                <c:formatCode>_(* #,##0.00_);_(* \(#,##0.00\);_(* "-"??_);_(@_)</c:formatCode>
                <c:ptCount val="5"/>
                <c:pt idx="0">
                  <c:v>245.18280358033383</c:v>
                </c:pt>
                <c:pt idx="1">
                  <c:v>87.424646897032673</c:v>
                </c:pt>
                <c:pt idx="2">
                  <c:v>134.79375810042487</c:v>
                </c:pt>
                <c:pt idx="3">
                  <c:v>116.06158014745512</c:v>
                </c:pt>
                <c:pt idx="4">
                  <c:v>142.23300778525129</c:v>
                </c:pt>
              </c:numCache>
            </c:numRef>
          </c:val>
          <c:extLst>
            <c:ext xmlns:c16="http://schemas.microsoft.com/office/drawing/2014/chart" uri="{C3380CC4-5D6E-409C-BE32-E72D297353CC}">
              <c16:uniqueId val="{00000000-6F99-4535-BE63-0FAF6BA81633}"/>
            </c:ext>
          </c:extLst>
        </c:ser>
        <c:ser>
          <c:idx val="1"/>
          <c:order val="1"/>
          <c:spPr>
            <a:solidFill>
              <a:schemeClr val="accent1">
                <a:lumMod val="40000"/>
                <a:lumOff val="60000"/>
              </a:schemeClr>
            </a:solidFill>
            <a:ln>
              <a:noFill/>
            </a:ln>
            <a:effectLst/>
          </c:spPr>
          <c:invertIfNegative val="0"/>
          <c:cat>
            <c:strRef>
              <c:f>'Compr Scenario Analysis-DCF'!$B$6:$B$10</c:f>
              <c:strCache>
                <c:ptCount val="5"/>
                <c:pt idx="0">
                  <c:v>WACC</c:v>
                </c:pt>
                <c:pt idx="1">
                  <c:v>Terminal Growth Rate</c:v>
                </c:pt>
                <c:pt idx="2">
                  <c:v>Expected Growth Rate of FCFF</c:v>
                </c:pt>
                <c:pt idx="3">
                  <c:v>Tax Rate</c:v>
                </c:pt>
                <c:pt idx="4">
                  <c:v>Reinvestment Rate</c:v>
                </c:pt>
              </c:strCache>
            </c:strRef>
          </c:cat>
          <c:val>
            <c:numRef>
              <c:f>'Compr Scenario Analysis-DCF'!$E$6:$E$10</c:f>
              <c:numCache>
                <c:formatCode>_(* #,##0.00_);_(* \(#,##0.00\);_(* "-"??_);_(@_)</c:formatCode>
                <c:ptCount val="5"/>
                <c:pt idx="0">
                  <c:v>31.277040746516217</c:v>
                </c:pt>
                <c:pt idx="1">
                  <c:v>69.927843580222074</c:v>
                </c:pt>
                <c:pt idx="2">
                  <c:v>47.226394472235057</c:v>
                </c:pt>
                <c:pt idx="3">
                  <c:v>65.225772002622136</c:v>
                </c:pt>
                <c:pt idx="4">
                  <c:v>32.841699025680029</c:v>
                </c:pt>
              </c:numCache>
            </c:numRef>
          </c:val>
          <c:extLst>
            <c:ext xmlns:c16="http://schemas.microsoft.com/office/drawing/2014/chart" uri="{C3380CC4-5D6E-409C-BE32-E72D297353CC}">
              <c16:uniqueId val="{00000001-6F99-4535-BE63-0FAF6BA81633}"/>
            </c:ext>
          </c:extLst>
        </c:ser>
        <c:dLbls>
          <c:showLegendKey val="0"/>
          <c:showVal val="0"/>
          <c:showCatName val="0"/>
          <c:showSerName val="0"/>
          <c:showPercent val="0"/>
          <c:showBubbleSize val="0"/>
        </c:dLbls>
        <c:gapWidth val="219"/>
        <c:overlap val="-27"/>
        <c:axId val="491519823"/>
        <c:axId val="491509263"/>
      </c:barChart>
      <c:catAx>
        <c:axId val="491519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491509263"/>
        <c:crosses val="autoZero"/>
        <c:auto val="1"/>
        <c:lblAlgn val="ctr"/>
        <c:lblOffset val="100"/>
        <c:noMultiLvlLbl val="0"/>
      </c:catAx>
      <c:valAx>
        <c:axId val="491509263"/>
        <c:scaling>
          <c:orientation val="minMax"/>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4915198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rgbClr val="002060"/>
                </a:solidFill>
                <a:latin typeface="+mn-lt"/>
                <a:ea typeface="+mn-ea"/>
                <a:cs typeface="+mn-cs"/>
              </a:defRPr>
            </a:pPr>
            <a:r>
              <a:rPr lang="en-US" sz="1200" b="1">
                <a:solidFill>
                  <a:srgbClr val="002060"/>
                </a:solidFill>
              </a:rPr>
              <a:t>Football Field Analysis-Valuation Summary (USD)</a:t>
            </a:r>
          </a:p>
        </c:rich>
      </c:tx>
      <c:overlay val="0"/>
      <c:spPr>
        <a:noFill/>
        <a:ln>
          <a:noFill/>
        </a:ln>
        <a:effectLst/>
      </c:spPr>
      <c:txPr>
        <a:bodyPr rot="0" spcFirstLastPara="1" vertOverflow="ellipsis" vert="horz" wrap="square" anchor="ctr" anchorCtr="1"/>
        <a:lstStyle/>
        <a:p>
          <a:pPr>
            <a:defRPr sz="1200" b="1" i="0" u="none" strike="noStrike" kern="1200" spc="0" baseline="0">
              <a:solidFill>
                <a:srgbClr val="002060"/>
              </a:solidFill>
              <a:latin typeface="+mn-lt"/>
              <a:ea typeface="+mn-ea"/>
              <a:cs typeface="+mn-cs"/>
            </a:defRPr>
          </a:pPr>
          <a:endParaRPr lang="en-US"/>
        </a:p>
      </c:txPr>
    </c:title>
    <c:autoTitleDeleted val="0"/>
    <c:plotArea>
      <c:layout/>
      <c:stockChart>
        <c:ser>
          <c:idx val="0"/>
          <c:order val="0"/>
          <c:spPr>
            <a:ln w="19050" cap="rnd">
              <a:noFill/>
              <a:round/>
            </a:ln>
            <a:effectLst/>
          </c:spPr>
          <c:marker>
            <c:symbol val="none"/>
          </c:marker>
          <c:cat>
            <c:strRef>
              <c:f>'Football Field Analysis'!$N$4:$N$7</c:f>
              <c:strCache>
                <c:ptCount val="4"/>
                <c:pt idx="0">
                  <c:v>Comps (Relative Valuation)</c:v>
                </c:pt>
                <c:pt idx="1">
                  <c:v>DCF Best case</c:v>
                </c:pt>
                <c:pt idx="2">
                  <c:v>DCF Base</c:v>
                </c:pt>
                <c:pt idx="3">
                  <c:v>DCF Worst Case</c:v>
                </c:pt>
              </c:strCache>
            </c:strRef>
          </c:cat>
          <c:val>
            <c:numRef>
              <c:f>'Football Field Analysis'!$O$4:$O$7</c:f>
              <c:numCache>
                <c:formatCode>_(* #,##0.00_);_(* \(#,##0.00\);_(* "-"??_);_(@_)</c:formatCode>
                <c:ptCount val="4"/>
                <c:pt idx="0">
                  <c:v>-0.985922459574468</c:v>
                </c:pt>
                <c:pt idx="1">
                  <c:v>87.424646897032673</c:v>
                </c:pt>
                <c:pt idx="2">
                  <c:v>77.934724038830367</c:v>
                </c:pt>
                <c:pt idx="3">
                  <c:v>31.277040746516217</c:v>
                </c:pt>
              </c:numCache>
            </c:numRef>
          </c:val>
          <c:smooth val="0"/>
          <c:extLst>
            <c:ext xmlns:c16="http://schemas.microsoft.com/office/drawing/2014/chart" uri="{C3380CC4-5D6E-409C-BE32-E72D297353CC}">
              <c16:uniqueId val="{00000000-F5AD-406C-B1B7-59D7F0177D87}"/>
            </c:ext>
          </c:extLst>
        </c:ser>
        <c:ser>
          <c:idx val="1"/>
          <c:order val="1"/>
          <c:spPr>
            <a:ln w="19050" cap="rnd">
              <a:noFill/>
              <a:round/>
            </a:ln>
            <a:effectLst/>
          </c:spPr>
          <c:marker>
            <c:symbol val="none"/>
          </c:marker>
          <c:dLbls>
            <c:numFmt formatCode="[$USD]\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 Analysis'!$N$4:$N$7</c:f>
              <c:strCache>
                <c:ptCount val="4"/>
                <c:pt idx="0">
                  <c:v>Comps (Relative Valuation)</c:v>
                </c:pt>
                <c:pt idx="1">
                  <c:v>DCF Best case</c:v>
                </c:pt>
                <c:pt idx="2">
                  <c:v>DCF Base</c:v>
                </c:pt>
                <c:pt idx="3">
                  <c:v>DCF Worst Case</c:v>
                </c:pt>
              </c:strCache>
            </c:strRef>
          </c:cat>
          <c:val>
            <c:numRef>
              <c:f>'Football Field Analysis'!$P$4:$P$7</c:f>
              <c:numCache>
                <c:formatCode>_(* #,##0.00_);_(* \(#,##0.00\);_(* "-"??_);_(@_)</c:formatCode>
                <c:ptCount val="4"/>
                <c:pt idx="0">
                  <c:v>-0.985922459574468</c:v>
                </c:pt>
                <c:pt idx="1">
                  <c:v>87.424646897032673</c:v>
                </c:pt>
                <c:pt idx="2">
                  <c:v>77.934724038830367</c:v>
                </c:pt>
                <c:pt idx="3">
                  <c:v>31.277040746516217</c:v>
                </c:pt>
              </c:numCache>
            </c:numRef>
          </c:val>
          <c:smooth val="0"/>
          <c:extLst>
            <c:ext xmlns:c16="http://schemas.microsoft.com/office/drawing/2014/chart" uri="{C3380CC4-5D6E-409C-BE32-E72D297353CC}">
              <c16:uniqueId val="{00000001-F5AD-406C-B1B7-59D7F0177D87}"/>
            </c:ext>
          </c:extLst>
        </c:ser>
        <c:ser>
          <c:idx val="2"/>
          <c:order val="2"/>
          <c:spPr>
            <a:ln w="19050" cap="rnd">
              <a:noFill/>
              <a:round/>
            </a:ln>
            <a:effectLst/>
          </c:spPr>
          <c:marker>
            <c:symbol val="none"/>
          </c:marker>
          <c:cat>
            <c:strRef>
              <c:f>'Football Field Analysis'!$N$4:$N$7</c:f>
              <c:strCache>
                <c:ptCount val="4"/>
                <c:pt idx="0">
                  <c:v>Comps (Relative Valuation)</c:v>
                </c:pt>
                <c:pt idx="1">
                  <c:v>DCF Best case</c:v>
                </c:pt>
                <c:pt idx="2">
                  <c:v>DCF Base</c:v>
                </c:pt>
                <c:pt idx="3">
                  <c:v>DCF Worst Case</c:v>
                </c:pt>
              </c:strCache>
            </c:strRef>
          </c:cat>
          <c:val>
            <c:numRef>
              <c:f>'Football Field Analysis'!$Q$4:$Q$7</c:f>
              <c:numCache>
                <c:formatCode>_(* #,##0.00_);_(* \(#,##0.00\);_(* "-"??_);_(@_)</c:formatCode>
                <c:ptCount val="4"/>
                <c:pt idx="0">
                  <c:v>5.0940427659574475E-2</c:v>
                </c:pt>
                <c:pt idx="1">
                  <c:v>245.18280358033383</c:v>
                </c:pt>
                <c:pt idx="2">
                  <c:v>77.934724038830367</c:v>
                </c:pt>
                <c:pt idx="3">
                  <c:v>69.927843580222074</c:v>
                </c:pt>
              </c:numCache>
            </c:numRef>
          </c:val>
          <c:smooth val="0"/>
          <c:extLst>
            <c:ext xmlns:c16="http://schemas.microsoft.com/office/drawing/2014/chart" uri="{C3380CC4-5D6E-409C-BE32-E72D297353CC}">
              <c16:uniqueId val="{00000002-F5AD-406C-B1B7-59D7F0177D87}"/>
            </c:ext>
          </c:extLst>
        </c:ser>
        <c:ser>
          <c:idx val="3"/>
          <c:order val="3"/>
          <c:spPr>
            <a:ln w="19050" cap="rnd">
              <a:noFill/>
              <a:round/>
            </a:ln>
            <a:effectLst/>
          </c:spPr>
          <c:marker>
            <c:symbol val="none"/>
          </c:marker>
          <c:dLbls>
            <c:numFmt formatCode="[$USD]\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 Analysis'!$N$4:$N$7</c:f>
              <c:strCache>
                <c:ptCount val="4"/>
                <c:pt idx="0">
                  <c:v>Comps (Relative Valuation)</c:v>
                </c:pt>
                <c:pt idx="1">
                  <c:v>DCF Best case</c:v>
                </c:pt>
                <c:pt idx="2">
                  <c:v>DCF Base</c:v>
                </c:pt>
                <c:pt idx="3">
                  <c:v>DCF Worst Case</c:v>
                </c:pt>
              </c:strCache>
            </c:strRef>
          </c:cat>
          <c:val>
            <c:numRef>
              <c:f>'Football Field Analysis'!$R$4:$R$7</c:f>
              <c:numCache>
                <c:formatCode>_(* #,##0.00_);_(* \(#,##0.00\);_(* "-"??_);_(@_)</c:formatCode>
                <c:ptCount val="4"/>
                <c:pt idx="0">
                  <c:v>5.0940427659574475E-2</c:v>
                </c:pt>
                <c:pt idx="1">
                  <c:v>245.18280358033383</c:v>
                </c:pt>
                <c:pt idx="2">
                  <c:v>77.934724038830367</c:v>
                </c:pt>
                <c:pt idx="3">
                  <c:v>69.927843580222074</c:v>
                </c:pt>
              </c:numCache>
            </c:numRef>
          </c:val>
          <c:smooth val="0"/>
          <c:extLst>
            <c:ext xmlns:c16="http://schemas.microsoft.com/office/drawing/2014/chart" uri="{C3380CC4-5D6E-409C-BE32-E72D297353CC}">
              <c16:uniqueId val="{00000003-F5AD-406C-B1B7-59D7F0177D87}"/>
            </c:ext>
          </c:extLst>
        </c:ser>
        <c:dLbls>
          <c:showLegendKey val="0"/>
          <c:showVal val="0"/>
          <c:showCatName val="0"/>
          <c:showSerName val="0"/>
          <c:showPercent val="0"/>
          <c:showBubbleSize val="0"/>
        </c:dLbls>
        <c:upDownBars>
          <c:gapWidth val="150"/>
          <c:upBars>
            <c:spPr>
              <a:solidFill>
                <a:srgbClr val="002060"/>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870358879"/>
        <c:axId val="870370399"/>
      </c:stockChart>
      <c:catAx>
        <c:axId val="870358879"/>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870370399"/>
        <c:crosses val="autoZero"/>
        <c:auto val="1"/>
        <c:lblAlgn val="ctr"/>
        <c:lblOffset val="1000"/>
        <c:noMultiLvlLbl val="0"/>
      </c:catAx>
      <c:valAx>
        <c:axId val="870370399"/>
        <c:scaling>
          <c:orientation val="minMax"/>
        </c:scaling>
        <c:delete val="0"/>
        <c:axPos val="l"/>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870358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6</xdr:col>
      <xdr:colOff>434340</xdr:colOff>
      <xdr:row>1</xdr:row>
      <xdr:rowOff>68580</xdr:rowOff>
    </xdr:from>
    <xdr:to>
      <xdr:col>10</xdr:col>
      <xdr:colOff>259080</xdr:colOff>
      <xdr:row>16</xdr:row>
      <xdr:rowOff>68580</xdr:rowOff>
    </xdr:to>
    <xdr:graphicFrame macro="">
      <xdr:nvGraphicFramePr>
        <xdr:cNvPr id="2" name="Chart 1">
          <a:extLst>
            <a:ext uri="{FF2B5EF4-FFF2-40B4-BE49-F238E27FC236}">
              <a16:creationId xmlns:a16="http://schemas.microsoft.com/office/drawing/2014/main" id="{C75FDD83-D8DF-43EE-B013-3BE4D69151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236220</xdr:colOff>
      <xdr:row>3</xdr:row>
      <xdr:rowOff>53340</xdr:rowOff>
    </xdr:from>
    <xdr:to>
      <xdr:col>10</xdr:col>
      <xdr:colOff>190500</xdr:colOff>
      <xdr:row>14</xdr:row>
      <xdr:rowOff>53340</xdr:rowOff>
    </xdr:to>
    <xdr:graphicFrame macro="">
      <xdr:nvGraphicFramePr>
        <xdr:cNvPr id="2" name="Chart 1">
          <a:extLst>
            <a:ext uri="{FF2B5EF4-FFF2-40B4-BE49-F238E27FC236}">
              <a16:creationId xmlns:a16="http://schemas.microsoft.com/office/drawing/2014/main" id="{AE295360-3688-4317-9104-FCDDB56E80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Dell\Desktop\Upwork%20and%20Assirience%20work\Financial%20Modelling%20Whole\DCF_Discounted%20Cash%20Flow%20Model%20for%20Valu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me formulas"/>
      <sheetName val="Integrated FS"/>
      <sheetName val="WACC, Ke, Kd calc"/>
      <sheetName val="Goal Seek, data table, scen ana"/>
      <sheetName val="Scenario manager"/>
      <sheetName val="Scenario Summary "/>
      <sheetName val="Free Cashflows to Firm"/>
      <sheetName val="WACC"/>
      <sheetName val="PV of CF"/>
      <sheetName val="FV Perpetuity"/>
      <sheetName val="FV EBITDA"/>
      <sheetName val="NPV Formula"/>
      <sheetName val="DCF"/>
    </sheetNames>
    <sheetDataSet>
      <sheetData sheetId="0" refreshError="1"/>
      <sheetData sheetId="1"/>
      <sheetData sheetId="2">
        <row r="3">
          <cell r="C3">
            <v>0.04</v>
          </cell>
        </row>
        <row r="4">
          <cell r="C4">
            <v>0.1</v>
          </cell>
        </row>
        <row r="5">
          <cell r="C5">
            <v>1.25</v>
          </cell>
        </row>
        <row r="8">
          <cell r="C8">
            <v>0.14000000000000001</v>
          </cell>
        </row>
        <row r="9">
          <cell r="C9">
            <v>0.3</v>
          </cell>
        </row>
        <row r="12">
          <cell r="C12">
            <v>125000</v>
          </cell>
        </row>
        <row r="13">
          <cell r="C13">
            <v>125000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8B3F0-E5CB-48DF-A994-F051FDED54FD}">
  <sheetPr>
    <tabColor theme="0" tint="-0.249977111117893"/>
  </sheetPr>
  <dimension ref="B2:N43"/>
  <sheetViews>
    <sheetView showGridLines="0" topLeftCell="A20" workbookViewId="0">
      <selection activeCell="B46" sqref="B46"/>
    </sheetView>
  </sheetViews>
  <sheetFormatPr defaultRowHeight="14.4" x14ac:dyDescent="0.3"/>
  <cols>
    <col min="7" max="7" width="22.5546875" customWidth="1"/>
  </cols>
  <sheetData>
    <row r="2" spans="2:14" x14ac:dyDescent="0.3">
      <c r="B2" s="363" t="str">
        <f>"Assumptions for Valuation Modelling"&amp;" - "&amp;WACC!$B$12</f>
        <v>Assumptions for Valuation Modelling - Pakistan International Airlines</v>
      </c>
      <c r="C2" s="363"/>
      <c r="D2" s="363"/>
      <c r="E2" s="363"/>
      <c r="F2" s="363"/>
      <c r="G2" s="363"/>
    </row>
    <row r="4" spans="2:14" x14ac:dyDescent="0.3">
      <c r="B4" s="301" t="s">
        <v>286</v>
      </c>
      <c r="C4" s="301"/>
      <c r="D4" s="301"/>
      <c r="E4" s="301"/>
      <c r="F4" s="301"/>
      <c r="G4" s="301"/>
      <c r="H4" s="301"/>
      <c r="I4" s="301"/>
      <c r="J4" s="102"/>
      <c r="K4" s="102"/>
      <c r="L4" s="102"/>
      <c r="M4" s="102"/>
      <c r="N4" s="102"/>
    </row>
    <row r="5" spans="2:14" x14ac:dyDescent="0.3">
      <c r="B5" s="301"/>
      <c r="C5" s="301"/>
      <c r="D5" s="301"/>
      <c r="E5" s="301"/>
      <c r="F5" s="301"/>
      <c r="G5" s="301"/>
      <c r="H5" s="301"/>
      <c r="I5" s="301"/>
      <c r="J5" s="102"/>
      <c r="K5" s="102"/>
      <c r="L5" s="102"/>
      <c r="M5" s="102"/>
      <c r="N5" s="102"/>
    </row>
    <row r="6" spans="2:14" x14ac:dyDescent="0.3">
      <c r="B6" s="301" t="s">
        <v>287</v>
      </c>
      <c r="C6" s="301"/>
      <c r="D6" s="301"/>
      <c r="E6" s="301"/>
      <c r="F6" s="301"/>
      <c r="G6" s="301"/>
      <c r="H6" s="301"/>
      <c r="I6" s="301"/>
      <c r="J6" s="102"/>
      <c r="K6" s="102"/>
      <c r="L6" s="102"/>
      <c r="M6" s="102"/>
      <c r="N6" s="102"/>
    </row>
    <row r="7" spans="2:14" x14ac:dyDescent="0.3">
      <c r="B7" s="301"/>
      <c r="C7" s="301"/>
      <c r="D7" s="301"/>
      <c r="E7" s="301"/>
      <c r="F7" s="301"/>
      <c r="G7" s="301"/>
      <c r="H7" s="301"/>
      <c r="I7" s="301"/>
      <c r="J7" s="102"/>
      <c r="K7" s="102"/>
      <c r="L7" s="102"/>
      <c r="M7" s="102"/>
      <c r="N7" s="102"/>
    </row>
    <row r="8" spans="2:14" x14ac:dyDescent="0.3">
      <c r="B8" s="301" t="s">
        <v>369</v>
      </c>
      <c r="C8" s="301"/>
      <c r="D8" s="301"/>
      <c r="E8" s="301"/>
      <c r="F8" s="301"/>
      <c r="G8" s="301"/>
      <c r="H8" s="301"/>
      <c r="I8" s="301"/>
      <c r="J8" s="102"/>
      <c r="K8" s="102"/>
      <c r="L8" s="102"/>
      <c r="M8" s="102"/>
      <c r="N8" s="102"/>
    </row>
    <row r="9" spans="2:14" x14ac:dyDescent="0.3">
      <c r="B9" s="301"/>
      <c r="C9" s="301"/>
      <c r="D9" s="301"/>
      <c r="E9" s="301"/>
      <c r="F9" s="301"/>
      <c r="G9" s="301"/>
      <c r="H9" s="301"/>
      <c r="I9" s="301"/>
      <c r="J9" s="102"/>
      <c r="K9" s="102"/>
      <c r="L9" s="102"/>
      <c r="M9" s="102"/>
      <c r="N9" s="102"/>
    </row>
    <row r="10" spans="2:14" x14ac:dyDescent="0.3">
      <c r="B10" s="301" t="s">
        <v>438</v>
      </c>
      <c r="C10" s="301"/>
      <c r="D10" s="301"/>
      <c r="E10" s="301"/>
      <c r="F10" s="301"/>
      <c r="G10" s="301"/>
      <c r="H10" s="301"/>
      <c r="I10" s="301"/>
      <c r="J10" s="102"/>
      <c r="K10" s="102"/>
      <c r="L10" s="102"/>
      <c r="M10" s="102"/>
      <c r="N10" s="102"/>
    </row>
    <row r="11" spans="2:14" x14ac:dyDescent="0.3">
      <c r="B11" s="301"/>
      <c r="C11" s="301"/>
      <c r="D11" s="301"/>
      <c r="E11" s="301"/>
      <c r="F11" s="301"/>
      <c r="G11" s="301"/>
      <c r="H11" s="301"/>
      <c r="I11" s="301"/>
      <c r="J11" s="102"/>
      <c r="K11" s="102"/>
      <c r="L11" s="102"/>
      <c r="M11" s="102"/>
      <c r="N11" s="102"/>
    </row>
    <row r="12" spans="2:14" x14ac:dyDescent="0.3">
      <c r="B12" s="301" t="s">
        <v>439</v>
      </c>
      <c r="C12" s="301"/>
      <c r="D12" s="301"/>
      <c r="E12" s="301"/>
      <c r="F12" s="301"/>
      <c r="G12" s="301"/>
      <c r="H12" s="301"/>
      <c r="I12" s="301"/>
      <c r="J12" s="102"/>
      <c r="K12" s="102"/>
      <c r="L12" s="102"/>
      <c r="M12" s="102"/>
      <c r="N12" s="102"/>
    </row>
    <row r="13" spans="2:14" x14ac:dyDescent="0.3">
      <c r="B13" s="301"/>
      <c r="C13" s="301"/>
      <c r="D13" s="301"/>
      <c r="E13" s="301"/>
      <c r="F13" s="301"/>
      <c r="G13" s="301"/>
      <c r="H13" s="301"/>
      <c r="I13" s="301"/>
      <c r="J13" s="102"/>
      <c r="K13" s="102"/>
      <c r="L13" s="102"/>
      <c r="M13" s="102"/>
      <c r="N13" s="102"/>
    </row>
    <row r="14" spans="2:14" x14ac:dyDescent="0.3">
      <c r="B14" s="301" t="s">
        <v>434</v>
      </c>
      <c r="C14" s="301"/>
      <c r="D14" s="301"/>
      <c r="E14" s="301"/>
      <c r="F14" s="301"/>
      <c r="G14" s="301"/>
      <c r="H14" s="301"/>
      <c r="I14" s="301"/>
      <c r="J14" s="102"/>
      <c r="K14" s="102"/>
      <c r="L14" s="102"/>
      <c r="M14" s="102"/>
      <c r="N14" s="102"/>
    </row>
    <row r="15" spans="2:14" x14ac:dyDescent="0.3">
      <c r="B15" s="301"/>
      <c r="C15" s="301"/>
      <c r="D15" s="301"/>
      <c r="E15" s="301"/>
      <c r="F15" s="301"/>
      <c r="G15" s="301"/>
      <c r="H15" s="301"/>
      <c r="I15" s="301"/>
      <c r="J15" s="102"/>
      <c r="K15" s="102"/>
      <c r="L15" s="102"/>
      <c r="M15" s="102"/>
      <c r="N15" s="102"/>
    </row>
    <row r="16" spans="2:14" x14ac:dyDescent="0.3">
      <c r="B16" s="364" t="s">
        <v>290</v>
      </c>
      <c r="C16" s="364"/>
      <c r="D16" s="364"/>
      <c r="E16" s="364"/>
      <c r="F16" s="364"/>
      <c r="G16" s="364"/>
      <c r="H16" s="364"/>
      <c r="I16" s="364"/>
      <c r="J16" s="102"/>
      <c r="K16" s="102"/>
      <c r="L16" s="102"/>
      <c r="M16" s="102"/>
      <c r="N16" s="102"/>
    </row>
    <row r="17" spans="2:14" x14ac:dyDescent="0.3">
      <c r="B17" s="364"/>
      <c r="C17" s="364"/>
      <c r="D17" s="364"/>
      <c r="E17" s="364"/>
      <c r="F17" s="364"/>
      <c r="G17" s="364"/>
      <c r="H17" s="364"/>
      <c r="I17" s="364"/>
      <c r="J17" s="102"/>
      <c r="K17" s="102"/>
      <c r="L17" s="102"/>
      <c r="M17" s="102"/>
      <c r="N17" s="102"/>
    </row>
    <row r="18" spans="2:14" x14ac:dyDescent="0.3">
      <c r="B18" s="364"/>
      <c r="C18" s="364"/>
      <c r="D18" s="364"/>
      <c r="E18" s="364"/>
      <c r="F18" s="364"/>
      <c r="G18" s="364"/>
      <c r="H18" s="364"/>
      <c r="I18" s="364"/>
      <c r="J18" s="102"/>
      <c r="K18" s="102"/>
      <c r="L18" s="102"/>
      <c r="M18" s="102"/>
      <c r="N18" s="102"/>
    </row>
    <row r="19" spans="2:14" x14ac:dyDescent="0.3">
      <c r="B19" s="364"/>
      <c r="C19" s="364"/>
      <c r="D19" s="364"/>
      <c r="E19" s="364"/>
      <c r="F19" s="364"/>
      <c r="G19" s="364"/>
      <c r="H19" s="364"/>
      <c r="I19" s="364"/>
      <c r="J19" s="102"/>
      <c r="K19" s="102"/>
      <c r="L19" s="102"/>
      <c r="M19" s="102"/>
      <c r="N19" s="102"/>
    </row>
    <row r="20" spans="2:14" x14ac:dyDescent="0.3">
      <c r="B20" s="364"/>
      <c r="C20" s="364"/>
      <c r="D20" s="364"/>
      <c r="E20" s="364"/>
      <c r="F20" s="364"/>
      <c r="G20" s="364"/>
      <c r="H20" s="364"/>
      <c r="I20" s="364"/>
      <c r="J20" s="102"/>
      <c r="K20" s="102"/>
      <c r="L20" s="102"/>
      <c r="M20" s="102"/>
      <c r="N20" s="102"/>
    </row>
    <row r="21" spans="2:14" x14ac:dyDescent="0.3">
      <c r="B21" s="302"/>
      <c r="C21" s="302"/>
      <c r="D21" s="302"/>
      <c r="E21" s="302"/>
      <c r="F21" s="302"/>
      <c r="G21" s="302"/>
      <c r="H21" s="302"/>
      <c r="I21" s="302"/>
      <c r="J21" s="102"/>
      <c r="K21" s="102"/>
      <c r="L21" s="102"/>
      <c r="M21" s="102"/>
      <c r="N21" s="102"/>
    </row>
    <row r="22" spans="2:14" x14ac:dyDescent="0.3">
      <c r="B22" s="301" t="s">
        <v>289</v>
      </c>
      <c r="C22" s="301"/>
      <c r="D22" s="301"/>
      <c r="E22" s="301"/>
      <c r="F22" s="301"/>
      <c r="G22" s="301"/>
      <c r="H22" s="301"/>
      <c r="I22" s="301"/>
      <c r="J22" s="102"/>
      <c r="K22" s="102"/>
      <c r="L22" s="102"/>
      <c r="M22" s="102"/>
      <c r="N22" s="102"/>
    </row>
    <row r="23" spans="2:14" x14ac:dyDescent="0.3">
      <c r="B23" s="301"/>
      <c r="C23" s="301"/>
      <c r="D23" s="301"/>
      <c r="E23" s="301"/>
      <c r="F23" s="301"/>
      <c r="G23" s="301"/>
      <c r="H23" s="301"/>
      <c r="I23" s="301"/>
      <c r="J23" s="102"/>
      <c r="K23" s="102"/>
      <c r="L23" s="102"/>
      <c r="M23" s="102"/>
      <c r="N23" s="102"/>
    </row>
    <row r="24" spans="2:14" x14ac:dyDescent="0.3">
      <c r="B24" s="301" t="s">
        <v>288</v>
      </c>
      <c r="C24" s="301"/>
      <c r="D24" s="301"/>
      <c r="E24" s="301"/>
      <c r="F24" s="301"/>
      <c r="G24" s="301"/>
      <c r="H24" s="301"/>
      <c r="I24" s="301"/>
      <c r="J24" s="102"/>
      <c r="K24" s="102"/>
      <c r="L24" s="102"/>
      <c r="M24" s="102"/>
      <c r="N24" s="102"/>
    </row>
    <row r="25" spans="2:14" x14ac:dyDescent="0.3">
      <c r="B25" s="301"/>
      <c r="C25" s="301"/>
      <c r="D25" s="301"/>
      <c r="E25" s="301"/>
      <c r="F25" s="301"/>
      <c r="G25" s="301"/>
      <c r="H25" s="301"/>
      <c r="I25" s="301"/>
      <c r="J25" s="102"/>
      <c r="K25" s="102"/>
      <c r="L25" s="102"/>
      <c r="M25" s="102"/>
      <c r="N25" s="102"/>
    </row>
    <row r="26" spans="2:14" x14ac:dyDescent="0.3">
      <c r="B26" s="301" t="s">
        <v>435</v>
      </c>
      <c r="C26" s="301"/>
      <c r="D26" s="301"/>
      <c r="E26" s="301"/>
      <c r="F26" s="301"/>
      <c r="G26" s="301"/>
      <c r="H26" s="301"/>
      <c r="I26" s="301"/>
      <c r="J26" s="102"/>
      <c r="K26" s="102"/>
      <c r="L26" s="102"/>
      <c r="M26" s="102"/>
      <c r="N26" s="102"/>
    </row>
    <row r="27" spans="2:14" x14ac:dyDescent="0.3">
      <c r="B27" s="301"/>
      <c r="C27" s="301"/>
      <c r="D27" s="301"/>
      <c r="E27" s="301"/>
      <c r="F27" s="301"/>
      <c r="G27" s="301"/>
      <c r="H27" s="301"/>
      <c r="I27" s="301"/>
      <c r="J27" s="102"/>
      <c r="K27" s="102"/>
      <c r="L27" s="102"/>
      <c r="M27" s="102"/>
      <c r="N27" s="102"/>
    </row>
    <row r="28" spans="2:14" x14ac:dyDescent="0.3">
      <c r="B28" s="301" t="s">
        <v>436</v>
      </c>
      <c r="C28" s="301"/>
      <c r="D28" s="301"/>
      <c r="E28" s="301"/>
      <c r="F28" s="301"/>
      <c r="G28" s="301"/>
      <c r="H28" s="301"/>
      <c r="I28" s="301"/>
      <c r="J28" s="102"/>
      <c r="K28" s="102"/>
      <c r="L28" s="102"/>
      <c r="M28" s="102"/>
      <c r="N28" s="102"/>
    </row>
    <row r="29" spans="2:14" x14ac:dyDescent="0.3">
      <c r="B29" s="301"/>
      <c r="C29" s="301"/>
      <c r="D29" s="301"/>
      <c r="E29" s="301"/>
      <c r="F29" s="301"/>
      <c r="G29" s="301"/>
      <c r="H29" s="301"/>
      <c r="I29" s="301"/>
      <c r="J29" s="102"/>
      <c r="K29" s="102"/>
      <c r="L29" s="102"/>
      <c r="M29" s="102"/>
      <c r="N29" s="102"/>
    </row>
    <row r="30" spans="2:14" x14ac:dyDescent="0.3">
      <c r="B30" s="301" t="s">
        <v>437</v>
      </c>
      <c r="C30" s="301"/>
      <c r="D30" s="301"/>
      <c r="E30" s="301"/>
      <c r="F30" s="301"/>
      <c r="G30" s="301"/>
      <c r="H30" s="301"/>
      <c r="I30" s="301"/>
      <c r="J30" s="102"/>
      <c r="K30" s="102"/>
      <c r="L30" s="102"/>
      <c r="M30" s="102"/>
      <c r="N30" s="102"/>
    </row>
    <row r="31" spans="2:14" x14ac:dyDescent="0.3">
      <c r="B31" s="301"/>
      <c r="C31" s="301"/>
      <c r="D31" s="301"/>
      <c r="E31" s="301"/>
      <c r="F31" s="301"/>
      <c r="G31" s="301"/>
      <c r="H31" s="301"/>
      <c r="I31" s="301"/>
      <c r="J31" s="102"/>
      <c r="K31" s="102"/>
      <c r="L31" s="102"/>
      <c r="M31" s="102"/>
      <c r="N31" s="102"/>
    </row>
    <row r="32" spans="2:14" x14ac:dyDescent="0.3">
      <c r="B32" s="301" t="s">
        <v>440</v>
      </c>
      <c r="C32" s="301"/>
      <c r="D32" s="301"/>
      <c r="E32" s="301"/>
      <c r="F32" s="301"/>
      <c r="G32" s="301"/>
      <c r="H32" s="301"/>
      <c r="I32" s="301"/>
      <c r="J32" s="102"/>
      <c r="K32" s="102"/>
      <c r="L32" s="102"/>
      <c r="M32" s="102"/>
      <c r="N32" s="102"/>
    </row>
    <row r="33" spans="2:14" x14ac:dyDescent="0.3">
      <c r="B33" s="301"/>
      <c r="C33" s="301"/>
      <c r="D33" s="301"/>
      <c r="E33" s="301"/>
      <c r="F33" s="301"/>
      <c r="G33" s="301"/>
      <c r="H33" s="301"/>
      <c r="I33" s="301"/>
      <c r="J33" s="102"/>
      <c r="K33" s="102"/>
      <c r="L33" s="102"/>
      <c r="M33" s="102"/>
      <c r="N33" s="102"/>
    </row>
    <row r="34" spans="2:14" x14ac:dyDescent="0.3">
      <c r="B34" s="364" t="s">
        <v>441</v>
      </c>
      <c r="C34" s="364"/>
      <c r="D34" s="364"/>
      <c r="E34" s="364"/>
      <c r="F34" s="364"/>
      <c r="G34" s="364"/>
      <c r="H34" s="364"/>
      <c r="I34" s="364"/>
      <c r="J34" s="364"/>
      <c r="K34" s="364"/>
      <c r="L34" s="102"/>
      <c r="M34" s="102"/>
      <c r="N34" s="102"/>
    </row>
    <row r="35" spans="2:14" x14ac:dyDescent="0.3">
      <c r="B35" s="364"/>
      <c r="C35" s="364"/>
      <c r="D35" s="364"/>
      <c r="E35" s="364"/>
      <c r="F35" s="364"/>
      <c r="G35" s="364"/>
      <c r="H35" s="364"/>
      <c r="I35" s="364"/>
      <c r="J35" s="364"/>
      <c r="K35" s="364"/>
      <c r="L35" s="102"/>
      <c r="M35" s="102"/>
      <c r="N35" s="102"/>
    </row>
    <row r="36" spans="2:14" x14ac:dyDescent="0.3">
      <c r="B36" s="301"/>
      <c r="C36" s="301"/>
      <c r="D36" s="301"/>
      <c r="E36" s="301"/>
      <c r="F36" s="301"/>
      <c r="G36" s="301"/>
      <c r="H36" s="301"/>
      <c r="I36" s="301"/>
      <c r="J36" s="102"/>
      <c r="K36" s="102"/>
      <c r="L36" s="102"/>
      <c r="M36" s="102"/>
      <c r="N36" s="102"/>
    </row>
    <row r="37" spans="2:14" x14ac:dyDescent="0.3">
      <c r="B37" s="301" t="s">
        <v>442</v>
      </c>
      <c r="C37" s="301"/>
      <c r="D37" s="301"/>
      <c r="E37" s="301"/>
      <c r="F37" s="301"/>
      <c r="G37" s="301"/>
      <c r="H37" s="301"/>
      <c r="I37" s="301"/>
      <c r="J37" s="102"/>
      <c r="K37" s="102"/>
      <c r="L37" s="102"/>
      <c r="M37" s="102"/>
      <c r="N37" s="102"/>
    </row>
    <row r="38" spans="2:14" x14ac:dyDescent="0.3">
      <c r="B38" s="301"/>
      <c r="C38" s="301"/>
      <c r="D38" s="301"/>
      <c r="E38" s="301"/>
      <c r="F38" s="301"/>
      <c r="G38" s="301"/>
      <c r="H38" s="301"/>
      <c r="I38" s="301"/>
      <c r="J38" s="102"/>
      <c r="K38" s="102"/>
      <c r="L38" s="102"/>
      <c r="M38" s="102"/>
      <c r="N38" s="102"/>
    </row>
    <row r="39" spans="2:14" x14ac:dyDescent="0.3">
      <c r="B39" s="364" t="s">
        <v>445</v>
      </c>
      <c r="C39" s="364"/>
      <c r="D39" s="364"/>
      <c r="E39" s="364"/>
      <c r="F39" s="364"/>
      <c r="G39" s="364"/>
      <c r="H39" s="364"/>
      <c r="I39" s="364"/>
      <c r="J39" s="364"/>
      <c r="K39" s="364"/>
      <c r="L39" s="364"/>
      <c r="M39" s="102"/>
      <c r="N39" s="102"/>
    </row>
    <row r="40" spans="2:14" x14ac:dyDescent="0.3">
      <c r="B40" s="364"/>
      <c r="C40" s="364"/>
      <c r="D40" s="364"/>
      <c r="E40" s="364"/>
      <c r="F40" s="364"/>
      <c r="G40" s="364"/>
      <c r="H40" s="364"/>
      <c r="I40" s="364"/>
      <c r="J40" s="364"/>
      <c r="K40" s="364"/>
      <c r="L40" s="364"/>
      <c r="M40" s="102"/>
      <c r="N40" s="102"/>
    </row>
    <row r="41" spans="2:14" x14ac:dyDescent="0.3">
      <c r="B41" s="301"/>
      <c r="C41" s="301"/>
      <c r="D41" s="301"/>
      <c r="E41" s="301"/>
      <c r="F41" s="301"/>
      <c r="G41" s="301"/>
      <c r="H41" s="301"/>
      <c r="I41" s="301"/>
      <c r="J41" s="102"/>
      <c r="K41" s="102"/>
      <c r="L41" s="102"/>
      <c r="M41" s="102"/>
      <c r="N41" s="102"/>
    </row>
    <row r="42" spans="2:14" x14ac:dyDescent="0.3">
      <c r="B42" s="364" t="s">
        <v>444</v>
      </c>
      <c r="C42" s="364"/>
      <c r="D42" s="364"/>
      <c r="E42" s="364"/>
      <c r="F42" s="364"/>
      <c r="G42" s="364"/>
      <c r="H42" s="364"/>
      <c r="I42" s="364"/>
      <c r="J42" s="364"/>
      <c r="K42" s="364"/>
      <c r="L42" s="364"/>
      <c r="M42" s="364"/>
      <c r="N42" s="364"/>
    </row>
    <row r="43" spans="2:14" x14ac:dyDescent="0.3">
      <c r="B43" s="364"/>
      <c r="C43" s="364"/>
      <c r="D43" s="364"/>
      <c r="E43" s="364"/>
      <c r="F43" s="364"/>
      <c r="G43" s="364"/>
      <c r="H43" s="364"/>
      <c r="I43" s="364"/>
      <c r="J43" s="364"/>
      <c r="K43" s="364"/>
      <c r="L43" s="364"/>
      <c r="M43" s="364"/>
      <c r="N43" s="364"/>
    </row>
  </sheetData>
  <mergeCells count="5">
    <mergeCell ref="B2:G2"/>
    <mergeCell ref="B16:I20"/>
    <mergeCell ref="B39:L40"/>
    <mergeCell ref="B34:K35"/>
    <mergeCell ref="B42:N4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5CC6A-F364-445C-8C6B-425D9520A842}">
  <dimension ref="B2:R21"/>
  <sheetViews>
    <sheetView showGridLines="0" workbookViewId="0">
      <selection activeCell="B3" sqref="B3:R21"/>
    </sheetView>
  </sheetViews>
  <sheetFormatPr defaultRowHeight="14.4" x14ac:dyDescent="0.3"/>
  <cols>
    <col min="3" max="3" width="33" customWidth="1"/>
  </cols>
  <sheetData>
    <row r="2" spans="2:18" x14ac:dyDescent="0.3">
      <c r="B2" s="363" t="str">
        <f>"Selection of the Peer Companies"&amp;" - "&amp;WACC!$B$12</f>
        <v>Selection of the Peer Companies - Pakistan International Airlines</v>
      </c>
      <c r="C2" s="363"/>
      <c r="D2" s="363"/>
      <c r="E2" s="363"/>
      <c r="F2" s="363"/>
    </row>
    <row r="3" spans="2:18" ht="14.4" customHeight="1" x14ac:dyDescent="0.3">
      <c r="B3" s="365" t="s">
        <v>368</v>
      </c>
      <c r="C3" s="365"/>
      <c r="D3" s="365"/>
      <c r="E3" s="365"/>
      <c r="F3" s="365"/>
      <c r="G3" s="365"/>
      <c r="H3" s="365"/>
      <c r="I3" s="365"/>
      <c r="J3" s="365"/>
      <c r="K3" s="365"/>
      <c r="L3" s="365"/>
      <c r="M3" s="365"/>
      <c r="N3" s="365"/>
      <c r="O3" s="365"/>
      <c r="P3" s="365"/>
      <c r="Q3" s="365"/>
      <c r="R3" s="365"/>
    </row>
    <row r="4" spans="2:18" x14ac:dyDescent="0.3">
      <c r="B4" s="365"/>
      <c r="C4" s="365"/>
      <c r="D4" s="365"/>
      <c r="E4" s="365"/>
      <c r="F4" s="365"/>
      <c r="G4" s="365"/>
      <c r="H4" s="365"/>
      <c r="I4" s="365"/>
      <c r="J4" s="365"/>
      <c r="K4" s="365"/>
      <c r="L4" s="365"/>
      <c r="M4" s="365"/>
      <c r="N4" s="365"/>
      <c r="O4" s="365"/>
      <c r="P4" s="365"/>
      <c r="Q4" s="365"/>
      <c r="R4" s="365"/>
    </row>
    <row r="5" spans="2:18" x14ac:dyDescent="0.3">
      <c r="B5" s="365"/>
      <c r="C5" s="365"/>
      <c r="D5" s="365"/>
      <c r="E5" s="365"/>
      <c r="F5" s="365"/>
      <c r="G5" s="365"/>
      <c r="H5" s="365"/>
      <c r="I5" s="365"/>
      <c r="J5" s="365"/>
      <c r="K5" s="365"/>
      <c r="L5" s="365"/>
      <c r="M5" s="365"/>
      <c r="N5" s="365"/>
      <c r="O5" s="365"/>
      <c r="P5" s="365"/>
      <c r="Q5" s="365"/>
      <c r="R5" s="365"/>
    </row>
    <row r="6" spans="2:18" x14ac:dyDescent="0.3">
      <c r="B6" s="365"/>
      <c r="C6" s="365"/>
      <c r="D6" s="365"/>
      <c r="E6" s="365"/>
      <c r="F6" s="365"/>
      <c r="G6" s="365"/>
      <c r="H6" s="365"/>
      <c r="I6" s="365"/>
      <c r="J6" s="365"/>
      <c r="K6" s="365"/>
      <c r="L6" s="365"/>
      <c r="M6" s="365"/>
      <c r="N6" s="365"/>
      <c r="O6" s="365"/>
      <c r="P6" s="365"/>
      <c r="Q6" s="365"/>
      <c r="R6" s="365"/>
    </row>
    <row r="7" spans="2:18" x14ac:dyDescent="0.3">
      <c r="B7" s="365"/>
      <c r="C7" s="365"/>
      <c r="D7" s="365"/>
      <c r="E7" s="365"/>
      <c r="F7" s="365"/>
      <c r="G7" s="365"/>
      <c r="H7" s="365"/>
      <c r="I7" s="365"/>
      <c r="J7" s="365"/>
      <c r="K7" s="365"/>
      <c r="L7" s="365"/>
      <c r="M7" s="365"/>
      <c r="N7" s="365"/>
      <c r="O7" s="365"/>
      <c r="P7" s="365"/>
      <c r="Q7" s="365"/>
      <c r="R7" s="365"/>
    </row>
    <row r="8" spans="2:18" x14ac:dyDescent="0.3">
      <c r="B8" s="365"/>
      <c r="C8" s="365"/>
      <c r="D8" s="365"/>
      <c r="E8" s="365"/>
      <c r="F8" s="365"/>
      <c r="G8" s="365"/>
      <c r="H8" s="365"/>
      <c r="I8" s="365"/>
      <c r="J8" s="365"/>
      <c r="K8" s="365"/>
      <c r="L8" s="365"/>
      <c r="M8" s="365"/>
      <c r="N8" s="365"/>
      <c r="O8" s="365"/>
      <c r="P8" s="365"/>
      <c r="Q8" s="365"/>
      <c r="R8" s="365"/>
    </row>
    <row r="9" spans="2:18" x14ac:dyDescent="0.3">
      <c r="B9" s="365"/>
      <c r="C9" s="365"/>
      <c r="D9" s="365"/>
      <c r="E9" s="365"/>
      <c r="F9" s="365"/>
      <c r="G9" s="365"/>
      <c r="H9" s="365"/>
      <c r="I9" s="365"/>
      <c r="J9" s="365"/>
      <c r="K9" s="365"/>
      <c r="L9" s="365"/>
      <c r="M9" s="365"/>
      <c r="N9" s="365"/>
      <c r="O9" s="365"/>
      <c r="P9" s="365"/>
      <c r="Q9" s="365"/>
      <c r="R9" s="365"/>
    </row>
    <row r="10" spans="2:18" x14ac:dyDescent="0.3">
      <c r="B10" s="365"/>
      <c r="C10" s="365"/>
      <c r="D10" s="365"/>
      <c r="E10" s="365"/>
      <c r="F10" s="365"/>
      <c r="G10" s="365"/>
      <c r="H10" s="365"/>
      <c r="I10" s="365"/>
      <c r="J10" s="365"/>
      <c r="K10" s="365"/>
      <c r="L10" s="365"/>
      <c r="M10" s="365"/>
      <c r="N10" s="365"/>
      <c r="O10" s="365"/>
      <c r="P10" s="365"/>
      <c r="Q10" s="365"/>
      <c r="R10" s="365"/>
    </row>
    <row r="11" spans="2:18" x14ac:dyDescent="0.3">
      <c r="B11" s="365"/>
      <c r="C11" s="365"/>
      <c r="D11" s="365"/>
      <c r="E11" s="365"/>
      <c r="F11" s="365"/>
      <c r="G11" s="365"/>
      <c r="H11" s="365"/>
      <c r="I11" s="365"/>
      <c r="J11" s="365"/>
      <c r="K11" s="365"/>
      <c r="L11" s="365"/>
      <c r="M11" s="365"/>
      <c r="N11" s="365"/>
      <c r="O11" s="365"/>
      <c r="P11" s="365"/>
      <c r="Q11" s="365"/>
      <c r="R11" s="365"/>
    </row>
    <row r="12" spans="2:18" x14ac:dyDescent="0.3">
      <c r="B12" s="365"/>
      <c r="C12" s="365"/>
      <c r="D12" s="365"/>
      <c r="E12" s="365"/>
      <c r="F12" s="365"/>
      <c r="G12" s="365"/>
      <c r="H12" s="365"/>
      <c r="I12" s="365"/>
      <c r="J12" s="365"/>
      <c r="K12" s="365"/>
      <c r="L12" s="365"/>
      <c r="M12" s="365"/>
      <c r="N12" s="365"/>
      <c r="O12" s="365"/>
      <c r="P12" s="365"/>
      <c r="Q12" s="365"/>
      <c r="R12" s="365"/>
    </row>
    <row r="13" spans="2:18" x14ac:dyDescent="0.3">
      <c r="B13" s="365"/>
      <c r="C13" s="365"/>
      <c r="D13" s="365"/>
      <c r="E13" s="365"/>
      <c r="F13" s="365"/>
      <c r="G13" s="365"/>
      <c r="H13" s="365"/>
      <c r="I13" s="365"/>
      <c r="J13" s="365"/>
      <c r="K13" s="365"/>
      <c r="L13" s="365"/>
      <c r="M13" s="365"/>
      <c r="N13" s="365"/>
      <c r="O13" s="365"/>
      <c r="P13" s="365"/>
      <c r="Q13" s="365"/>
      <c r="R13" s="365"/>
    </row>
    <row r="14" spans="2:18" x14ac:dyDescent="0.3">
      <c r="B14" s="365"/>
      <c r="C14" s="365"/>
      <c r="D14" s="365"/>
      <c r="E14" s="365"/>
      <c r="F14" s="365"/>
      <c r="G14" s="365"/>
      <c r="H14" s="365"/>
      <c r="I14" s="365"/>
      <c r="J14" s="365"/>
      <c r="K14" s="365"/>
      <c r="L14" s="365"/>
      <c r="M14" s="365"/>
      <c r="N14" s="365"/>
      <c r="O14" s="365"/>
      <c r="P14" s="365"/>
      <c r="Q14" s="365"/>
      <c r="R14" s="365"/>
    </row>
    <row r="15" spans="2:18" x14ac:dyDescent="0.3">
      <c r="B15" s="365"/>
      <c r="C15" s="365"/>
      <c r="D15" s="365"/>
      <c r="E15" s="365"/>
      <c r="F15" s="365"/>
      <c r="G15" s="365"/>
      <c r="H15" s="365"/>
      <c r="I15" s="365"/>
      <c r="J15" s="365"/>
      <c r="K15" s="365"/>
      <c r="L15" s="365"/>
      <c r="M15" s="365"/>
      <c r="N15" s="365"/>
      <c r="O15" s="365"/>
      <c r="P15" s="365"/>
      <c r="Q15" s="365"/>
      <c r="R15" s="365"/>
    </row>
    <row r="16" spans="2:18" x14ac:dyDescent="0.3">
      <c r="B16" s="365"/>
      <c r="C16" s="365"/>
      <c r="D16" s="365"/>
      <c r="E16" s="365"/>
      <c r="F16" s="365"/>
      <c r="G16" s="365"/>
      <c r="H16" s="365"/>
      <c r="I16" s="365"/>
      <c r="J16" s="365"/>
      <c r="K16" s="365"/>
      <c r="L16" s="365"/>
      <c r="M16" s="365"/>
      <c r="N16" s="365"/>
      <c r="O16" s="365"/>
      <c r="P16" s="365"/>
      <c r="Q16" s="365"/>
      <c r="R16" s="365"/>
    </row>
    <row r="17" spans="2:18" x14ac:dyDescent="0.3">
      <c r="B17" s="365"/>
      <c r="C17" s="365"/>
      <c r="D17" s="365"/>
      <c r="E17" s="365"/>
      <c r="F17" s="365"/>
      <c r="G17" s="365"/>
      <c r="H17" s="365"/>
      <c r="I17" s="365"/>
      <c r="J17" s="365"/>
      <c r="K17" s="365"/>
      <c r="L17" s="365"/>
      <c r="M17" s="365"/>
      <c r="N17" s="365"/>
      <c r="O17" s="365"/>
      <c r="P17" s="365"/>
      <c r="Q17" s="365"/>
      <c r="R17" s="365"/>
    </row>
    <row r="18" spans="2:18" x14ac:dyDescent="0.3">
      <c r="B18" s="365"/>
      <c r="C18" s="365"/>
      <c r="D18" s="365"/>
      <c r="E18" s="365"/>
      <c r="F18" s="365"/>
      <c r="G18" s="365"/>
      <c r="H18" s="365"/>
      <c r="I18" s="365"/>
      <c r="J18" s="365"/>
      <c r="K18" s="365"/>
      <c r="L18" s="365"/>
      <c r="M18" s="365"/>
      <c r="N18" s="365"/>
      <c r="O18" s="365"/>
      <c r="P18" s="365"/>
      <c r="Q18" s="365"/>
      <c r="R18" s="365"/>
    </row>
    <row r="19" spans="2:18" x14ac:dyDescent="0.3">
      <c r="B19" s="365"/>
      <c r="C19" s="365"/>
      <c r="D19" s="365"/>
      <c r="E19" s="365"/>
      <c r="F19" s="365"/>
      <c r="G19" s="365"/>
      <c r="H19" s="365"/>
      <c r="I19" s="365"/>
      <c r="J19" s="365"/>
      <c r="K19" s="365"/>
      <c r="L19" s="365"/>
      <c r="M19" s="365"/>
      <c r="N19" s="365"/>
      <c r="O19" s="365"/>
      <c r="P19" s="365"/>
      <c r="Q19" s="365"/>
      <c r="R19" s="365"/>
    </row>
    <row r="20" spans="2:18" x14ac:dyDescent="0.3">
      <c r="B20" s="365"/>
      <c r="C20" s="365"/>
      <c r="D20" s="365"/>
      <c r="E20" s="365"/>
      <c r="F20" s="365"/>
      <c r="G20" s="365"/>
      <c r="H20" s="365"/>
      <c r="I20" s="365"/>
      <c r="J20" s="365"/>
      <c r="K20" s="365"/>
      <c r="L20" s="365"/>
      <c r="M20" s="365"/>
      <c r="N20" s="365"/>
      <c r="O20" s="365"/>
      <c r="P20" s="365"/>
      <c r="Q20" s="365"/>
      <c r="R20" s="365"/>
    </row>
    <row r="21" spans="2:18" x14ac:dyDescent="0.3">
      <c r="B21" s="365"/>
      <c r="C21" s="365"/>
      <c r="D21" s="365"/>
      <c r="E21" s="365"/>
      <c r="F21" s="365"/>
      <c r="G21" s="365"/>
      <c r="H21" s="365"/>
      <c r="I21" s="365"/>
      <c r="J21" s="365"/>
      <c r="K21" s="365"/>
      <c r="L21" s="365"/>
      <c r="M21" s="365"/>
      <c r="N21" s="365"/>
      <c r="O21" s="365"/>
      <c r="P21" s="365"/>
      <c r="Q21" s="365"/>
      <c r="R21" s="365"/>
    </row>
  </sheetData>
  <mergeCells count="2">
    <mergeCell ref="B3:R21"/>
    <mergeCell ref="B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2122D-70B3-4641-A328-F3DBD9D30E8D}">
  <dimension ref="B2:H35"/>
  <sheetViews>
    <sheetView showGridLines="0" workbookViewId="0">
      <selection activeCell="B1" sqref="B1"/>
    </sheetView>
  </sheetViews>
  <sheetFormatPr defaultRowHeight="14.4" x14ac:dyDescent="0.3"/>
  <cols>
    <col min="1" max="1" width="1.88671875" customWidth="1"/>
    <col min="2" max="2" width="53.88671875" customWidth="1"/>
    <col min="3" max="3" width="17.21875" bestFit="1" customWidth="1"/>
    <col min="4" max="4" width="29.88671875" customWidth="1"/>
    <col min="5" max="5" width="14.6640625" customWidth="1"/>
    <col min="7" max="7" width="12.44140625" customWidth="1"/>
  </cols>
  <sheetData>
    <row r="2" spans="2:8" x14ac:dyDescent="0.3">
      <c r="B2" s="363" t="str">
        <f>"Data Competitiors"&amp;" - "&amp;WACC!$B$12</f>
        <v>Data Competitiors - Pakistan International Airlines</v>
      </c>
      <c r="C2" s="363"/>
      <c r="D2" s="53"/>
      <c r="E2" s="53"/>
      <c r="F2" s="53"/>
      <c r="G2" s="53"/>
      <c r="H2" s="53"/>
    </row>
    <row r="5" spans="2:8" x14ac:dyDescent="0.3">
      <c r="B5" s="54"/>
      <c r="C5" s="367" t="s">
        <v>213</v>
      </c>
      <c r="D5" s="367"/>
      <c r="E5" s="54"/>
    </row>
    <row r="6" spans="2:8" x14ac:dyDescent="0.3">
      <c r="B6" s="56" t="s">
        <v>38</v>
      </c>
      <c r="C6" s="57" t="s">
        <v>39</v>
      </c>
      <c r="D6" s="57" t="s">
        <v>40</v>
      </c>
      <c r="E6" s="57" t="s">
        <v>32</v>
      </c>
      <c r="G6" s="58"/>
    </row>
    <row r="7" spans="2:8" x14ac:dyDescent="0.3">
      <c r="B7" s="9" t="s">
        <v>291</v>
      </c>
      <c r="C7" s="59">
        <f>'Raw BS'!J57/1000</f>
        <v>1427.2760000000001</v>
      </c>
      <c r="D7" s="59">
        <f>'Raw BS'!J59/1000</f>
        <v>-2270.8679999999999</v>
      </c>
      <c r="E7" s="38">
        <f>C7/D7</f>
        <v>-0.62851561605518247</v>
      </c>
      <c r="F7" s="60" t="s">
        <v>42</v>
      </c>
    </row>
    <row r="8" spans="2:8" x14ac:dyDescent="0.3">
      <c r="C8" s="59"/>
      <c r="D8" s="59"/>
      <c r="E8" s="38"/>
    </row>
    <row r="9" spans="2:8" x14ac:dyDescent="0.3">
      <c r="B9" t="s">
        <v>347</v>
      </c>
      <c r="C9" s="59">
        <f>'Raw Data for Relative Valuation'!I7</f>
        <v>14353.927000000001</v>
      </c>
      <c r="D9" s="59">
        <f>'Raw Data for Relative Valuation'!D7</f>
        <v>17942.039000000001</v>
      </c>
      <c r="E9" s="38">
        <f>C9/D9</f>
        <v>0.80001648642052337</v>
      </c>
    </row>
    <row r="10" spans="2:8" x14ac:dyDescent="0.3">
      <c r="B10" t="s">
        <v>351</v>
      </c>
      <c r="C10" s="59">
        <f>'Raw Data for Relative Valuation'!I8</f>
        <v>10220.48</v>
      </c>
      <c r="D10" s="59">
        <f>'Raw Data for Relative Valuation'!D8</f>
        <v>12726.2</v>
      </c>
      <c r="E10" s="38">
        <f>C10/D10</f>
        <v>0.80310540459838753</v>
      </c>
    </row>
    <row r="11" spans="2:8" x14ac:dyDescent="0.3">
      <c r="B11" t="s">
        <v>360</v>
      </c>
      <c r="C11" s="59">
        <f>'Raw Data for Relative Valuation'!I9</f>
        <v>3838</v>
      </c>
      <c r="D11" s="59">
        <f>'Raw Data for Relative Valuation'!D9</f>
        <v>-1410</v>
      </c>
      <c r="E11" s="38">
        <f>C11/D11</f>
        <v>-2.7219858156028369</v>
      </c>
    </row>
    <row r="12" spans="2:8" x14ac:dyDescent="0.3">
      <c r="B12" t="s">
        <v>387</v>
      </c>
      <c r="C12" s="59">
        <f>'Raw Data for Relative Valuation'!I10</f>
        <v>25277.7</v>
      </c>
      <c r="D12" s="59">
        <f>'Raw Data for Relative Valuation'!D10</f>
        <v>5714.6600000000008</v>
      </c>
      <c r="E12" s="38">
        <f>C12/D12</f>
        <v>4.4233077733408459</v>
      </c>
    </row>
    <row r="13" spans="2:8" ht="16.2" customHeight="1" x14ac:dyDescent="0.3">
      <c r="B13" t="s">
        <v>356</v>
      </c>
      <c r="C13" s="59">
        <f>'Raw Data for Relative Valuation'!I11</f>
        <v>28765.100000000002</v>
      </c>
      <c r="D13" s="59">
        <f>'Raw Data for Relative Valuation'!D11</f>
        <v>7777.8400000000011</v>
      </c>
      <c r="E13" s="38">
        <f>C13/D13</f>
        <v>3.6983404132766937</v>
      </c>
    </row>
    <row r="14" spans="2:8" x14ac:dyDescent="0.3">
      <c r="C14" s="3"/>
      <c r="D14" s="3"/>
      <c r="E14" s="38"/>
    </row>
    <row r="15" spans="2:8" x14ac:dyDescent="0.3">
      <c r="C15" s="3"/>
      <c r="D15" s="3"/>
      <c r="E15" s="38"/>
      <c r="G15" s="61"/>
    </row>
    <row r="16" spans="2:8" x14ac:dyDescent="0.3">
      <c r="C16" s="3"/>
      <c r="D16" s="3"/>
      <c r="E16" s="38"/>
    </row>
    <row r="18" spans="2:5" x14ac:dyDescent="0.3">
      <c r="B18" s="62" t="s">
        <v>41</v>
      </c>
    </row>
    <row r="19" spans="2:5" ht="14.4" customHeight="1" x14ac:dyDescent="0.3">
      <c r="B19" s="366" t="s">
        <v>375</v>
      </c>
      <c r="C19" s="366"/>
      <c r="D19" s="366"/>
      <c r="E19" s="366"/>
    </row>
    <row r="20" spans="2:5" x14ac:dyDescent="0.3">
      <c r="B20" s="366"/>
      <c r="C20" s="366"/>
      <c r="D20" s="366"/>
      <c r="E20" s="366"/>
    </row>
    <row r="21" spans="2:5" x14ac:dyDescent="0.3">
      <c r="B21" s="366"/>
      <c r="C21" s="366"/>
      <c r="D21" s="366"/>
      <c r="E21" s="366"/>
    </row>
    <row r="22" spans="2:5" x14ac:dyDescent="0.3">
      <c r="B22" s="366"/>
      <c r="C22" s="366"/>
      <c r="D22" s="366"/>
      <c r="E22" s="366"/>
    </row>
    <row r="23" spans="2:5" x14ac:dyDescent="0.3">
      <c r="B23" s="366"/>
      <c r="C23" s="366"/>
      <c r="D23" s="366"/>
      <c r="E23" s="366"/>
    </row>
    <row r="24" spans="2:5" x14ac:dyDescent="0.3">
      <c r="B24" s="366"/>
      <c r="C24" s="366"/>
      <c r="D24" s="366"/>
      <c r="E24" s="366"/>
    </row>
    <row r="27" spans="2:5" x14ac:dyDescent="0.3">
      <c r="B27" s="177" t="s">
        <v>374</v>
      </c>
    </row>
    <row r="28" spans="2:5" x14ac:dyDescent="0.3">
      <c r="B28" s="366" t="s">
        <v>373</v>
      </c>
      <c r="C28" s="366"/>
      <c r="D28" s="366"/>
      <c r="E28" s="366"/>
    </row>
    <row r="29" spans="2:5" x14ac:dyDescent="0.3">
      <c r="B29" s="366"/>
      <c r="C29" s="366"/>
      <c r="D29" s="366"/>
      <c r="E29" s="366"/>
    </row>
    <row r="30" spans="2:5" x14ac:dyDescent="0.3">
      <c r="B30" s="366"/>
      <c r="C30" s="366"/>
      <c r="D30" s="366"/>
      <c r="E30" s="366"/>
    </row>
    <row r="31" spans="2:5" x14ac:dyDescent="0.3">
      <c r="B31" s="366"/>
      <c r="C31" s="366"/>
      <c r="D31" s="366"/>
      <c r="E31" s="366"/>
    </row>
    <row r="32" spans="2:5" x14ac:dyDescent="0.3">
      <c r="B32" s="366"/>
      <c r="C32" s="366"/>
      <c r="D32" s="366"/>
      <c r="E32" s="366"/>
    </row>
    <row r="33" spans="2:5" x14ac:dyDescent="0.3">
      <c r="B33" s="366"/>
      <c r="C33" s="366"/>
      <c r="D33" s="366"/>
      <c r="E33" s="366"/>
    </row>
    <row r="34" spans="2:5" x14ac:dyDescent="0.3">
      <c r="B34" s="366"/>
      <c r="C34" s="366"/>
      <c r="D34" s="366"/>
      <c r="E34" s="366"/>
    </row>
    <row r="35" spans="2:5" x14ac:dyDescent="0.3">
      <c r="B35" s="366"/>
      <c r="C35" s="366"/>
      <c r="D35" s="366"/>
      <c r="E35" s="366"/>
    </row>
  </sheetData>
  <mergeCells count="4">
    <mergeCell ref="B19:E24"/>
    <mergeCell ref="B2:C2"/>
    <mergeCell ref="C5:D5"/>
    <mergeCell ref="B28:E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34EDF-37F4-4211-8226-06A0278E6F17}">
  <sheetPr>
    <tabColor rgb="FF002060"/>
    <pageSetUpPr autoPageBreaks="0"/>
  </sheetPr>
  <dimension ref="B2:T85"/>
  <sheetViews>
    <sheetView showGridLines="0" topLeftCell="E49" zoomScaleNormal="100" workbookViewId="0">
      <selection activeCell="N29" sqref="N29:N56"/>
    </sheetView>
  </sheetViews>
  <sheetFormatPr defaultRowHeight="14.4" x14ac:dyDescent="0.3"/>
  <cols>
    <col min="1" max="1" width="1.88671875" customWidth="1"/>
    <col min="2" max="2" width="48.77734375" customWidth="1"/>
    <col min="3" max="3" width="14.5546875" bestFit="1" customWidth="1"/>
    <col min="4" max="4" width="14.5546875" customWidth="1"/>
    <col min="5" max="5" width="11.109375" bestFit="1" customWidth="1"/>
    <col min="6" max="6" width="18.33203125" customWidth="1"/>
    <col min="7" max="7" width="16.109375" bestFit="1" customWidth="1"/>
    <col min="8" max="8" width="11" bestFit="1" customWidth="1"/>
    <col min="10" max="10" width="11" bestFit="1" customWidth="1"/>
    <col min="11" max="11" width="11.77734375" customWidth="1"/>
    <col min="12" max="12" width="14.109375" customWidth="1"/>
    <col min="13" max="13" width="11.44140625" bestFit="1" customWidth="1"/>
  </cols>
  <sheetData>
    <row r="2" spans="2:12" ht="18" x14ac:dyDescent="0.35">
      <c r="B2" s="368" t="str">
        <f>"WACC Modelling"&amp;" - "&amp;WACC!$B$12</f>
        <v>WACC Modelling - Pakistan International Airlines</v>
      </c>
      <c r="C2" s="368"/>
      <c r="D2" s="368"/>
      <c r="E2" s="1"/>
    </row>
    <row r="4" spans="2:12" ht="18" x14ac:dyDescent="0.35">
      <c r="B4" s="371" t="s">
        <v>0</v>
      </c>
      <c r="C4" s="371"/>
      <c r="D4" s="371"/>
      <c r="E4" s="371"/>
    </row>
    <row r="6" spans="2:12" x14ac:dyDescent="0.3">
      <c r="B6" s="2" t="s">
        <v>212</v>
      </c>
    </row>
    <row r="7" spans="2:12" x14ac:dyDescent="0.3">
      <c r="G7" s="3"/>
    </row>
    <row r="8" spans="2:12" ht="15" thickBot="1" x14ac:dyDescent="0.35">
      <c r="B8" t="s">
        <v>1</v>
      </c>
    </row>
    <row r="9" spans="2:12" ht="15" thickBot="1" x14ac:dyDescent="0.35">
      <c r="B9" s="4"/>
      <c r="C9" s="4"/>
      <c r="D9" s="4"/>
      <c r="E9" s="4"/>
      <c r="F9" s="372" t="s">
        <v>213</v>
      </c>
      <c r="G9" s="373"/>
      <c r="H9" s="4"/>
      <c r="I9" s="5" t="s">
        <v>2</v>
      </c>
      <c r="J9" s="5" t="s">
        <v>2</v>
      </c>
      <c r="K9" s="5" t="s">
        <v>3</v>
      </c>
      <c r="L9" s="5" t="s">
        <v>4</v>
      </c>
    </row>
    <row r="10" spans="2:12" ht="16.2" x14ac:dyDescent="0.3">
      <c r="B10" s="6" t="s">
        <v>5</v>
      </c>
      <c r="C10" s="6"/>
      <c r="D10" s="6"/>
      <c r="E10" s="7" t="s">
        <v>6</v>
      </c>
      <c r="F10" s="7" t="s">
        <v>7</v>
      </c>
      <c r="G10" s="7" t="s">
        <v>8</v>
      </c>
      <c r="H10" s="7" t="s">
        <v>9</v>
      </c>
      <c r="I10" s="7" t="s">
        <v>10</v>
      </c>
      <c r="J10" s="7" t="s">
        <v>11</v>
      </c>
      <c r="K10" s="7" t="s">
        <v>12</v>
      </c>
      <c r="L10" s="7" t="s">
        <v>13</v>
      </c>
    </row>
    <row r="11" spans="2:12" x14ac:dyDescent="0.3">
      <c r="E11" s="8"/>
      <c r="F11" s="8"/>
      <c r="G11" s="8"/>
      <c r="H11" s="8"/>
      <c r="I11" s="8"/>
      <c r="J11" s="8"/>
      <c r="K11" s="8"/>
      <c r="L11" s="8"/>
    </row>
    <row r="12" spans="2:12" x14ac:dyDescent="0.3">
      <c r="B12" s="9" t="s">
        <v>291</v>
      </c>
      <c r="E12" s="10" t="s">
        <v>363</v>
      </c>
      <c r="F12" s="11">
        <f>'Data-competitors'!C7</f>
        <v>1427.2760000000001</v>
      </c>
      <c r="G12" s="12">
        <f>'Data-competitors'!D7</f>
        <v>-2270.8679999999999</v>
      </c>
      <c r="H12" s="13">
        <v>0.25</v>
      </c>
      <c r="I12" s="14">
        <f>F12/G12</f>
        <v>-0.62851561605518247</v>
      </c>
      <c r="J12" s="14">
        <f>F12/(F12+G12)</f>
        <v>-1.6919031949093879</v>
      </c>
      <c r="K12" s="12"/>
      <c r="L12" s="15">
        <f>K12/(1+(1-H12)*I12)</f>
        <v>0</v>
      </c>
    </row>
    <row r="13" spans="2:12" x14ac:dyDescent="0.3">
      <c r="E13" s="10"/>
      <c r="F13" s="11"/>
      <c r="G13" s="12"/>
      <c r="H13" s="13"/>
      <c r="I13" s="14"/>
      <c r="J13" s="14"/>
      <c r="K13" s="12"/>
      <c r="L13" s="15"/>
    </row>
    <row r="14" spans="2:12" x14ac:dyDescent="0.3">
      <c r="B14" t="str">
        <f>'Data-competitors'!B9</f>
        <v>Turkish Airlines</v>
      </c>
      <c r="E14" s="10" t="s">
        <v>364</v>
      </c>
      <c r="F14" s="11">
        <f>'Data-competitors'!C9</f>
        <v>14353.927000000001</v>
      </c>
      <c r="G14" s="11">
        <f>'Data-competitors'!D9</f>
        <v>17942.039000000001</v>
      </c>
      <c r="H14" s="13">
        <f>$H$12</f>
        <v>0.25</v>
      </c>
      <c r="I14" s="14">
        <f>F14/G14</f>
        <v>0.80001648642052337</v>
      </c>
      <c r="J14" s="14">
        <f>F14/(F14+G14)</f>
        <v>0.44444953279923571</v>
      </c>
      <c r="K14" s="12">
        <f>'Beta-Turkish Airlines'!K12</f>
        <v>0.96281666236647756</v>
      </c>
      <c r="L14" s="15">
        <f>K14/(1+(1-H14)*I14)</f>
        <v>0.60175576360471827</v>
      </c>
    </row>
    <row r="15" spans="2:12" x14ac:dyDescent="0.3">
      <c r="B15" t="str">
        <f>'Data-competitors'!B10</f>
        <v>Singapore Airlines</v>
      </c>
      <c r="E15" s="10" t="s">
        <v>365</v>
      </c>
      <c r="F15" s="11">
        <f>'Data-competitors'!C10</f>
        <v>10220.48</v>
      </c>
      <c r="G15" s="11">
        <f>'Data-competitors'!D10</f>
        <v>12726.2</v>
      </c>
      <c r="H15" s="13">
        <f t="shared" ref="H15:H18" si="0">$H$12</f>
        <v>0.25</v>
      </c>
      <c r="I15" s="14">
        <f t="shared" ref="I15:I17" si="1">F15/G15</f>
        <v>0.80310540459838753</v>
      </c>
      <c r="J15" s="14">
        <f t="shared" ref="J15:J17" si="2">F15/(F15+G15)</f>
        <v>0.44540125194581526</v>
      </c>
      <c r="K15" s="12">
        <f>'Beta-Singapore Airlines'!K12</f>
        <v>0.7640578695469753</v>
      </c>
      <c r="L15" s="15">
        <f t="shared" ref="L15:L18" si="3">K15/(1+(1-H15)*I15)</f>
        <v>0.47684204932965979</v>
      </c>
    </row>
    <row r="16" spans="2:12" x14ac:dyDescent="0.3">
      <c r="B16" t="str">
        <f>'Data-competitors'!B11</f>
        <v>Garuda Indonesia Persero Tbk</v>
      </c>
      <c r="E16" s="10" t="s">
        <v>366</v>
      </c>
      <c r="F16" s="11">
        <f>'Data-competitors'!C11</f>
        <v>3838</v>
      </c>
      <c r="G16" s="11">
        <f>'Data-competitors'!D11</f>
        <v>-1410</v>
      </c>
      <c r="H16" s="13">
        <f t="shared" si="0"/>
        <v>0.25</v>
      </c>
      <c r="I16" s="14">
        <f t="shared" si="1"/>
        <v>-2.7219858156028369</v>
      </c>
      <c r="J16" s="14">
        <f t="shared" si="2"/>
        <v>1.5807248764415156</v>
      </c>
      <c r="K16" s="12">
        <f>'Beta-Garuda Indonesia'!K12</f>
        <v>0.61830021442745764</v>
      </c>
      <c r="L16" s="15">
        <f t="shared" si="3"/>
        <v>-0.59366925593647613</v>
      </c>
    </row>
    <row r="17" spans="2:20" x14ac:dyDescent="0.3">
      <c r="B17" t="str">
        <f>'Data-competitors'!B12</f>
        <v>China Eastern Airlines Corp Ltd (SHA: 600115)</v>
      </c>
      <c r="E17" s="10" t="s">
        <v>367</v>
      </c>
      <c r="F17" s="11">
        <f>'Data-competitors'!C12</f>
        <v>25277.7</v>
      </c>
      <c r="G17" s="11">
        <f>'Data-competitors'!D12</f>
        <v>5714.6600000000008</v>
      </c>
      <c r="H17" s="13">
        <f t="shared" si="0"/>
        <v>0.25</v>
      </c>
      <c r="I17" s="14">
        <f t="shared" si="1"/>
        <v>4.4233077733408459</v>
      </c>
      <c r="J17" s="14">
        <f t="shared" si="2"/>
        <v>0.81561068598841779</v>
      </c>
      <c r="K17" s="12">
        <f>'Beta-China Eastern Airlines '!K12</f>
        <v>0.97780231793860062</v>
      </c>
      <c r="L17" s="15">
        <f t="shared" si="3"/>
        <v>0.22647519617066245</v>
      </c>
    </row>
    <row r="18" spans="2:20" x14ac:dyDescent="0.3">
      <c r="B18" t="str">
        <f>'Data-competitors'!B13</f>
        <v>China Southern Airlines Co Ltd Class A</v>
      </c>
      <c r="E18" s="10" t="s">
        <v>367</v>
      </c>
      <c r="F18" s="11">
        <f>'Data-competitors'!C13</f>
        <v>28765.100000000002</v>
      </c>
      <c r="G18" s="11">
        <f>'Data-competitors'!D13</f>
        <v>7777.8400000000011</v>
      </c>
      <c r="H18" s="13">
        <f t="shared" si="0"/>
        <v>0.25</v>
      </c>
      <c r="I18" s="14">
        <f t="shared" ref="I18" si="4">F18/G18</f>
        <v>3.6983404132766937</v>
      </c>
      <c r="J18" s="14">
        <f t="shared" ref="J18" si="5">F18/(F18+G18)</f>
        <v>0.78715888759908204</v>
      </c>
      <c r="K18" s="12">
        <f>'Beta-China Southern Airlines '!K12</f>
        <v>1.0000179762632562</v>
      </c>
      <c r="L18" s="15">
        <f t="shared" si="3"/>
        <v>0.26499279739324511</v>
      </c>
    </row>
    <row r="19" spans="2:20" x14ac:dyDescent="0.3">
      <c r="E19" s="10"/>
      <c r="F19" s="11"/>
      <c r="G19" s="12"/>
      <c r="H19" s="13"/>
      <c r="I19" s="17"/>
      <c r="J19" s="17"/>
      <c r="K19" s="18"/>
      <c r="L19" s="19"/>
    </row>
    <row r="20" spans="2:20" x14ac:dyDescent="0.3">
      <c r="G20" s="20" t="s">
        <v>14</v>
      </c>
      <c r="H20" s="21">
        <f>AVERAGE(H14:H18)</f>
        <v>0.25</v>
      </c>
      <c r="I20" s="21">
        <f>AVERAGE(I14:I18)</f>
        <v>1.4005568524067227</v>
      </c>
      <c r="J20" s="21">
        <f>AVERAGE(J14:J18)</f>
        <v>0.81466904695481335</v>
      </c>
      <c r="K20" s="22">
        <f>AVERAGE(K14:K18)</f>
        <v>0.86459900810855361</v>
      </c>
      <c r="L20" s="22">
        <f>AVERAGE(L14:L18)</f>
        <v>0.19527931011236191</v>
      </c>
    </row>
    <row r="21" spans="2:20" x14ac:dyDescent="0.3">
      <c r="B21" t="s">
        <v>15</v>
      </c>
      <c r="G21" s="23" t="s">
        <v>16</v>
      </c>
      <c r="H21" s="25">
        <f>MEDIAN(H14:H18)</f>
        <v>0.25</v>
      </c>
      <c r="I21" s="25">
        <f>MEDIAN(I14:I18)</f>
        <v>0.80310540459838753</v>
      </c>
      <c r="J21" s="339">
        <f>MEDIAN(J14:J18)</f>
        <v>0.78715888759908204</v>
      </c>
      <c r="K21" s="26">
        <f>MEDIAN(K14:K18)</f>
        <v>0.96281666236647756</v>
      </c>
      <c r="L21" s="26">
        <f>MEDIAN(L14:L18)</f>
        <v>0.26499279739324511</v>
      </c>
    </row>
    <row r="25" spans="2:20" x14ac:dyDescent="0.3">
      <c r="B25" s="23" t="s">
        <v>17</v>
      </c>
      <c r="C25" s="6"/>
      <c r="D25" s="6"/>
      <c r="E25" s="6"/>
      <c r="G25" s="23" t="s">
        <v>18</v>
      </c>
      <c r="H25" s="6"/>
      <c r="I25" s="6"/>
      <c r="J25" s="6"/>
      <c r="K25" s="6"/>
      <c r="L25" s="6"/>
    </row>
    <row r="27" spans="2:20" ht="16.2" x14ac:dyDescent="0.3">
      <c r="B27" t="s">
        <v>19</v>
      </c>
      <c r="E27" s="27">
        <f>'Kd Calculation'!C18</f>
        <v>0.21590999999999999</v>
      </c>
      <c r="G27" t="s">
        <v>20</v>
      </c>
      <c r="L27" s="281">
        <v>0.13591</v>
      </c>
      <c r="M27" s="374" t="s">
        <v>346</v>
      </c>
      <c r="N27" s="374"/>
      <c r="O27" s="374"/>
      <c r="P27" s="374"/>
      <c r="Q27" s="374"/>
      <c r="R27" s="29"/>
      <c r="S27" s="29"/>
      <c r="T27" s="182"/>
    </row>
    <row r="28" spans="2:20" x14ac:dyDescent="0.3">
      <c r="B28" s="30" t="s">
        <v>21</v>
      </c>
      <c r="C28" s="30"/>
      <c r="D28" s="30"/>
      <c r="E28" s="31">
        <f>H21</f>
        <v>0.25</v>
      </c>
      <c r="G28" t="s">
        <v>22</v>
      </c>
      <c r="L28" s="281">
        <f>'Rm (KSE-100 Returns)'!C18</f>
        <v>7.4099999999999999E-2</v>
      </c>
      <c r="M28" s="374" t="s">
        <v>394</v>
      </c>
      <c r="N28" s="374"/>
      <c r="O28" s="374"/>
      <c r="P28" s="374"/>
      <c r="Q28" s="374"/>
      <c r="R28" s="374"/>
      <c r="S28" s="374"/>
      <c r="T28" t="s">
        <v>457</v>
      </c>
    </row>
    <row r="29" spans="2:20" x14ac:dyDescent="0.3">
      <c r="B29" t="s">
        <v>23</v>
      </c>
      <c r="E29" s="32">
        <f>E27*(1-E28)</f>
        <v>0.16193249999999998</v>
      </c>
      <c r="G29" t="s">
        <v>24</v>
      </c>
      <c r="L29" s="27">
        <f>L28-L27</f>
        <v>-6.1810000000000004E-2</v>
      </c>
    </row>
    <row r="30" spans="2:20" ht="16.2" x14ac:dyDescent="0.3">
      <c r="G30" s="30" t="s">
        <v>25</v>
      </c>
      <c r="H30" s="30"/>
      <c r="I30" s="30"/>
      <c r="J30" s="30"/>
      <c r="K30" s="30"/>
      <c r="L30" s="33">
        <f>L40</f>
        <v>1.0000179762632559</v>
      </c>
    </row>
    <row r="31" spans="2:20" x14ac:dyDescent="0.3">
      <c r="G31" t="s">
        <v>18</v>
      </c>
      <c r="L31" s="34">
        <f>L27+(L29*L30)</f>
        <v>7.4098888887168146E-2</v>
      </c>
    </row>
    <row r="34" spans="2:12" x14ac:dyDescent="0.3">
      <c r="B34" s="23" t="s">
        <v>216</v>
      </c>
      <c r="C34" s="6"/>
      <c r="D34" s="6"/>
      <c r="E34" s="6"/>
    </row>
    <row r="35" spans="2:12" x14ac:dyDescent="0.3">
      <c r="G35" s="23" t="s">
        <v>26</v>
      </c>
      <c r="H35" s="6"/>
      <c r="I35" s="6"/>
      <c r="J35" s="6"/>
      <c r="K35" s="6"/>
      <c r="L35" s="6"/>
    </row>
    <row r="36" spans="2:12" x14ac:dyDescent="0.3">
      <c r="D36" s="35" t="s">
        <v>27</v>
      </c>
      <c r="E36" s="35" t="s">
        <v>28</v>
      </c>
    </row>
    <row r="37" spans="2:12" x14ac:dyDescent="0.3">
      <c r="B37" t="s">
        <v>7</v>
      </c>
      <c r="C37" s="37">
        <f>F12*10^6</f>
        <v>1427276000</v>
      </c>
      <c r="D37" s="38">
        <f>C37/$C$39</f>
        <v>-1.6919031949093875</v>
      </c>
      <c r="E37" s="27">
        <f>J21</f>
        <v>0.78715888759908204</v>
      </c>
      <c r="G37" t="s">
        <v>29</v>
      </c>
      <c r="L37" s="36">
        <f>L21</f>
        <v>0.26499279739324511</v>
      </c>
    </row>
    <row r="38" spans="2:12" x14ac:dyDescent="0.3">
      <c r="B38" s="30" t="s">
        <v>8</v>
      </c>
      <c r="C38" s="40">
        <f>G12*10^6</f>
        <v>-2270868000</v>
      </c>
      <c r="D38" s="41">
        <f>C38/$C$39</f>
        <v>2.6919031949093877</v>
      </c>
      <c r="E38" s="271">
        <f>E39-E37</f>
        <v>0.21284111240091796</v>
      </c>
      <c r="G38" t="s">
        <v>30</v>
      </c>
      <c r="L38" s="39">
        <f>E41</f>
        <v>3.6983404132766933</v>
      </c>
    </row>
    <row r="39" spans="2:12" x14ac:dyDescent="0.3">
      <c r="B39" t="s">
        <v>31</v>
      </c>
      <c r="C39" s="43">
        <f>SUM(C37:C38)</f>
        <v>-843592000</v>
      </c>
      <c r="D39" s="38">
        <f>C39/$C$39</f>
        <v>1</v>
      </c>
      <c r="E39" s="44">
        <f>D39</f>
        <v>1</v>
      </c>
      <c r="G39" t="s">
        <v>21</v>
      </c>
      <c r="L39" s="42">
        <f>E28</f>
        <v>0.25</v>
      </c>
    </row>
    <row r="40" spans="2:12" x14ac:dyDescent="0.3">
      <c r="G40" s="45" t="s">
        <v>26</v>
      </c>
      <c r="H40" s="45"/>
      <c r="I40" s="45"/>
      <c r="J40" s="45"/>
      <c r="K40" s="45"/>
      <c r="L40" s="46">
        <f>L37*(1+(1-L39)*L38)</f>
        <v>1.0000179762632559</v>
      </c>
    </row>
    <row r="41" spans="2:12" x14ac:dyDescent="0.3">
      <c r="B41" t="s">
        <v>32</v>
      </c>
      <c r="D41" s="34">
        <f>D37/D38</f>
        <v>-0.62851561605518236</v>
      </c>
      <c r="E41" s="34">
        <f>E37/E38</f>
        <v>3.6983404132766933</v>
      </c>
    </row>
    <row r="42" spans="2:12" x14ac:dyDescent="0.3">
      <c r="G42" s="23" t="s">
        <v>33</v>
      </c>
      <c r="H42" s="6"/>
      <c r="I42" s="6"/>
      <c r="J42" s="6"/>
      <c r="K42" s="6"/>
      <c r="L42" s="6"/>
    </row>
    <row r="44" spans="2:12" ht="16.2" x14ac:dyDescent="0.3">
      <c r="B44" s="183"/>
      <c r="G44" t="s">
        <v>18</v>
      </c>
      <c r="K44" s="47"/>
      <c r="L44" s="48">
        <f>L31</f>
        <v>7.4098888887168146E-2</v>
      </c>
    </row>
    <row r="45" spans="2:12" x14ac:dyDescent="0.3">
      <c r="B45" s="175"/>
      <c r="C45" s="43"/>
      <c r="G45" t="s">
        <v>35</v>
      </c>
      <c r="K45" s="39"/>
      <c r="L45" s="39">
        <f>E38</f>
        <v>0.21284111240091796</v>
      </c>
    </row>
    <row r="46" spans="2:12" x14ac:dyDescent="0.3">
      <c r="K46" s="39"/>
      <c r="L46" s="39"/>
    </row>
    <row r="47" spans="2:12" x14ac:dyDescent="0.3">
      <c r="B47" s="253"/>
      <c r="C47" s="253"/>
      <c r="D47" s="253"/>
      <c r="E47" s="253"/>
      <c r="G47" t="s">
        <v>17</v>
      </c>
      <c r="L47" s="49">
        <f>E29</f>
        <v>0.16193249999999998</v>
      </c>
    </row>
    <row r="48" spans="2:12" x14ac:dyDescent="0.3">
      <c r="B48" s="253"/>
      <c r="C48" s="253"/>
      <c r="D48" s="253"/>
      <c r="E48" s="253"/>
      <c r="G48" t="s">
        <v>36</v>
      </c>
      <c r="L48" s="39">
        <f>E37</f>
        <v>0.78715888759908204</v>
      </c>
    </row>
    <row r="49" spans="2:12" x14ac:dyDescent="0.3">
      <c r="B49" s="253"/>
      <c r="C49" s="253"/>
      <c r="D49" s="253"/>
      <c r="E49" s="253"/>
    </row>
    <row r="50" spans="2:12" x14ac:dyDescent="0.3">
      <c r="G50" s="50" t="s">
        <v>37</v>
      </c>
      <c r="H50" s="50"/>
      <c r="I50" s="50"/>
      <c r="J50" s="50"/>
      <c r="K50" s="50"/>
      <c r="L50" s="51">
        <f>(L44*L45)+(L47*L48)</f>
        <v>0.14323789650455523</v>
      </c>
    </row>
    <row r="55" spans="2:12" x14ac:dyDescent="0.3">
      <c r="B55" s="363" t="str">
        <f>"WACC Scenario Analysis"&amp;" - "&amp;WACC!$B$12</f>
        <v>WACC Scenario Analysis - Pakistan International Airlines</v>
      </c>
      <c r="C55" s="363"/>
      <c r="D55" s="363"/>
      <c r="E55" s="363"/>
    </row>
    <row r="57" spans="2:12" x14ac:dyDescent="0.3">
      <c r="B57" s="256" t="s">
        <v>278</v>
      </c>
      <c r="C57" s="260" t="s">
        <v>281</v>
      </c>
      <c r="D57" s="258"/>
      <c r="E57" s="258"/>
      <c r="F57" s="258"/>
      <c r="G57" s="258"/>
      <c r="H57" s="258"/>
      <c r="I57" s="258"/>
    </row>
    <row r="58" spans="2:12" x14ac:dyDescent="0.3">
      <c r="B58" s="258"/>
      <c r="C58" s="258"/>
      <c r="D58" s="258"/>
      <c r="E58" s="258"/>
      <c r="F58" s="258"/>
      <c r="G58" s="258"/>
      <c r="H58" s="258"/>
      <c r="I58" s="258"/>
    </row>
    <row r="59" spans="2:12" x14ac:dyDescent="0.3">
      <c r="B59" s="261"/>
      <c r="C59" s="262"/>
      <c r="D59" s="369" t="s">
        <v>36</v>
      </c>
      <c r="E59" s="369"/>
      <c r="F59" s="369"/>
      <c r="G59" s="369"/>
      <c r="H59" s="369"/>
      <c r="I59" s="370"/>
    </row>
    <row r="60" spans="2:12" x14ac:dyDescent="0.3">
      <c r="B60" s="263"/>
      <c r="C60" s="264">
        <f>L50</f>
        <v>0.14323789650455523</v>
      </c>
      <c r="D60" s="265">
        <v>0.6</v>
      </c>
      <c r="E60" s="265">
        <v>0.65</v>
      </c>
      <c r="F60" s="265">
        <v>0.7</v>
      </c>
      <c r="G60" s="280">
        <v>0.78715888759908204</v>
      </c>
      <c r="H60" s="265">
        <v>0.85</v>
      </c>
      <c r="I60" s="265">
        <v>0.95</v>
      </c>
    </row>
    <row r="61" spans="2:12" x14ac:dyDescent="0.3">
      <c r="B61" s="263"/>
      <c r="C61" s="259">
        <v>0.05</v>
      </c>
      <c r="D61" s="272">
        <f t="dataTable" ref="D61:I67" dt2D="1" dtr="1" r1="J21" r2="E38" ca="1"/>
        <v>9.5765397596561747E-2</v>
      </c>
      <c r="E61" s="273">
        <v>0.10324780241630388</v>
      </c>
      <c r="F61" s="273">
        <v>0.110730207236046</v>
      </c>
      <c r="G61" s="273">
        <v>0.1237733688491407</v>
      </c>
      <c r="H61" s="273">
        <v>0.13317742169527241</v>
      </c>
      <c r="I61" s="274">
        <v>0.14814223133475668</v>
      </c>
    </row>
    <row r="62" spans="2:12" x14ac:dyDescent="0.3">
      <c r="B62" s="263"/>
      <c r="C62" s="259">
        <v>0.1</v>
      </c>
      <c r="D62" s="275">
        <v>0.10174193735621792</v>
      </c>
      <c r="E62" s="275">
        <v>0.10922434217596005</v>
      </c>
      <c r="F62" s="275">
        <v>0.11670674699570217</v>
      </c>
      <c r="G62" s="275">
        <v>0.12974990860879687</v>
      </c>
      <c r="H62" s="275">
        <v>0.13915396145492859</v>
      </c>
      <c r="I62" s="276">
        <v>0.15411877109441285</v>
      </c>
    </row>
    <row r="63" spans="2:12" x14ac:dyDescent="0.3">
      <c r="B63" s="263"/>
      <c r="C63" s="259">
        <v>0.15</v>
      </c>
      <c r="D63" s="275">
        <v>0.1077184771158741</v>
      </c>
      <c r="E63" s="275">
        <v>0.11520088193561623</v>
      </c>
      <c r="F63" s="275">
        <v>0.12268328675535835</v>
      </c>
      <c r="G63" s="275">
        <v>0.13572644836845305</v>
      </c>
      <c r="H63" s="275">
        <v>0.14513050121458476</v>
      </c>
      <c r="I63" s="276">
        <v>0.16009531085406903</v>
      </c>
    </row>
    <row r="64" spans="2:12" x14ac:dyDescent="0.3">
      <c r="B64" s="263"/>
      <c r="C64" s="338">
        <v>0.21284111240091796</v>
      </c>
      <c r="D64" s="275">
        <v>0.11522992525197627</v>
      </c>
      <c r="E64" s="275">
        <v>0.12271233007171842</v>
      </c>
      <c r="F64" s="275">
        <v>0.13019473489146052</v>
      </c>
      <c r="G64" s="337">
        <v>0.14323789650455523</v>
      </c>
      <c r="H64" s="275">
        <v>0.15264194935068695</v>
      </c>
      <c r="I64" s="276">
        <v>0.16760675899017119</v>
      </c>
    </row>
    <row r="65" spans="2:9" x14ac:dyDescent="0.3">
      <c r="C65" s="340">
        <v>0.25</v>
      </c>
      <c r="D65" s="275">
        <v>0.11967155663518644</v>
      </c>
      <c r="E65" s="275">
        <v>0.12715396145492858</v>
      </c>
      <c r="F65" s="275">
        <v>0.13463636627467071</v>
      </c>
      <c r="G65" s="275">
        <v>0.14767952788776539</v>
      </c>
      <c r="H65" s="275">
        <v>0.15708358073389711</v>
      </c>
      <c r="I65" s="276">
        <v>0.17204839037338138</v>
      </c>
    </row>
    <row r="66" spans="2:9" x14ac:dyDescent="0.3">
      <c r="B66" s="266" t="s">
        <v>35</v>
      </c>
      <c r="C66" s="340">
        <v>0.3</v>
      </c>
      <c r="D66" s="275">
        <v>0.12564809639484262</v>
      </c>
      <c r="E66" s="275">
        <v>0.13313050121458475</v>
      </c>
      <c r="F66" s="275">
        <v>0.14061290603432688</v>
      </c>
      <c r="G66" s="275">
        <v>0.15365606764742157</v>
      </c>
      <c r="H66" s="275">
        <v>0.16306012049355328</v>
      </c>
      <c r="I66" s="276">
        <v>0.17802493013303755</v>
      </c>
    </row>
    <row r="67" spans="2:9" x14ac:dyDescent="0.3">
      <c r="B67" s="267"/>
      <c r="C67" s="268">
        <v>0.35</v>
      </c>
      <c r="D67" s="277">
        <v>0.13162463615449879</v>
      </c>
      <c r="E67" s="277">
        <v>0.13910704097424093</v>
      </c>
      <c r="F67" s="277">
        <v>0.14658944579398306</v>
      </c>
      <c r="G67" s="277">
        <v>0.15963260740707774</v>
      </c>
      <c r="H67" s="277">
        <v>0.16903666025320946</v>
      </c>
      <c r="I67" s="278">
        <v>0.18400146989269373</v>
      </c>
    </row>
    <row r="68" spans="2:9" x14ac:dyDescent="0.3">
      <c r="B68" s="257"/>
      <c r="C68" s="257"/>
      <c r="D68" s="257"/>
      <c r="E68" s="257"/>
      <c r="F68" s="257"/>
      <c r="G68" s="257"/>
      <c r="H68" s="257"/>
      <c r="I68" s="257"/>
    </row>
    <row r="69" spans="2:9" x14ac:dyDescent="0.3">
      <c r="B69" s="269" t="s">
        <v>47</v>
      </c>
      <c r="C69" s="257"/>
      <c r="D69" s="257"/>
      <c r="E69" s="257"/>
      <c r="F69" s="257"/>
      <c r="G69" s="257"/>
      <c r="H69" s="257"/>
      <c r="I69" s="257"/>
    </row>
    <row r="70" spans="2:9" x14ac:dyDescent="0.3">
      <c r="B70" s="270" t="s">
        <v>280</v>
      </c>
      <c r="C70" s="257"/>
      <c r="D70" s="257"/>
      <c r="E70" s="257"/>
      <c r="F70" s="257"/>
      <c r="G70" s="257"/>
      <c r="H70" s="257"/>
      <c r="I70" s="257"/>
    </row>
    <row r="73" spans="2:9" x14ac:dyDescent="0.3">
      <c r="B73" s="256" t="s">
        <v>278</v>
      </c>
      <c r="C73" s="260" t="s">
        <v>282</v>
      </c>
      <c r="D73" s="258"/>
      <c r="E73" s="258"/>
      <c r="F73" s="258"/>
      <c r="G73" s="258"/>
      <c r="H73" s="258"/>
      <c r="I73" s="258"/>
    </row>
    <row r="74" spans="2:9" x14ac:dyDescent="0.3">
      <c r="B74" s="258"/>
      <c r="C74" s="258"/>
      <c r="D74" s="258"/>
      <c r="E74" s="258"/>
      <c r="F74" s="258"/>
      <c r="G74" s="258"/>
      <c r="H74" s="258"/>
      <c r="I74" s="258"/>
    </row>
    <row r="75" spans="2:9" x14ac:dyDescent="0.3">
      <c r="B75" s="261"/>
      <c r="C75" s="296"/>
      <c r="D75" s="369" t="s">
        <v>283</v>
      </c>
      <c r="E75" s="369"/>
      <c r="F75" s="369"/>
      <c r="G75" s="369"/>
      <c r="H75" s="369"/>
      <c r="I75" s="370"/>
    </row>
    <row r="76" spans="2:9" x14ac:dyDescent="0.3">
      <c r="B76" s="263"/>
      <c r="C76" s="297">
        <f>L50</f>
        <v>0.14323789650455523</v>
      </c>
      <c r="D76" s="341">
        <v>0.03</v>
      </c>
      <c r="E76" s="341">
        <v>0.05</v>
      </c>
      <c r="F76" s="279">
        <v>7.4099999999999999E-2</v>
      </c>
      <c r="G76" s="341">
        <v>0.1</v>
      </c>
      <c r="H76" s="341">
        <v>0.13</v>
      </c>
      <c r="I76" s="341">
        <v>0.16</v>
      </c>
    </row>
    <row r="77" spans="2:9" x14ac:dyDescent="0.3">
      <c r="B77" s="263"/>
      <c r="C77" s="282">
        <v>0.03</v>
      </c>
      <c r="D77" s="273">
        <f t="dataTable" ref="D77:I82" dt2D="1" dtr="1" r1="L28" r2="L27"/>
        <v>7.1325841598951806E-2</v>
      </c>
      <c r="E77" s="273">
        <v>7.558274036872753E-2</v>
      </c>
      <c r="F77" s="273">
        <v>8.0712303386307277E-2</v>
      </c>
      <c r="G77" s="273">
        <v>8.6224987293166841E-2</v>
      </c>
      <c r="H77" s="273">
        <v>9.2610335447830427E-2</v>
      </c>
      <c r="I77" s="274">
        <v>9.8995683602494E-2</v>
      </c>
    </row>
    <row r="78" spans="2:9" x14ac:dyDescent="0.3">
      <c r="B78" s="263"/>
      <c r="C78" s="282">
        <v>0.06</v>
      </c>
      <c r="D78" s="275">
        <v>8.9036801787295117E-2</v>
      </c>
      <c r="E78" s="275">
        <v>9.3293700557070841E-2</v>
      </c>
      <c r="F78" s="275">
        <v>9.8423263574650588E-2</v>
      </c>
      <c r="G78" s="275">
        <v>0.10393594748151015</v>
      </c>
      <c r="H78" s="275">
        <v>0.11032129563617374</v>
      </c>
      <c r="I78" s="276">
        <v>0.11670664379083732</v>
      </c>
    </row>
    <row r="79" spans="2:9" x14ac:dyDescent="0.3">
      <c r="B79" s="263"/>
      <c r="C79" s="282">
        <v>0.09</v>
      </c>
      <c r="D79" s="275">
        <v>0.1067477619756384</v>
      </c>
      <c r="E79" s="275">
        <v>0.11100466074541412</v>
      </c>
      <c r="F79" s="275">
        <v>0.11613422376299387</v>
      </c>
      <c r="G79" s="275">
        <v>0.12164690766985344</v>
      </c>
      <c r="H79" s="275">
        <v>0.12803225582451702</v>
      </c>
      <c r="I79" s="276">
        <v>0.13441760397918062</v>
      </c>
    </row>
    <row r="80" spans="2:9" x14ac:dyDescent="0.3">
      <c r="B80" s="266" t="s">
        <v>279</v>
      </c>
      <c r="C80" s="284">
        <v>0.13591</v>
      </c>
      <c r="D80" s="275">
        <v>0.13385143471719976</v>
      </c>
      <c r="E80" s="275">
        <v>0.13810833348697549</v>
      </c>
      <c r="F80" s="279">
        <v>0.14323789650455523</v>
      </c>
      <c r="G80" s="342">
        <v>0.14875058041141478</v>
      </c>
      <c r="H80" s="275">
        <v>0.15513592856607838</v>
      </c>
      <c r="I80" s="276">
        <v>0.16152127672074196</v>
      </c>
    </row>
    <row r="81" spans="2:9" x14ac:dyDescent="0.3">
      <c r="B81" s="299"/>
      <c r="C81" s="282">
        <v>0.16</v>
      </c>
      <c r="D81" s="275">
        <v>0.14807333574843945</v>
      </c>
      <c r="E81" s="275">
        <v>0.15233023451821517</v>
      </c>
      <c r="F81" s="275">
        <v>0.15745979753579492</v>
      </c>
      <c r="G81" s="275">
        <v>0.16297248144265447</v>
      </c>
      <c r="H81" s="275">
        <v>0.16935782959731804</v>
      </c>
      <c r="I81" s="276">
        <v>0.17574317775198164</v>
      </c>
    </row>
    <row r="82" spans="2:9" x14ac:dyDescent="0.3">
      <c r="B82" s="267"/>
      <c r="C82" s="283">
        <v>0.19</v>
      </c>
      <c r="D82" s="277">
        <v>0.16578429593678273</v>
      </c>
      <c r="E82" s="277">
        <v>0.17004119470655846</v>
      </c>
      <c r="F82" s="277">
        <v>0.1751707577241382</v>
      </c>
      <c r="G82" s="277">
        <v>0.18068344163099778</v>
      </c>
      <c r="H82" s="277">
        <v>0.18706878978566135</v>
      </c>
      <c r="I82" s="278">
        <v>0.19345413794032496</v>
      </c>
    </row>
    <row r="83" spans="2:9" x14ac:dyDescent="0.3">
      <c r="B83" s="257"/>
      <c r="C83" s="257"/>
      <c r="D83" s="257"/>
      <c r="E83" s="257"/>
      <c r="F83" s="257"/>
      <c r="G83" s="257"/>
      <c r="H83" s="257"/>
      <c r="I83" s="257"/>
    </row>
    <row r="84" spans="2:9" x14ac:dyDescent="0.3">
      <c r="B84" s="269" t="s">
        <v>47</v>
      </c>
      <c r="C84" s="257"/>
      <c r="D84" s="257"/>
      <c r="E84" s="257"/>
      <c r="F84" s="257"/>
      <c r="G84" s="257"/>
      <c r="H84" s="257"/>
      <c r="I84" s="257"/>
    </row>
    <row r="85" spans="2:9" x14ac:dyDescent="0.3">
      <c r="B85" s="270" t="s">
        <v>284</v>
      </c>
      <c r="C85" s="257"/>
      <c r="D85" s="257"/>
      <c r="E85" s="257"/>
      <c r="F85" s="257"/>
      <c r="G85" s="257"/>
      <c r="H85" s="257"/>
      <c r="I85" s="257"/>
    </row>
  </sheetData>
  <mergeCells count="8">
    <mergeCell ref="M27:Q27"/>
    <mergeCell ref="M28:S28"/>
    <mergeCell ref="B2:D2"/>
    <mergeCell ref="B55:E55"/>
    <mergeCell ref="D59:I59"/>
    <mergeCell ref="D75:I75"/>
    <mergeCell ref="B4:E4"/>
    <mergeCell ref="F9:G9"/>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78666-49CA-4B06-8B66-7C6D13BFD223}">
  <dimension ref="B2:K34"/>
  <sheetViews>
    <sheetView showGridLines="0" workbookViewId="0">
      <selection activeCell="C28" sqref="C28"/>
    </sheetView>
  </sheetViews>
  <sheetFormatPr defaultRowHeight="14.4" x14ac:dyDescent="0.3"/>
  <cols>
    <col min="2" max="2" width="23.6640625" customWidth="1"/>
    <col min="3" max="3" width="14.6640625" customWidth="1"/>
    <col min="4" max="9" width="16.77734375" customWidth="1"/>
  </cols>
  <sheetData>
    <row r="2" spans="2:11" x14ac:dyDescent="0.3">
      <c r="B2" s="363" t="str">
        <f>"WACC Scenario Analysis"&amp;" - "&amp;WACC!$B$12</f>
        <v>WACC Scenario Analysis - Pakistan International Airlines</v>
      </c>
      <c r="C2" s="363"/>
      <c r="D2" s="363"/>
      <c r="E2" s="363"/>
    </row>
    <row r="4" spans="2:11" x14ac:dyDescent="0.3">
      <c r="B4" s="257"/>
      <c r="C4" s="257"/>
      <c r="D4" s="257"/>
      <c r="E4" s="257"/>
      <c r="F4" s="257"/>
      <c r="G4" s="257"/>
      <c r="H4" s="257"/>
      <c r="I4" s="257"/>
      <c r="J4" s="257"/>
      <c r="K4" s="257"/>
    </row>
    <row r="5" spans="2:11" x14ac:dyDescent="0.3">
      <c r="B5" s="256" t="str">
        <f>WACC!B57</f>
        <v>Scenario Analysis</v>
      </c>
      <c r="C5" s="260" t="str">
        <f>WACC!C57</f>
        <v>What will be the WACC Figure if the Debt Weight and the Equity Weight both keep fluctuating.</v>
      </c>
      <c r="D5" s="258"/>
      <c r="E5" s="258"/>
      <c r="F5" s="258"/>
      <c r="G5" s="258"/>
      <c r="H5" s="258"/>
      <c r="I5" s="258"/>
      <c r="J5" s="257"/>
      <c r="K5" s="257"/>
    </row>
    <row r="6" spans="2:11" x14ac:dyDescent="0.3">
      <c r="B6" s="258"/>
      <c r="C6" s="258"/>
      <c r="D6" s="258"/>
      <c r="E6" s="258"/>
      <c r="F6" s="258"/>
      <c r="G6" s="258"/>
      <c r="H6" s="258"/>
      <c r="I6" s="258"/>
      <c r="J6" s="257"/>
      <c r="K6" s="257"/>
    </row>
    <row r="7" spans="2:11" x14ac:dyDescent="0.3">
      <c r="B7" s="261"/>
      <c r="C7" s="262"/>
      <c r="D7" s="369" t="str">
        <f>WACC!D59</f>
        <v>Debt Weight</v>
      </c>
      <c r="E7" s="369"/>
      <c r="F7" s="369"/>
      <c r="G7" s="369"/>
      <c r="H7" s="369"/>
      <c r="I7" s="370"/>
      <c r="J7" s="257"/>
      <c r="K7" s="257"/>
    </row>
    <row r="8" spans="2:11" x14ac:dyDescent="0.3">
      <c r="B8" s="263"/>
      <c r="C8" s="264">
        <f>WACC!C60</f>
        <v>0.14323789650455523</v>
      </c>
      <c r="D8" s="286">
        <f>WACC!D60</f>
        <v>0.6</v>
      </c>
      <c r="E8" s="287">
        <f>WACC!E60</f>
        <v>0.65</v>
      </c>
      <c r="F8" s="287">
        <f>WACC!F60</f>
        <v>0.7</v>
      </c>
      <c r="G8" s="336">
        <f>WACC!G60</f>
        <v>0.78715888759908204</v>
      </c>
      <c r="H8" s="287">
        <f>WACC!H60</f>
        <v>0.85</v>
      </c>
      <c r="I8" s="288">
        <f>WACC!I60</f>
        <v>0.95</v>
      </c>
      <c r="J8" s="257"/>
      <c r="K8" s="257"/>
    </row>
    <row r="9" spans="2:11" x14ac:dyDescent="0.3">
      <c r="B9" s="263"/>
      <c r="C9" s="343">
        <f>WACC!C61</f>
        <v>0.05</v>
      </c>
      <c r="D9" s="289">
        <f>WACC!D61</f>
        <v>9.5765397596561747E-2</v>
      </c>
      <c r="E9" s="290">
        <f>WACC!E61</f>
        <v>0.10324780241630388</v>
      </c>
      <c r="F9" s="290">
        <f>WACC!F61</f>
        <v>0.110730207236046</v>
      </c>
      <c r="G9" s="290">
        <f>WACC!G61</f>
        <v>0.1237733688491407</v>
      </c>
      <c r="H9" s="290">
        <f>WACC!H61</f>
        <v>0.13317742169527241</v>
      </c>
      <c r="I9" s="291">
        <f>WACC!I61</f>
        <v>0.14814223133475668</v>
      </c>
      <c r="J9" s="257"/>
      <c r="K9" s="257"/>
    </row>
    <row r="10" spans="2:11" x14ac:dyDescent="0.3">
      <c r="B10" s="263"/>
      <c r="C10" s="343">
        <f>WACC!C62</f>
        <v>0.1</v>
      </c>
      <c r="D10" s="289">
        <f>WACC!D62</f>
        <v>0.10174193735621792</v>
      </c>
      <c r="E10" s="290">
        <f>WACC!E62</f>
        <v>0.10922434217596005</v>
      </c>
      <c r="F10" s="290">
        <f>WACC!F62</f>
        <v>0.11670674699570217</v>
      </c>
      <c r="G10" s="290">
        <f>WACC!G62</f>
        <v>0.12974990860879687</v>
      </c>
      <c r="H10" s="290">
        <f>WACC!H62</f>
        <v>0.13915396145492859</v>
      </c>
      <c r="I10" s="291">
        <f>WACC!I62</f>
        <v>0.15411877109441285</v>
      </c>
      <c r="J10" s="257"/>
      <c r="K10" s="257"/>
    </row>
    <row r="11" spans="2:11" x14ac:dyDescent="0.3">
      <c r="B11" s="263"/>
      <c r="C11" s="343">
        <f>WACC!C63</f>
        <v>0.15</v>
      </c>
      <c r="D11" s="289">
        <f>WACC!D63</f>
        <v>0.1077184771158741</v>
      </c>
      <c r="E11" s="290">
        <f>WACC!E63</f>
        <v>0.11520088193561623</v>
      </c>
      <c r="F11" s="290">
        <f>WACC!F63</f>
        <v>0.12268328675535835</v>
      </c>
      <c r="G11" s="290">
        <f>WACC!G63</f>
        <v>0.13572644836845305</v>
      </c>
      <c r="H11" s="290">
        <f>WACC!H63</f>
        <v>0.14513050121458476</v>
      </c>
      <c r="I11" s="291">
        <f>WACC!I63</f>
        <v>0.16009531085406903</v>
      </c>
      <c r="J11" s="257"/>
      <c r="K11" s="257"/>
    </row>
    <row r="12" spans="2:11" x14ac:dyDescent="0.3">
      <c r="B12" s="263"/>
      <c r="C12" s="292">
        <f>WACC!C64</f>
        <v>0.21284111240091796</v>
      </c>
      <c r="D12" s="289">
        <f>WACC!D64</f>
        <v>0.11522992525197627</v>
      </c>
      <c r="E12" s="290">
        <f>WACC!E64</f>
        <v>0.12271233007171842</v>
      </c>
      <c r="F12" s="290">
        <f>WACC!F64</f>
        <v>0.13019473489146052</v>
      </c>
      <c r="G12" s="336">
        <f>WACC!G64</f>
        <v>0.14323789650455523</v>
      </c>
      <c r="H12" s="290">
        <f>WACC!H64</f>
        <v>0.15264194935068695</v>
      </c>
      <c r="I12" s="291">
        <f>WACC!I64</f>
        <v>0.16760675899017119</v>
      </c>
      <c r="J12" s="257"/>
      <c r="K12" s="257"/>
    </row>
    <row r="13" spans="2:11" x14ac:dyDescent="0.3">
      <c r="B13" s="266" t="str">
        <f>WACC!B66</f>
        <v>Equity Weight</v>
      </c>
      <c r="C13" s="343">
        <f>WACC!C65</f>
        <v>0.25</v>
      </c>
      <c r="D13" s="289">
        <f>WACC!D65</f>
        <v>0.11967155663518644</v>
      </c>
      <c r="E13" s="290">
        <f>WACC!E65</f>
        <v>0.12715396145492858</v>
      </c>
      <c r="F13" s="290">
        <f>WACC!F65</f>
        <v>0.13463636627467071</v>
      </c>
      <c r="G13" s="290">
        <f>WACC!G65</f>
        <v>0.14767952788776539</v>
      </c>
      <c r="H13" s="290">
        <f>WACC!H65</f>
        <v>0.15708358073389711</v>
      </c>
      <c r="I13" s="291">
        <f>WACC!I65</f>
        <v>0.17204839037338138</v>
      </c>
      <c r="J13" s="257"/>
      <c r="K13" s="257"/>
    </row>
    <row r="14" spans="2:11" x14ac:dyDescent="0.3">
      <c r="B14" s="263"/>
      <c r="C14" s="344">
        <f>WACC!C66</f>
        <v>0.3</v>
      </c>
      <c r="D14" s="289">
        <f>WACC!D66</f>
        <v>0.12564809639484262</v>
      </c>
      <c r="E14" s="290">
        <f>WACC!E66</f>
        <v>0.13313050121458475</v>
      </c>
      <c r="F14" s="290">
        <f>WACC!F66</f>
        <v>0.14061290603432688</v>
      </c>
      <c r="G14" s="295">
        <f>WACC!G66</f>
        <v>0.15365606764742157</v>
      </c>
      <c r="H14" s="290">
        <f>WACC!H66</f>
        <v>0.16306012049355328</v>
      </c>
      <c r="I14" s="291">
        <f>WACC!I66</f>
        <v>0.17802493013303755</v>
      </c>
      <c r="J14" s="257"/>
      <c r="K14" s="257"/>
    </row>
    <row r="15" spans="2:11" x14ac:dyDescent="0.3">
      <c r="B15" s="267"/>
      <c r="C15" s="285">
        <f>WACC!C67</f>
        <v>0.35</v>
      </c>
      <c r="D15" s="293">
        <f>WACC!D67</f>
        <v>0.13162463615449879</v>
      </c>
      <c r="E15" s="285">
        <f>WACC!E67</f>
        <v>0.13910704097424093</v>
      </c>
      <c r="F15" s="285">
        <f>WACC!F67</f>
        <v>0.14658944579398306</v>
      </c>
      <c r="G15" s="285">
        <f>WACC!G67</f>
        <v>0.15963260740707774</v>
      </c>
      <c r="H15" s="285">
        <f>WACC!H67</f>
        <v>0.16903666025320946</v>
      </c>
      <c r="I15" s="294">
        <f>WACC!I67</f>
        <v>0.18400146989269373</v>
      </c>
      <c r="J15" s="257"/>
      <c r="K15" s="257"/>
    </row>
    <row r="16" spans="2:11" x14ac:dyDescent="0.3">
      <c r="B16" s="257"/>
      <c r="C16" s="257"/>
      <c r="D16" s="257"/>
      <c r="E16" s="257"/>
      <c r="F16" s="257"/>
      <c r="G16" s="257"/>
      <c r="H16" s="257"/>
      <c r="I16" s="257"/>
      <c r="J16" s="257"/>
      <c r="K16" s="257"/>
    </row>
    <row r="17" spans="2:11" x14ac:dyDescent="0.3">
      <c r="B17" s="269" t="s">
        <v>47</v>
      </c>
      <c r="C17" s="257"/>
      <c r="D17" s="257"/>
      <c r="E17" s="257"/>
      <c r="F17" s="257"/>
      <c r="G17" s="257"/>
      <c r="H17" s="257"/>
      <c r="I17" s="257"/>
      <c r="J17" s="257"/>
      <c r="K17" s="257"/>
    </row>
    <row r="18" spans="2:11" x14ac:dyDescent="0.3">
      <c r="B18" s="270" t="str">
        <f>WACC!B70</f>
        <v>These values represent the WACC figure for various levels of Debt and Equity Weights</v>
      </c>
      <c r="C18" s="257"/>
      <c r="D18" s="257"/>
      <c r="E18" s="257"/>
      <c r="F18" s="257"/>
      <c r="G18" s="257"/>
      <c r="H18" s="257"/>
      <c r="I18" s="257"/>
      <c r="J18" s="257"/>
      <c r="K18" s="257"/>
    </row>
    <row r="21" spans="2:11" x14ac:dyDescent="0.3">
      <c r="B21" s="256" t="str">
        <f>WACC!B73</f>
        <v>Scenario Analysis</v>
      </c>
      <c r="C21" s="260" t="str">
        <f>WACC!C73</f>
        <v>What will be the WACC Figure if the Risk-free Rate and the Return from the Market both keep fluctuating.</v>
      </c>
      <c r="D21" s="258"/>
      <c r="E21" s="258"/>
      <c r="F21" s="258"/>
      <c r="G21" s="258"/>
      <c r="H21" s="258"/>
      <c r="I21" s="258"/>
    </row>
    <row r="22" spans="2:11" x14ac:dyDescent="0.3">
      <c r="B22" s="258"/>
      <c r="C22" s="258"/>
      <c r="D22" s="258"/>
      <c r="E22" s="258"/>
      <c r="F22" s="258"/>
      <c r="G22" s="258"/>
      <c r="H22" s="258"/>
      <c r="I22" s="258"/>
    </row>
    <row r="23" spans="2:11" x14ac:dyDescent="0.3">
      <c r="B23" s="261"/>
      <c r="C23" s="296"/>
      <c r="D23" s="369" t="str">
        <f>WACC!D75</f>
        <v>Return from the Market</v>
      </c>
      <c r="E23" s="369"/>
      <c r="F23" s="369"/>
      <c r="G23" s="369"/>
      <c r="H23" s="369"/>
      <c r="I23" s="370"/>
    </row>
    <row r="24" spans="2:11" x14ac:dyDescent="0.3">
      <c r="B24" s="263"/>
      <c r="C24" s="297">
        <f>WACC!C76</f>
        <v>0.14323789650455523</v>
      </c>
      <c r="D24" s="287">
        <f>WACC!D76</f>
        <v>0.03</v>
      </c>
      <c r="E24" s="287">
        <f>WACC!E76</f>
        <v>0.05</v>
      </c>
      <c r="F24" s="292">
        <f>WACC!F76</f>
        <v>7.4099999999999999E-2</v>
      </c>
      <c r="G24" s="287">
        <f>WACC!G76</f>
        <v>0.1</v>
      </c>
      <c r="H24" s="287">
        <f>WACC!H76</f>
        <v>0.13</v>
      </c>
      <c r="I24" s="288">
        <f>WACC!I76</f>
        <v>0.16</v>
      </c>
    </row>
    <row r="25" spans="2:11" x14ac:dyDescent="0.3">
      <c r="B25" s="263"/>
      <c r="C25" s="291">
        <f>WACC!C77</f>
        <v>0.03</v>
      </c>
      <c r="D25" s="290">
        <f>WACC!D77</f>
        <v>7.1325841598951806E-2</v>
      </c>
      <c r="E25" s="290">
        <f>WACC!E77</f>
        <v>7.558274036872753E-2</v>
      </c>
      <c r="F25" s="290">
        <f>WACC!F77</f>
        <v>8.0712303386307277E-2</v>
      </c>
      <c r="G25" s="290">
        <f>WACC!G77</f>
        <v>8.6224987293166841E-2</v>
      </c>
      <c r="H25" s="290">
        <f>WACC!H77</f>
        <v>9.2610335447830427E-2</v>
      </c>
      <c r="I25" s="291">
        <f>WACC!I77</f>
        <v>9.8995683602494E-2</v>
      </c>
    </row>
    <row r="26" spans="2:11" x14ac:dyDescent="0.3">
      <c r="B26" s="263"/>
      <c r="C26" s="291">
        <f>WACC!C78</f>
        <v>0.06</v>
      </c>
      <c r="D26" s="290">
        <f>WACC!D78</f>
        <v>8.9036801787295117E-2</v>
      </c>
      <c r="E26" s="290">
        <f>WACC!E78</f>
        <v>9.3293700557070841E-2</v>
      </c>
      <c r="F26" s="290">
        <f>WACC!F78</f>
        <v>9.8423263574650588E-2</v>
      </c>
      <c r="G26" s="290">
        <f>WACC!G78</f>
        <v>0.10393594748151015</v>
      </c>
      <c r="H26" s="290">
        <f>WACC!H78</f>
        <v>0.11032129563617374</v>
      </c>
      <c r="I26" s="291">
        <f>WACC!I78</f>
        <v>0.11670664379083732</v>
      </c>
    </row>
    <row r="27" spans="2:11" x14ac:dyDescent="0.3">
      <c r="B27" s="263"/>
      <c r="C27" s="291">
        <f>WACC!C79</f>
        <v>0.09</v>
      </c>
      <c r="D27" s="290">
        <f>WACC!D79</f>
        <v>0.1067477619756384</v>
      </c>
      <c r="E27" s="290">
        <f>WACC!E79</f>
        <v>0.11100466074541412</v>
      </c>
      <c r="F27" s="290">
        <f>WACC!F79</f>
        <v>0.11613422376299387</v>
      </c>
      <c r="G27" s="290">
        <f>WACC!G79</f>
        <v>0.12164690766985344</v>
      </c>
      <c r="H27" s="290">
        <f>WACC!H79</f>
        <v>0.12803225582451702</v>
      </c>
      <c r="I27" s="291">
        <f>WACC!I79</f>
        <v>0.13441760397918062</v>
      </c>
    </row>
    <row r="28" spans="2:11" x14ac:dyDescent="0.3">
      <c r="B28" s="266" t="str">
        <f>WACC!B80</f>
        <v>Risk-Free Rate</v>
      </c>
      <c r="C28" s="298">
        <f>WACC!C80</f>
        <v>0.13591</v>
      </c>
      <c r="D28" s="290">
        <f>WACC!D80</f>
        <v>0.13385143471719976</v>
      </c>
      <c r="E28" s="290">
        <f>WACC!E80</f>
        <v>0.13810833348697549</v>
      </c>
      <c r="F28" s="292">
        <f>WACC!F80</f>
        <v>0.14323789650455523</v>
      </c>
      <c r="G28" s="295">
        <f>WACC!G80</f>
        <v>0.14875058041141478</v>
      </c>
      <c r="H28" s="290">
        <f>WACC!H80</f>
        <v>0.15513592856607838</v>
      </c>
      <c r="I28" s="291">
        <f>WACC!I80</f>
        <v>0.16152127672074196</v>
      </c>
    </row>
    <row r="29" spans="2:11" x14ac:dyDescent="0.3">
      <c r="B29" s="299"/>
      <c r="C29" s="291">
        <f>WACC!C81</f>
        <v>0.16</v>
      </c>
      <c r="D29" s="290">
        <f>WACC!D81</f>
        <v>0.14807333574843945</v>
      </c>
      <c r="E29" s="290">
        <f>WACC!E81</f>
        <v>0.15233023451821517</v>
      </c>
      <c r="F29" s="290">
        <f>WACC!F81</f>
        <v>0.15745979753579492</v>
      </c>
      <c r="G29" s="290">
        <f>WACC!G81</f>
        <v>0.16297248144265447</v>
      </c>
      <c r="H29" s="290">
        <f>WACC!H81</f>
        <v>0.16935782959731804</v>
      </c>
      <c r="I29" s="291">
        <f>WACC!I81</f>
        <v>0.17574317775198164</v>
      </c>
    </row>
    <row r="30" spans="2:11" x14ac:dyDescent="0.3">
      <c r="B30" s="263"/>
      <c r="C30" s="300">
        <f>WACC!C82</f>
        <v>0.19</v>
      </c>
      <c r="D30" s="290">
        <f>WACC!D82</f>
        <v>0.16578429593678273</v>
      </c>
      <c r="E30" s="290">
        <f>WACC!E82</f>
        <v>0.17004119470655846</v>
      </c>
      <c r="F30" s="290">
        <f>WACC!F82</f>
        <v>0.1751707577241382</v>
      </c>
      <c r="G30" s="295">
        <f>WACC!G82</f>
        <v>0.18068344163099778</v>
      </c>
      <c r="H30" s="290">
        <f>WACC!H82</f>
        <v>0.18706878978566135</v>
      </c>
      <c r="I30" s="291">
        <f>WACC!I82</f>
        <v>0.19345413794032496</v>
      </c>
    </row>
    <row r="31" spans="2:11" x14ac:dyDescent="0.3">
      <c r="B31" s="267"/>
      <c r="C31" s="294">
        <f>WACC!C83</f>
        <v>0</v>
      </c>
      <c r="D31" s="285">
        <f>WACC!D83</f>
        <v>0</v>
      </c>
      <c r="E31" s="285">
        <f>WACC!E83</f>
        <v>0</v>
      </c>
      <c r="F31" s="285">
        <f>WACC!F83</f>
        <v>0</v>
      </c>
      <c r="G31" s="285">
        <f>WACC!G83</f>
        <v>0</v>
      </c>
      <c r="H31" s="285">
        <f>WACC!H83</f>
        <v>0</v>
      </c>
      <c r="I31" s="294">
        <f>WACC!I83</f>
        <v>0</v>
      </c>
    </row>
    <row r="32" spans="2:11" x14ac:dyDescent="0.3">
      <c r="B32" s="257"/>
      <c r="C32" s="257"/>
      <c r="D32" s="257"/>
      <c r="E32" s="257"/>
      <c r="F32" s="257"/>
      <c r="G32" s="257"/>
      <c r="H32" s="257"/>
      <c r="I32" s="257"/>
    </row>
    <row r="33" spans="2:9" x14ac:dyDescent="0.3">
      <c r="B33" s="269" t="s">
        <v>47</v>
      </c>
      <c r="C33" s="257"/>
      <c r="D33" s="257"/>
      <c r="E33" s="257"/>
      <c r="F33" s="257"/>
      <c r="G33" s="257"/>
      <c r="H33" s="257"/>
      <c r="I33" s="257"/>
    </row>
    <row r="34" spans="2:9" x14ac:dyDescent="0.3">
      <c r="B34" s="270" t="str">
        <f>WACC!B85</f>
        <v>These values represent the WACC figure for various levels of Rf and Rm</v>
      </c>
      <c r="C34" s="257"/>
      <c r="D34" s="257"/>
      <c r="E34" s="257"/>
      <c r="F34" s="257"/>
      <c r="G34" s="257"/>
      <c r="H34" s="257"/>
      <c r="I34" s="257"/>
    </row>
  </sheetData>
  <mergeCells count="3">
    <mergeCell ref="B2:E2"/>
    <mergeCell ref="D7:I7"/>
    <mergeCell ref="D23:I2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8B1B1-82AF-4B02-B44F-F2DF863C71BB}">
  <dimension ref="B2:I43"/>
  <sheetViews>
    <sheetView showGridLines="0" workbookViewId="0">
      <selection activeCell="C18" sqref="C18"/>
    </sheetView>
  </sheetViews>
  <sheetFormatPr defaultRowHeight="14.4" x14ac:dyDescent="0.3"/>
  <cols>
    <col min="2" max="2" width="40.77734375" bestFit="1" customWidth="1"/>
    <col min="3" max="3" width="14.6640625" bestFit="1" customWidth="1"/>
  </cols>
  <sheetData>
    <row r="2" spans="2:6" x14ac:dyDescent="0.3">
      <c r="B2" s="363" t="str">
        <f>"Calculation of the Cost of Debt (Kd)"&amp;" - "&amp;WACC!$B$12</f>
        <v>Calculation of the Cost of Debt (Kd) - Pakistan International Airlines</v>
      </c>
      <c r="C2" s="363"/>
      <c r="D2" s="363"/>
      <c r="E2" s="363"/>
      <c r="F2" s="363"/>
    </row>
    <row r="4" spans="2:6" x14ac:dyDescent="0.3">
      <c r="B4" s="73" t="s">
        <v>217</v>
      </c>
    </row>
    <row r="6" spans="2:6" x14ac:dyDescent="0.3">
      <c r="B6" s="384" t="s">
        <v>395</v>
      </c>
      <c r="C6" s="3">
        <f>(143721*1000)/10^6</f>
        <v>143.721</v>
      </c>
      <c r="D6" t="s">
        <v>213</v>
      </c>
    </row>
    <row r="7" spans="2:6" x14ac:dyDescent="0.3">
      <c r="B7" s="384"/>
    </row>
    <row r="8" spans="2:6" x14ac:dyDescent="0.3">
      <c r="B8" s="174"/>
    </row>
    <row r="9" spans="2:6" x14ac:dyDescent="0.3">
      <c r="B9" s="174" t="s">
        <v>396</v>
      </c>
      <c r="C9" s="61">
        <f>('Raw BS'!J57*1000)/10^6</f>
        <v>1427.2760000000001</v>
      </c>
    </row>
    <row r="10" spans="2:6" x14ac:dyDescent="0.3">
      <c r="B10" s="6" t="s">
        <v>218</v>
      </c>
      <c r="C10" s="25">
        <f>C6/C9</f>
        <v>0.10069601114290438</v>
      </c>
      <c r="D10" s="345"/>
      <c r="E10" s="6"/>
    </row>
    <row r="12" spans="2:6" x14ac:dyDescent="0.3">
      <c r="B12" s="73" t="s">
        <v>219</v>
      </c>
    </row>
    <row r="14" spans="2:6" x14ac:dyDescent="0.3">
      <c r="B14" t="s">
        <v>220</v>
      </c>
      <c r="C14" s="39">
        <f>WACC!L27</f>
        <v>0.13591</v>
      </c>
    </row>
    <row r="16" spans="2:6" ht="16.2" x14ac:dyDescent="0.3">
      <c r="B16" t="s">
        <v>221</v>
      </c>
      <c r="C16" s="39">
        <v>0.08</v>
      </c>
    </row>
    <row r="18" spans="2:9" x14ac:dyDescent="0.3">
      <c r="B18" s="6" t="s">
        <v>218</v>
      </c>
      <c r="C18" s="24">
        <f>C14+C16</f>
        <v>0.21590999999999999</v>
      </c>
      <c r="D18" s="345" t="s">
        <v>398</v>
      </c>
    </row>
    <row r="20" spans="2:9" ht="15" thickBot="1" x14ac:dyDescent="0.35">
      <c r="B20" s="60" t="s">
        <v>42</v>
      </c>
    </row>
    <row r="21" spans="2:9" x14ac:dyDescent="0.3">
      <c r="B21" s="375" t="s">
        <v>397</v>
      </c>
      <c r="C21" s="376"/>
      <c r="D21" s="376"/>
      <c r="E21" s="376"/>
      <c r="F21" s="376"/>
      <c r="G21" s="376"/>
      <c r="H21" s="376"/>
      <c r="I21" s="377"/>
    </row>
    <row r="22" spans="2:9" x14ac:dyDescent="0.3">
      <c r="B22" s="378"/>
      <c r="C22" s="379"/>
      <c r="D22" s="379"/>
      <c r="E22" s="379"/>
      <c r="F22" s="379"/>
      <c r="G22" s="379"/>
      <c r="H22" s="379"/>
      <c r="I22" s="380"/>
    </row>
    <row r="23" spans="2:9" x14ac:dyDescent="0.3">
      <c r="B23" s="378"/>
      <c r="C23" s="379"/>
      <c r="D23" s="379"/>
      <c r="E23" s="379"/>
      <c r="F23" s="379"/>
      <c r="G23" s="379"/>
      <c r="H23" s="379"/>
      <c r="I23" s="380"/>
    </row>
    <row r="24" spans="2:9" x14ac:dyDescent="0.3">
      <c r="B24" s="378"/>
      <c r="C24" s="379"/>
      <c r="D24" s="379"/>
      <c r="E24" s="379"/>
      <c r="F24" s="379"/>
      <c r="G24" s="379"/>
      <c r="H24" s="379"/>
      <c r="I24" s="380"/>
    </row>
    <row r="25" spans="2:9" x14ac:dyDescent="0.3">
      <c r="B25" s="378"/>
      <c r="C25" s="379"/>
      <c r="D25" s="379"/>
      <c r="E25" s="379"/>
      <c r="F25" s="379"/>
      <c r="G25" s="379"/>
      <c r="H25" s="379"/>
      <c r="I25" s="380"/>
    </row>
    <row r="26" spans="2:9" x14ac:dyDescent="0.3">
      <c r="B26" s="378"/>
      <c r="C26" s="379"/>
      <c r="D26" s="379"/>
      <c r="E26" s="379"/>
      <c r="F26" s="379"/>
      <c r="G26" s="379"/>
      <c r="H26" s="379"/>
      <c r="I26" s="380"/>
    </row>
    <row r="27" spans="2:9" x14ac:dyDescent="0.3">
      <c r="B27" s="378"/>
      <c r="C27" s="379"/>
      <c r="D27" s="379"/>
      <c r="E27" s="379"/>
      <c r="F27" s="379"/>
      <c r="G27" s="379"/>
      <c r="H27" s="379"/>
      <c r="I27" s="380"/>
    </row>
    <row r="28" spans="2:9" x14ac:dyDescent="0.3">
      <c r="B28" s="378"/>
      <c r="C28" s="379"/>
      <c r="D28" s="379"/>
      <c r="E28" s="379"/>
      <c r="F28" s="379"/>
      <c r="G28" s="379"/>
      <c r="H28" s="379"/>
      <c r="I28" s="380"/>
    </row>
    <row r="29" spans="2:9" x14ac:dyDescent="0.3">
      <c r="B29" s="378"/>
      <c r="C29" s="379"/>
      <c r="D29" s="379"/>
      <c r="E29" s="379"/>
      <c r="F29" s="379"/>
      <c r="G29" s="379"/>
      <c r="H29" s="379"/>
      <c r="I29" s="380"/>
    </row>
    <row r="30" spans="2:9" ht="15" thickBot="1" x14ac:dyDescent="0.35">
      <c r="B30" s="381"/>
      <c r="C30" s="382"/>
      <c r="D30" s="382"/>
      <c r="E30" s="382"/>
      <c r="F30" s="382"/>
      <c r="G30" s="382"/>
      <c r="H30" s="382"/>
      <c r="I30" s="383"/>
    </row>
    <row r="33" spans="2:9" ht="15" thickBot="1" x14ac:dyDescent="0.35">
      <c r="B33" s="60" t="s">
        <v>400</v>
      </c>
    </row>
    <row r="34" spans="2:9" ht="14.4" customHeight="1" x14ac:dyDescent="0.3">
      <c r="B34" s="375" t="s">
        <v>399</v>
      </c>
      <c r="C34" s="376"/>
      <c r="D34" s="376"/>
      <c r="E34" s="376"/>
      <c r="F34" s="376"/>
      <c r="G34" s="376"/>
      <c r="H34" s="376"/>
      <c r="I34" s="377"/>
    </row>
    <row r="35" spans="2:9" x14ac:dyDescent="0.3">
      <c r="B35" s="378"/>
      <c r="C35" s="379"/>
      <c r="D35" s="379"/>
      <c r="E35" s="379"/>
      <c r="F35" s="379"/>
      <c r="G35" s="379"/>
      <c r="H35" s="379"/>
      <c r="I35" s="380"/>
    </row>
    <row r="36" spans="2:9" x14ac:dyDescent="0.3">
      <c r="B36" s="378"/>
      <c r="C36" s="379"/>
      <c r="D36" s="379"/>
      <c r="E36" s="379"/>
      <c r="F36" s="379"/>
      <c r="G36" s="379"/>
      <c r="H36" s="379"/>
      <c r="I36" s="380"/>
    </row>
    <row r="37" spans="2:9" x14ac:dyDescent="0.3">
      <c r="B37" s="378"/>
      <c r="C37" s="379"/>
      <c r="D37" s="379"/>
      <c r="E37" s="379"/>
      <c r="F37" s="379"/>
      <c r="G37" s="379"/>
      <c r="H37" s="379"/>
      <c r="I37" s="380"/>
    </row>
    <row r="38" spans="2:9" x14ac:dyDescent="0.3">
      <c r="B38" s="378"/>
      <c r="C38" s="379"/>
      <c r="D38" s="379"/>
      <c r="E38" s="379"/>
      <c r="F38" s="379"/>
      <c r="G38" s="379"/>
      <c r="H38" s="379"/>
      <c r="I38" s="380"/>
    </row>
    <row r="39" spans="2:9" x14ac:dyDescent="0.3">
      <c r="B39" s="378"/>
      <c r="C39" s="379"/>
      <c r="D39" s="379"/>
      <c r="E39" s="379"/>
      <c r="F39" s="379"/>
      <c r="G39" s="379"/>
      <c r="H39" s="379"/>
      <c r="I39" s="380"/>
    </row>
    <row r="40" spans="2:9" ht="15" thickBot="1" x14ac:dyDescent="0.35">
      <c r="B40" s="381"/>
      <c r="C40" s="382"/>
      <c r="D40" s="382"/>
      <c r="E40" s="382"/>
      <c r="F40" s="382"/>
      <c r="G40" s="382"/>
      <c r="H40" s="382"/>
      <c r="I40" s="383"/>
    </row>
    <row r="41" spans="2:9" x14ac:dyDescent="0.3">
      <c r="B41" s="76"/>
      <c r="C41" s="76"/>
      <c r="D41" s="76"/>
      <c r="E41" s="76"/>
      <c r="F41" s="76"/>
      <c r="G41" s="76"/>
      <c r="H41" s="76"/>
      <c r="I41" s="76"/>
    </row>
    <row r="42" spans="2:9" x14ac:dyDescent="0.3">
      <c r="B42" s="76"/>
      <c r="C42" s="76"/>
      <c r="D42" s="76"/>
      <c r="E42" s="76"/>
      <c r="F42" s="76"/>
      <c r="G42" s="76"/>
      <c r="H42" s="76"/>
      <c r="I42" s="76"/>
    </row>
    <row r="43" spans="2:9" x14ac:dyDescent="0.3">
      <c r="B43" s="76"/>
      <c r="C43" s="76"/>
      <c r="D43" s="76"/>
      <c r="E43" s="76"/>
      <c r="F43" s="76"/>
      <c r="G43" s="76"/>
      <c r="H43" s="76"/>
      <c r="I43" s="76"/>
    </row>
  </sheetData>
  <mergeCells count="4">
    <mergeCell ref="B34:I40"/>
    <mergeCell ref="B2:F2"/>
    <mergeCell ref="B6:B7"/>
    <mergeCell ref="B21:I3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DD1F9-FC31-4D70-A25D-876A2E970A0E}">
  <dimension ref="B2:J24"/>
  <sheetViews>
    <sheetView showGridLines="0" workbookViewId="0">
      <selection activeCell="C18" sqref="C18"/>
    </sheetView>
  </sheetViews>
  <sheetFormatPr defaultRowHeight="14.4" x14ac:dyDescent="0.3"/>
  <sheetData>
    <row r="2" spans="2:4" x14ac:dyDescent="0.3">
      <c r="B2" s="62" t="s">
        <v>344</v>
      </c>
      <c r="C2" s="62"/>
      <c r="D2" s="62"/>
    </row>
    <row r="4" spans="2:4" x14ac:dyDescent="0.3">
      <c r="B4" s="62" t="s">
        <v>44</v>
      </c>
      <c r="C4" s="62" t="s">
        <v>45</v>
      </c>
    </row>
    <row r="5" spans="2:4" x14ac:dyDescent="0.3">
      <c r="B5" s="63">
        <v>2013</v>
      </c>
      <c r="C5" s="64">
        <v>0.49430000000000002</v>
      </c>
    </row>
    <row r="6" spans="2:4" x14ac:dyDescent="0.3">
      <c r="B6" s="63">
        <v>2014</v>
      </c>
      <c r="C6" s="64">
        <v>0.27200000000000002</v>
      </c>
    </row>
    <row r="7" spans="2:4" x14ac:dyDescent="0.3">
      <c r="B7" s="63">
        <f t="shared" ref="B7:B9" si="0">B8-1</f>
        <v>2015</v>
      </c>
      <c r="C7" s="64">
        <v>2.1299999999999999E-2</v>
      </c>
    </row>
    <row r="8" spans="2:4" x14ac:dyDescent="0.3">
      <c r="B8" s="63">
        <f t="shared" si="0"/>
        <v>2016</v>
      </c>
      <c r="C8" s="64">
        <v>0.45679999999999998</v>
      </c>
    </row>
    <row r="9" spans="2:4" x14ac:dyDescent="0.3">
      <c r="B9" s="63">
        <f t="shared" si="0"/>
        <v>2017</v>
      </c>
      <c r="C9" s="64">
        <v>-0.15340000000000001</v>
      </c>
    </row>
    <row r="10" spans="2:4" x14ac:dyDescent="0.3">
      <c r="B10" s="63">
        <f>B11-1</f>
        <v>2018</v>
      </c>
      <c r="C10" s="64">
        <v>-8.4099999999999994E-2</v>
      </c>
    </row>
    <row r="11" spans="2:4" x14ac:dyDescent="0.3">
      <c r="B11" s="63">
        <v>2019</v>
      </c>
      <c r="C11" s="64">
        <v>9.9000000000000005E-2</v>
      </c>
    </row>
    <row r="12" spans="2:4" x14ac:dyDescent="0.3">
      <c r="B12">
        <v>2020</v>
      </c>
      <c r="C12" s="39">
        <v>7.4099999999999999E-2</v>
      </c>
    </row>
    <row r="13" spans="2:4" x14ac:dyDescent="0.3">
      <c r="B13">
        <v>2021</v>
      </c>
      <c r="C13" s="42">
        <v>1.9199999999999998E-2</v>
      </c>
    </row>
    <row r="14" spans="2:4" x14ac:dyDescent="0.3">
      <c r="B14">
        <v>2022</v>
      </c>
      <c r="C14" s="39">
        <v>-9.3600000000000003E-2</v>
      </c>
    </row>
    <row r="15" spans="2:4" x14ac:dyDescent="0.3">
      <c r="B15">
        <v>2023</v>
      </c>
      <c r="C15" s="42">
        <v>0.54500000000000004</v>
      </c>
    </row>
    <row r="17" spans="2:10" x14ac:dyDescent="0.3">
      <c r="B17" s="62" t="s">
        <v>46</v>
      </c>
      <c r="C17" s="39">
        <f>AVERAGE(C5:C15)</f>
        <v>0.15005454545454547</v>
      </c>
    </row>
    <row r="18" spans="2:10" x14ac:dyDescent="0.3">
      <c r="B18" s="62" t="s">
        <v>16</v>
      </c>
      <c r="C18" s="39">
        <f>MEDIAN(C5:C15)</f>
        <v>7.4099999999999999E-2</v>
      </c>
    </row>
    <row r="21" spans="2:10" x14ac:dyDescent="0.3">
      <c r="B21" s="62" t="s">
        <v>47</v>
      </c>
    </row>
    <row r="22" spans="2:10" x14ac:dyDescent="0.3">
      <c r="B22" s="385" t="s">
        <v>345</v>
      </c>
      <c r="C22" s="385"/>
      <c r="D22" s="385"/>
      <c r="E22" s="385"/>
      <c r="F22" s="385"/>
      <c r="G22" s="385"/>
      <c r="H22" s="385"/>
      <c r="I22" s="385"/>
      <c r="J22" s="385"/>
    </row>
    <row r="23" spans="2:10" ht="14.4" customHeight="1" x14ac:dyDescent="0.3">
      <c r="B23" s="385"/>
      <c r="C23" s="385"/>
      <c r="D23" s="385"/>
      <c r="E23" s="385"/>
      <c r="F23" s="385"/>
      <c r="G23" s="385"/>
      <c r="H23" s="385"/>
      <c r="I23" s="385"/>
      <c r="J23" s="385"/>
    </row>
    <row r="24" spans="2:10" x14ac:dyDescent="0.3">
      <c r="B24" s="385"/>
      <c r="C24" s="385"/>
      <c r="D24" s="385"/>
      <c r="E24" s="385"/>
      <c r="F24" s="385"/>
      <c r="G24" s="385"/>
      <c r="H24" s="385"/>
      <c r="I24" s="385"/>
      <c r="J24" s="385"/>
    </row>
  </sheetData>
  <mergeCells count="1">
    <mergeCell ref="B22:J2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BF779-9922-46C9-A42D-4782CB8D3B85}">
  <dimension ref="B2:Y78"/>
  <sheetViews>
    <sheetView showGridLines="0" workbookViewId="0">
      <selection activeCell="J15" sqref="J15:N25"/>
    </sheetView>
  </sheetViews>
  <sheetFormatPr defaultRowHeight="14.4" x14ac:dyDescent="0.3"/>
  <cols>
    <col min="2" max="2" width="14.33203125" customWidth="1"/>
    <col min="3" max="3" width="12.88671875" customWidth="1"/>
    <col min="4" max="4" width="13.44140625" customWidth="1"/>
    <col min="7" max="7" width="14.77734375" customWidth="1"/>
    <col min="8" max="8" width="16.109375" customWidth="1"/>
    <col min="10" max="10" width="23.44140625" customWidth="1"/>
    <col min="12" max="14" width="18" customWidth="1"/>
    <col min="16" max="16" width="21.6640625" customWidth="1"/>
  </cols>
  <sheetData>
    <row r="2" spans="2:21" x14ac:dyDescent="0.3">
      <c r="B2" s="386" t="s">
        <v>350</v>
      </c>
      <c r="C2" s="386"/>
      <c r="D2" s="386"/>
    </row>
    <row r="3" spans="2:21" x14ac:dyDescent="0.3">
      <c r="B3" s="65"/>
      <c r="J3" s="60" t="str">
        <f>J15</f>
        <v>Note 2</v>
      </c>
    </row>
    <row r="4" spans="2:21" ht="16.2" x14ac:dyDescent="0.3">
      <c r="B4" s="367" t="str">
        <f>'Data-competitors'!B9</f>
        <v>Turkish Airlines</v>
      </c>
      <c r="C4" s="367"/>
      <c r="D4" s="367"/>
      <c r="E4" s="367"/>
      <c r="G4" s="367" t="s">
        <v>348</v>
      </c>
      <c r="H4" s="367"/>
      <c r="I4" s="66"/>
      <c r="J4" s="367" t="s">
        <v>48</v>
      </c>
      <c r="K4" s="367"/>
      <c r="L4" s="66"/>
      <c r="M4" s="66"/>
      <c r="N4" s="66"/>
    </row>
    <row r="6" spans="2:21" x14ac:dyDescent="0.3">
      <c r="B6" s="67" t="s">
        <v>49</v>
      </c>
      <c r="C6" s="67" t="s">
        <v>50</v>
      </c>
      <c r="D6" s="67" t="s">
        <v>51</v>
      </c>
      <c r="E6" s="10"/>
      <c r="F6" s="10"/>
      <c r="G6" s="67" t="s">
        <v>50</v>
      </c>
      <c r="H6" s="67" t="s">
        <v>51</v>
      </c>
      <c r="J6" t="s">
        <v>52</v>
      </c>
      <c r="K6" s="68">
        <f>Q10</f>
        <v>0.92563332473295512</v>
      </c>
      <c r="P6" t="s">
        <v>53</v>
      </c>
      <c r="Q6" s="68">
        <f>SLOPE(D8:D72,H8:H72)</f>
        <v>0.92563332473295479</v>
      </c>
      <c r="R6" s="28" t="s">
        <v>54</v>
      </c>
      <c r="S6" s="69"/>
      <c r="T6" s="69"/>
      <c r="U6" s="29"/>
    </row>
    <row r="7" spans="2:21" x14ac:dyDescent="0.3">
      <c r="B7" s="70">
        <v>45144</v>
      </c>
      <c r="C7">
        <v>265.7</v>
      </c>
      <c r="D7" s="8"/>
      <c r="G7" s="145">
        <v>7714.38</v>
      </c>
      <c r="H7" s="8"/>
      <c r="J7" t="s">
        <v>55</v>
      </c>
      <c r="K7" s="42">
        <v>0.5</v>
      </c>
      <c r="L7" s="72"/>
      <c r="M7" s="72"/>
      <c r="N7" s="72"/>
      <c r="Q7" s="68"/>
      <c r="R7" s="73"/>
      <c r="S7" s="73"/>
      <c r="T7" s="73"/>
      <c r="U7" s="73"/>
    </row>
    <row r="8" spans="2:21" x14ac:dyDescent="0.3">
      <c r="B8" s="70">
        <v>45151</v>
      </c>
      <c r="C8">
        <v>251.4</v>
      </c>
      <c r="D8" s="74">
        <f>(C8-C7)/C7</f>
        <v>-5.382009785472331E-2</v>
      </c>
      <c r="G8" s="145">
        <v>7513.29</v>
      </c>
      <c r="H8" s="74">
        <f t="shared" ref="H8:H71" si="0">(G8-G7)/G7</f>
        <v>-2.606690362673347E-2</v>
      </c>
      <c r="P8" t="s">
        <v>56</v>
      </c>
      <c r="Q8" s="68">
        <f>_xlfn.COVARIANCE.S(D8:D72,H8:H72)/_xlfn.VAR.S(H8:H72)</f>
        <v>0.9256333247329549</v>
      </c>
      <c r="R8" s="374" t="s">
        <v>57</v>
      </c>
      <c r="S8" s="374"/>
      <c r="T8" s="374"/>
      <c r="U8" s="374"/>
    </row>
    <row r="9" spans="2:21" x14ac:dyDescent="0.3">
      <c r="B9" s="70">
        <v>45158</v>
      </c>
      <c r="C9">
        <v>238</v>
      </c>
      <c r="D9" s="74">
        <f t="shared" ref="D9:D72" si="1">(C9-C8)/C8</f>
        <v>-5.3301511535401774E-2</v>
      </c>
      <c r="G9" s="145">
        <v>7716.67</v>
      </c>
      <c r="H9" s="74">
        <f t="shared" si="0"/>
        <v>2.7069366416044117E-2</v>
      </c>
      <c r="J9" t="s">
        <v>58</v>
      </c>
      <c r="K9">
        <v>1</v>
      </c>
      <c r="Q9" s="68"/>
      <c r="R9" s="73"/>
      <c r="S9" s="73"/>
      <c r="T9" s="73"/>
      <c r="U9" s="73"/>
    </row>
    <row r="10" spans="2:21" x14ac:dyDescent="0.3">
      <c r="B10" s="70">
        <v>45165</v>
      </c>
      <c r="C10">
        <v>254</v>
      </c>
      <c r="D10" s="74">
        <f t="shared" si="1"/>
        <v>6.7226890756302518E-2</v>
      </c>
      <c r="G10" s="145">
        <v>8056.12</v>
      </c>
      <c r="H10" s="74">
        <f t="shared" si="0"/>
        <v>4.3989181862124443E-2</v>
      </c>
      <c r="J10" t="s">
        <v>59</v>
      </c>
      <c r="K10" s="39">
        <f>100%-K7</f>
        <v>0.5</v>
      </c>
      <c r="P10" t="s">
        <v>60</v>
      </c>
      <c r="Q10" s="68">
        <f>R35</f>
        <v>0.92563332473295512</v>
      </c>
      <c r="R10" s="374" t="s">
        <v>61</v>
      </c>
      <c r="S10" s="374"/>
      <c r="T10" s="374"/>
      <c r="U10" s="374"/>
    </row>
    <row r="11" spans="2:21" x14ac:dyDescent="0.3">
      <c r="B11" s="70">
        <v>45172</v>
      </c>
      <c r="C11">
        <v>243.3</v>
      </c>
      <c r="D11" s="74">
        <f t="shared" si="1"/>
        <v>-4.2125984251968458E-2</v>
      </c>
      <c r="G11" s="145">
        <v>8325.2999999999993</v>
      </c>
      <c r="H11" s="74">
        <f t="shared" si="0"/>
        <v>3.3413107054015997E-2</v>
      </c>
    </row>
    <row r="12" spans="2:21" x14ac:dyDescent="0.3">
      <c r="B12" s="70">
        <v>45179</v>
      </c>
      <c r="C12">
        <v>227.1</v>
      </c>
      <c r="D12" s="74">
        <f>(C12-C9)/C9</f>
        <v>-4.5798319327731117E-2</v>
      </c>
      <c r="G12" s="145">
        <v>7961.98</v>
      </c>
      <c r="H12" s="74">
        <f t="shared" si="0"/>
        <v>-4.3640469412513629E-2</v>
      </c>
      <c r="J12" s="69" t="s">
        <v>62</v>
      </c>
      <c r="K12" s="75">
        <f>(K6*K7)+(K9*K10)</f>
        <v>0.96281666236647756</v>
      </c>
    </row>
    <row r="13" spans="2:21" x14ac:dyDescent="0.3">
      <c r="B13" s="70">
        <v>45186</v>
      </c>
      <c r="C13">
        <v>226.1</v>
      </c>
      <c r="D13" s="74">
        <f t="shared" si="1"/>
        <v>-4.4033465433729636E-3</v>
      </c>
      <c r="G13" s="145">
        <v>8039.18</v>
      </c>
      <c r="H13" s="74">
        <f t="shared" si="0"/>
        <v>9.6960806231616674E-3</v>
      </c>
    </row>
    <row r="14" spans="2:21" x14ac:dyDescent="0.3">
      <c r="B14" s="70">
        <v>45193</v>
      </c>
      <c r="C14">
        <v>242.5</v>
      </c>
      <c r="D14" s="74">
        <f t="shared" si="1"/>
        <v>7.2534276868642222E-2</v>
      </c>
      <c r="G14" s="145">
        <v>8334.94</v>
      </c>
      <c r="H14" s="74">
        <f t="shared" si="0"/>
        <v>3.6789821847501888E-2</v>
      </c>
    </row>
    <row r="15" spans="2:21" x14ac:dyDescent="0.3">
      <c r="B15" s="70">
        <v>45200</v>
      </c>
      <c r="C15">
        <v>238.4</v>
      </c>
      <c r="D15" s="74">
        <f t="shared" si="1"/>
        <v>-1.6907216494845338E-2</v>
      </c>
      <c r="G15" s="145">
        <v>8464.93</v>
      </c>
      <c r="H15" s="74">
        <f t="shared" si="0"/>
        <v>1.55957931310843E-2</v>
      </c>
      <c r="J15" s="60" t="s">
        <v>42</v>
      </c>
    </row>
    <row r="16" spans="2:21" x14ac:dyDescent="0.3">
      <c r="B16" s="70">
        <v>45207</v>
      </c>
      <c r="C16">
        <v>222.2</v>
      </c>
      <c r="D16" s="74">
        <f t="shared" si="1"/>
        <v>-6.7953020134228256E-2</v>
      </c>
      <c r="G16" s="145">
        <v>8113.3</v>
      </c>
      <c r="H16" s="74">
        <f t="shared" si="0"/>
        <v>-4.1539622891152095E-2</v>
      </c>
      <c r="J16" s="379" t="s">
        <v>63</v>
      </c>
      <c r="K16" s="379"/>
      <c r="L16" s="379"/>
      <c r="M16" s="379"/>
      <c r="N16" s="379"/>
    </row>
    <row r="17" spans="2:22" x14ac:dyDescent="0.3">
      <c r="B17" s="70">
        <v>45214</v>
      </c>
      <c r="C17">
        <v>207.1</v>
      </c>
      <c r="D17" s="74">
        <f t="shared" si="1"/>
        <v>-6.795679567956793E-2</v>
      </c>
      <c r="G17" s="145">
        <v>7510.68</v>
      </c>
      <c r="H17" s="74">
        <f t="shared" si="0"/>
        <v>-7.427557220859575E-2</v>
      </c>
      <c r="J17" s="379"/>
      <c r="K17" s="379"/>
      <c r="L17" s="379"/>
      <c r="M17" s="379"/>
      <c r="N17" s="379"/>
    </row>
    <row r="18" spans="2:22" x14ac:dyDescent="0.3">
      <c r="B18" s="70">
        <v>45221</v>
      </c>
      <c r="C18">
        <v>217.2</v>
      </c>
      <c r="D18" s="74">
        <f t="shared" si="1"/>
        <v>4.8768710767745027E-2</v>
      </c>
      <c r="G18" s="145">
        <v>7706.41</v>
      </c>
      <c r="H18" s="74">
        <f t="shared" si="0"/>
        <v>2.6060223574962526E-2</v>
      </c>
      <c r="J18" s="379"/>
      <c r="K18" s="379"/>
      <c r="L18" s="379"/>
      <c r="M18" s="379"/>
      <c r="N18" s="379"/>
      <c r="P18" s="77"/>
      <c r="Q18" t="s">
        <v>64</v>
      </c>
    </row>
    <row r="19" spans="2:22" ht="15" thickBot="1" x14ac:dyDescent="0.35">
      <c r="B19" s="70">
        <v>45228</v>
      </c>
      <c r="C19">
        <v>225.7</v>
      </c>
      <c r="D19" s="74">
        <f t="shared" si="1"/>
        <v>3.9134438305709028E-2</v>
      </c>
      <c r="G19" s="145">
        <v>7705.99</v>
      </c>
      <c r="H19" s="74">
        <f t="shared" si="0"/>
        <v>-5.4500084994189614E-5</v>
      </c>
      <c r="J19" s="379"/>
      <c r="K19" s="379"/>
      <c r="L19" s="379"/>
      <c r="M19" s="379"/>
      <c r="N19" s="379"/>
    </row>
    <row r="20" spans="2:22" x14ac:dyDescent="0.3">
      <c r="B20" s="70">
        <v>45235</v>
      </c>
      <c r="C20">
        <v>229.1</v>
      </c>
      <c r="D20" s="74">
        <f t="shared" si="1"/>
        <v>1.5064244572441319E-2</v>
      </c>
      <c r="G20" s="145">
        <v>7771.34</v>
      </c>
      <c r="H20" s="74">
        <f t="shared" si="0"/>
        <v>8.4804158842667031E-3</v>
      </c>
      <c r="J20" s="379"/>
      <c r="K20" s="379"/>
      <c r="L20" s="379"/>
      <c r="M20" s="379"/>
      <c r="N20" s="379"/>
      <c r="Q20" s="327" t="s">
        <v>65</v>
      </c>
      <c r="R20" s="327"/>
    </row>
    <row r="21" spans="2:22" x14ac:dyDescent="0.3">
      <c r="B21" s="70">
        <v>45242</v>
      </c>
      <c r="C21">
        <v>254.25</v>
      </c>
      <c r="D21" s="74">
        <f t="shared" si="1"/>
        <v>0.10977738978611963</v>
      </c>
      <c r="G21" s="145">
        <v>7853.36</v>
      </c>
      <c r="H21" s="74">
        <f t="shared" si="0"/>
        <v>1.0554164404079544E-2</v>
      </c>
      <c r="J21" s="379"/>
      <c r="K21" s="379"/>
      <c r="L21" s="379"/>
      <c r="M21" s="379"/>
      <c r="N21" s="379"/>
      <c r="Q21" t="s">
        <v>66</v>
      </c>
      <c r="R21">
        <v>0.67136025627921947</v>
      </c>
    </row>
    <row r="22" spans="2:22" x14ac:dyDescent="0.3">
      <c r="B22" s="70">
        <v>45249</v>
      </c>
      <c r="C22">
        <v>259.75</v>
      </c>
      <c r="D22" s="74">
        <f t="shared" si="1"/>
        <v>2.1632251720747297E-2</v>
      </c>
      <c r="G22" s="145">
        <v>7959.95</v>
      </c>
      <c r="H22" s="74">
        <f t="shared" si="0"/>
        <v>1.3572534558456526E-2</v>
      </c>
      <c r="J22" s="379"/>
      <c r="K22" s="379"/>
      <c r="L22" s="379"/>
      <c r="M22" s="379"/>
      <c r="N22" s="379"/>
      <c r="Q22" t="s">
        <v>67</v>
      </c>
      <c r="R22">
        <v>0.45072459371129919</v>
      </c>
    </row>
    <row r="23" spans="2:22" x14ac:dyDescent="0.3">
      <c r="B23" s="70">
        <v>45256</v>
      </c>
      <c r="C23">
        <v>260.75</v>
      </c>
      <c r="D23" s="74">
        <f t="shared" si="1"/>
        <v>3.8498556304138597E-3</v>
      </c>
      <c r="G23" s="145">
        <v>8026.27</v>
      </c>
      <c r="H23" s="74">
        <f t="shared" si="0"/>
        <v>8.3317106263231071E-3</v>
      </c>
      <c r="J23" s="379"/>
      <c r="K23" s="379"/>
      <c r="L23" s="379"/>
      <c r="M23" s="379"/>
      <c r="N23" s="379"/>
      <c r="Q23" t="s">
        <v>68</v>
      </c>
      <c r="R23">
        <v>0.44200593646862141</v>
      </c>
    </row>
    <row r="24" spans="2:22" x14ac:dyDescent="0.3">
      <c r="B24" s="70">
        <v>45263</v>
      </c>
      <c r="C24">
        <v>254</v>
      </c>
      <c r="D24" s="74">
        <f t="shared" si="1"/>
        <v>-2.5886864813039309E-2</v>
      </c>
      <c r="G24" s="145">
        <v>7913.76</v>
      </c>
      <c r="H24" s="74">
        <f t="shared" si="0"/>
        <v>-1.4017719314202017E-2</v>
      </c>
      <c r="J24" s="379"/>
      <c r="K24" s="379"/>
      <c r="L24" s="379"/>
      <c r="M24" s="379"/>
      <c r="N24" s="379"/>
      <c r="Q24" t="s">
        <v>69</v>
      </c>
      <c r="R24">
        <v>2.9984890114490827E-2</v>
      </c>
    </row>
    <row r="25" spans="2:22" ht="15" thickBot="1" x14ac:dyDescent="0.35">
      <c r="B25" s="70">
        <v>45270</v>
      </c>
      <c r="C25">
        <v>253.25</v>
      </c>
      <c r="D25" s="74">
        <f t="shared" si="1"/>
        <v>-2.952755905511811E-3</v>
      </c>
      <c r="G25" s="145">
        <v>7993.85</v>
      </c>
      <c r="H25" s="74">
        <f t="shared" si="0"/>
        <v>1.0120347344372352E-2</v>
      </c>
      <c r="J25" s="379"/>
      <c r="K25" s="379"/>
      <c r="L25" s="379"/>
      <c r="M25" s="379"/>
      <c r="N25" s="379"/>
      <c r="Q25" s="78" t="s">
        <v>70</v>
      </c>
      <c r="R25" s="78">
        <v>65</v>
      </c>
    </row>
    <row r="26" spans="2:22" x14ac:dyDescent="0.3">
      <c r="B26" s="70">
        <v>45277</v>
      </c>
      <c r="C26">
        <v>233</v>
      </c>
      <c r="D26" s="74">
        <f t="shared" si="1"/>
        <v>-7.9960513326752219E-2</v>
      </c>
      <c r="G26" s="145">
        <v>7557.56</v>
      </c>
      <c r="H26" s="74">
        <f t="shared" si="0"/>
        <v>-5.4578206996628652E-2</v>
      </c>
    </row>
    <row r="27" spans="2:22" ht="15" thickBot="1" x14ac:dyDescent="0.35">
      <c r="B27" s="70">
        <v>45284</v>
      </c>
      <c r="C27">
        <v>228.6</v>
      </c>
      <c r="D27" s="74">
        <f t="shared" si="1"/>
        <v>-1.8884120171673843E-2</v>
      </c>
      <c r="G27" s="145">
        <v>7470.18</v>
      </c>
      <c r="H27" s="74">
        <f t="shared" si="0"/>
        <v>-1.156193268726945E-2</v>
      </c>
      <c r="P27" s="77"/>
      <c r="Q27" t="s">
        <v>71</v>
      </c>
    </row>
    <row r="28" spans="2:22" x14ac:dyDescent="0.3">
      <c r="B28" s="70">
        <v>45291</v>
      </c>
      <c r="C28">
        <v>239.2</v>
      </c>
      <c r="D28" s="74">
        <f t="shared" si="1"/>
        <v>4.6369203849518786E-2</v>
      </c>
      <c r="G28" s="145">
        <v>7628.73</v>
      </c>
      <c r="H28" s="74">
        <f t="shared" si="0"/>
        <v>2.1224388167353298E-2</v>
      </c>
      <c r="Q28" s="178"/>
      <c r="R28" s="178" t="s">
        <v>72</v>
      </c>
      <c r="S28" s="178" t="s">
        <v>73</v>
      </c>
      <c r="T28" s="178" t="s">
        <v>74</v>
      </c>
      <c r="U28" s="178" t="s">
        <v>75</v>
      </c>
      <c r="V28" s="178" t="s">
        <v>76</v>
      </c>
    </row>
    <row r="29" spans="2:22" x14ac:dyDescent="0.3">
      <c r="B29" s="70">
        <v>45298</v>
      </c>
      <c r="C29">
        <v>251</v>
      </c>
      <c r="D29" s="74">
        <f t="shared" si="1"/>
        <v>4.9331103678929816E-2</v>
      </c>
      <c r="G29" s="145">
        <v>7986.47</v>
      </c>
      <c r="H29" s="74">
        <f t="shared" si="0"/>
        <v>4.6893781795921567E-2</v>
      </c>
      <c r="Q29" t="s">
        <v>77</v>
      </c>
      <c r="R29">
        <v>1</v>
      </c>
      <c r="S29">
        <v>4.6480048721309258E-2</v>
      </c>
      <c r="T29">
        <v>4.6480048721309258E-2</v>
      </c>
      <c r="U29">
        <v>51.696560739307913</v>
      </c>
      <c r="V29">
        <v>9.314892270215401E-10</v>
      </c>
    </row>
    <row r="30" spans="2:22" x14ac:dyDescent="0.3">
      <c r="B30" s="70">
        <v>45305</v>
      </c>
      <c r="C30">
        <v>250.25</v>
      </c>
      <c r="D30" s="74">
        <f t="shared" si="1"/>
        <v>-2.9880478087649402E-3</v>
      </c>
      <c r="G30" s="145">
        <v>7996.7</v>
      </c>
      <c r="H30" s="74">
        <f t="shared" si="0"/>
        <v>1.2809163497765049E-3</v>
      </c>
      <c r="Q30" t="s">
        <v>78</v>
      </c>
      <c r="R30">
        <v>63</v>
      </c>
      <c r="S30">
        <v>5.6642899016219647E-2</v>
      </c>
      <c r="T30">
        <v>8.990936351780896E-4</v>
      </c>
    </row>
    <row r="31" spans="2:22" ht="15" thickBot="1" x14ac:dyDescent="0.35">
      <c r="B31" s="70">
        <v>45312</v>
      </c>
      <c r="C31">
        <v>260</v>
      </c>
      <c r="D31" s="74">
        <f t="shared" si="1"/>
        <v>3.896103896103896E-2</v>
      </c>
      <c r="G31" s="145">
        <v>8346.2800000000007</v>
      </c>
      <c r="H31" s="74">
        <f t="shared" si="0"/>
        <v>4.3715532657221209E-2</v>
      </c>
      <c r="Q31" s="78" t="s">
        <v>79</v>
      </c>
      <c r="R31" s="78">
        <v>64</v>
      </c>
      <c r="S31" s="78">
        <v>0.10312294773752891</v>
      </c>
      <c r="T31" s="78"/>
      <c r="U31" s="78"/>
      <c r="V31" s="78"/>
    </row>
    <row r="32" spans="2:22" ht="15" thickBot="1" x14ac:dyDescent="0.35">
      <c r="B32" s="70">
        <v>45319</v>
      </c>
      <c r="C32">
        <v>281.5</v>
      </c>
      <c r="D32" s="74">
        <f t="shared" si="1"/>
        <v>8.269230769230769E-2</v>
      </c>
      <c r="G32" s="145">
        <v>8665.68</v>
      </c>
      <c r="H32" s="74">
        <f t="shared" si="0"/>
        <v>3.8268545986954623E-2</v>
      </c>
    </row>
    <row r="33" spans="2:25" x14ac:dyDescent="0.3">
      <c r="B33" s="70">
        <v>45326</v>
      </c>
      <c r="C33">
        <v>294.75</v>
      </c>
      <c r="D33" s="74">
        <f t="shared" si="1"/>
        <v>4.7069271758436948E-2</v>
      </c>
      <c r="G33" s="145">
        <v>9045.9699999999993</v>
      </c>
      <c r="H33" s="74">
        <f t="shared" si="0"/>
        <v>4.3884611478845176E-2</v>
      </c>
      <c r="Q33" s="178"/>
      <c r="R33" s="178" t="s">
        <v>80</v>
      </c>
      <c r="S33" s="178" t="s">
        <v>69</v>
      </c>
      <c r="T33" s="178" t="s">
        <v>81</v>
      </c>
      <c r="U33" s="178" t="s">
        <v>82</v>
      </c>
      <c r="V33" s="178" t="s">
        <v>83</v>
      </c>
      <c r="W33" s="178" t="s">
        <v>84</v>
      </c>
      <c r="X33" s="178" t="s">
        <v>85</v>
      </c>
      <c r="Y33" s="178" t="s">
        <v>86</v>
      </c>
    </row>
    <row r="34" spans="2:25" x14ac:dyDescent="0.3">
      <c r="B34" s="70">
        <v>45333</v>
      </c>
      <c r="C34">
        <v>282.5</v>
      </c>
      <c r="D34" s="74">
        <f>(C34-C33)/C33</f>
        <v>-4.1560644614079725E-2</v>
      </c>
      <c r="G34" s="145">
        <v>9250.36</v>
      </c>
      <c r="H34" s="74">
        <f t="shared" si="0"/>
        <v>2.2594591845871835E-2</v>
      </c>
      <c r="Q34" t="s">
        <v>87</v>
      </c>
      <c r="R34">
        <v>-1.239137012039467E-3</v>
      </c>
      <c r="S34">
        <v>3.733713778075192E-3</v>
      </c>
      <c r="T34">
        <v>-0.33187787969067845</v>
      </c>
      <c r="U34">
        <v>0.74108307234213799</v>
      </c>
      <c r="V34">
        <v>-8.7003686289354124E-3</v>
      </c>
      <c r="W34">
        <v>6.2220946048564783E-3</v>
      </c>
      <c r="X34">
        <v>-8.7003686289354124E-3</v>
      </c>
      <c r="Y34">
        <v>6.2220946048564783E-3</v>
      </c>
    </row>
    <row r="35" spans="2:25" ht="15" thickBot="1" x14ac:dyDescent="0.35">
      <c r="B35" s="70">
        <v>45340</v>
      </c>
      <c r="C35">
        <v>286.5</v>
      </c>
      <c r="D35" s="74">
        <f>(C35-C33)/C33</f>
        <v>-2.7989821882951654E-2</v>
      </c>
      <c r="G35" s="145">
        <v>9374.2000000000007</v>
      </c>
      <c r="H35" s="74">
        <f t="shared" si="0"/>
        <v>1.3387587077692126E-2</v>
      </c>
      <c r="P35" s="79"/>
      <c r="Q35" s="78" t="s">
        <v>88</v>
      </c>
      <c r="R35" s="78">
        <v>0.92563332473295512</v>
      </c>
      <c r="S35" s="78">
        <v>0.12873841445432124</v>
      </c>
      <c r="T35" s="78">
        <v>7.1900320402142812</v>
      </c>
      <c r="U35" s="78">
        <v>9.3148922702153348E-10</v>
      </c>
      <c r="V35" s="78">
        <v>0.66837013174904669</v>
      </c>
      <c r="W35" s="78">
        <v>1.1828965177168635</v>
      </c>
      <c r="X35" s="78">
        <v>0.66837013174904669</v>
      </c>
      <c r="Y35" s="78">
        <v>1.1828965177168635</v>
      </c>
    </row>
    <row r="36" spans="2:25" x14ac:dyDescent="0.3">
      <c r="B36" s="70">
        <v>45347</v>
      </c>
      <c r="C36">
        <v>277.75</v>
      </c>
      <c r="D36" s="74">
        <f t="shared" si="1"/>
        <v>-3.0541012216404886E-2</v>
      </c>
      <c r="G36" s="145">
        <v>9097.15</v>
      </c>
      <c r="H36" s="74">
        <f t="shared" si="0"/>
        <v>-2.9554521985876242E-2</v>
      </c>
    </row>
    <row r="37" spans="2:25" x14ac:dyDescent="0.3">
      <c r="B37" s="70">
        <v>45354</v>
      </c>
      <c r="C37">
        <v>279.25</v>
      </c>
      <c r="D37" s="74">
        <f t="shared" si="1"/>
        <v>5.4005400540054005E-3</v>
      </c>
      <c r="G37" s="145">
        <v>9155.32</v>
      </c>
      <c r="H37" s="74">
        <f t="shared" si="0"/>
        <v>6.3943103059749566E-3</v>
      </c>
    </row>
    <row r="38" spans="2:25" x14ac:dyDescent="0.3">
      <c r="B38" s="70">
        <v>45361</v>
      </c>
      <c r="C38">
        <v>270.25</v>
      </c>
      <c r="D38" s="74">
        <f t="shared" si="1"/>
        <v>-3.222918531781558E-2</v>
      </c>
      <c r="G38" s="145">
        <v>8828.7000000000007</v>
      </c>
      <c r="H38" s="74">
        <f t="shared" si="0"/>
        <v>-3.5675432426173964E-2</v>
      </c>
    </row>
    <row r="39" spans="2:25" x14ac:dyDescent="0.3">
      <c r="B39" s="70">
        <v>45368</v>
      </c>
      <c r="C39">
        <v>291.25</v>
      </c>
      <c r="D39" s="74">
        <f t="shared" si="1"/>
        <v>7.7705827937095281E-2</v>
      </c>
      <c r="G39" s="145">
        <v>9111.5</v>
      </c>
      <c r="H39" s="74">
        <f t="shared" si="0"/>
        <v>3.2031895975624863E-2</v>
      </c>
    </row>
    <row r="40" spans="2:25" x14ac:dyDescent="0.3">
      <c r="B40" s="70">
        <v>45375</v>
      </c>
      <c r="C40">
        <v>297.75</v>
      </c>
      <c r="D40" s="74">
        <f t="shared" si="1"/>
        <v>2.2317596566523604E-2</v>
      </c>
      <c r="G40" s="145">
        <v>9142.4</v>
      </c>
      <c r="H40" s="74">
        <f t="shared" si="0"/>
        <v>3.3913186632277491E-3</v>
      </c>
      <c r="P40" s="79"/>
      <c r="Q40" s="79"/>
      <c r="R40" s="79"/>
      <c r="S40" s="79"/>
      <c r="T40" s="79"/>
      <c r="U40" s="79"/>
      <c r="V40" s="79"/>
      <c r="W40" s="79"/>
      <c r="X40" s="79"/>
    </row>
    <row r="41" spans="2:25" x14ac:dyDescent="0.3">
      <c r="B41" s="70">
        <v>45382</v>
      </c>
      <c r="C41">
        <v>307.25</v>
      </c>
      <c r="D41" s="74">
        <f t="shared" si="1"/>
        <v>3.190596137699412E-2</v>
      </c>
      <c r="G41" s="145">
        <v>9618.83</v>
      </c>
      <c r="H41" s="74">
        <f t="shared" si="0"/>
        <v>5.2112136856842878E-2</v>
      </c>
    </row>
    <row r="42" spans="2:25" x14ac:dyDescent="0.3">
      <c r="B42" s="70">
        <v>45389</v>
      </c>
      <c r="C42">
        <v>309.25</v>
      </c>
      <c r="D42" s="74">
        <f t="shared" si="1"/>
        <v>6.5093572009764034E-3</v>
      </c>
      <c r="G42" s="145">
        <v>9814.19</v>
      </c>
      <c r="H42" s="74">
        <f t="shared" si="0"/>
        <v>2.0310162462586465E-2</v>
      </c>
    </row>
    <row r="43" spans="2:25" x14ac:dyDescent="0.3">
      <c r="B43" s="70">
        <v>45396</v>
      </c>
      <c r="C43">
        <v>302.5</v>
      </c>
      <c r="D43" s="74">
        <f t="shared" si="1"/>
        <v>-2.1827000808407437E-2</v>
      </c>
      <c r="G43" s="145">
        <v>9693.4599999999991</v>
      </c>
      <c r="H43" s="74">
        <f t="shared" si="0"/>
        <v>-1.2301575575773587E-2</v>
      </c>
    </row>
    <row r="44" spans="2:25" x14ac:dyDescent="0.3">
      <c r="B44" s="70">
        <v>45403</v>
      </c>
      <c r="C44">
        <v>317</v>
      </c>
      <c r="D44" s="74">
        <f t="shared" si="1"/>
        <v>4.7933884297520664E-2</v>
      </c>
      <c r="G44" s="145">
        <v>9915.6200000000008</v>
      </c>
      <c r="H44" s="74">
        <f t="shared" si="0"/>
        <v>2.2918545080910395E-2</v>
      </c>
    </row>
    <row r="45" spans="2:25" x14ac:dyDescent="0.3">
      <c r="B45" s="70">
        <v>45410</v>
      </c>
      <c r="C45">
        <v>325</v>
      </c>
      <c r="D45" s="74">
        <f t="shared" si="1"/>
        <v>2.5236593059936908E-2</v>
      </c>
      <c r="G45" s="145">
        <v>10276.879999999999</v>
      </c>
      <c r="H45" s="74">
        <f t="shared" si="0"/>
        <v>3.6433425242193465E-2</v>
      </c>
    </row>
    <row r="46" spans="2:25" x14ac:dyDescent="0.3">
      <c r="B46" s="70">
        <v>45417</v>
      </c>
      <c r="C46">
        <v>318</v>
      </c>
      <c r="D46" s="74">
        <f t="shared" si="1"/>
        <v>-2.1538461538461538E-2</v>
      </c>
      <c r="G46" s="145">
        <v>10218.58</v>
      </c>
      <c r="H46" s="74">
        <f t="shared" si="0"/>
        <v>-5.6729279703566912E-3</v>
      </c>
    </row>
    <row r="47" spans="2:25" x14ac:dyDescent="0.3">
      <c r="B47" s="70">
        <v>45424</v>
      </c>
      <c r="C47">
        <v>323.5</v>
      </c>
      <c r="D47" s="74">
        <f t="shared" si="1"/>
        <v>1.7295597484276729E-2</v>
      </c>
      <c r="G47" s="145">
        <v>10643.58</v>
      </c>
      <c r="H47" s="74">
        <f t="shared" si="0"/>
        <v>4.1590905977151427E-2</v>
      </c>
    </row>
    <row r="48" spans="2:25" x14ac:dyDescent="0.3">
      <c r="B48" s="70">
        <v>45431</v>
      </c>
      <c r="C48">
        <v>318.25</v>
      </c>
      <c r="D48" s="74">
        <f t="shared" si="1"/>
        <v>-1.6228748068006182E-2</v>
      </c>
      <c r="G48" s="145">
        <v>10676.65</v>
      </c>
      <c r="H48" s="74">
        <f t="shared" si="0"/>
        <v>3.1070372938428337E-3</v>
      </c>
    </row>
    <row r="49" spans="2:8" x14ac:dyDescent="0.3">
      <c r="B49" s="70">
        <v>45438</v>
      </c>
      <c r="C49">
        <v>302.75</v>
      </c>
      <c r="D49" s="74">
        <f t="shared" si="1"/>
        <v>-4.8703849175176749E-2</v>
      </c>
      <c r="G49" s="145">
        <v>10400.48</v>
      </c>
      <c r="H49" s="74">
        <f t="shared" si="0"/>
        <v>-2.5866727859394107E-2</v>
      </c>
    </row>
    <row r="50" spans="2:8" x14ac:dyDescent="0.3">
      <c r="B50" s="70">
        <v>45445</v>
      </c>
      <c r="C50">
        <v>302.5</v>
      </c>
      <c r="D50" s="74">
        <f t="shared" si="1"/>
        <v>-8.2576383154417832E-4</v>
      </c>
      <c r="G50" s="145">
        <v>10138.969999999999</v>
      </c>
      <c r="H50" s="74">
        <f t="shared" si="0"/>
        <v>-2.5144031813916303E-2</v>
      </c>
    </row>
    <row r="51" spans="2:8" x14ac:dyDescent="0.3">
      <c r="B51" s="70">
        <v>45452</v>
      </c>
      <c r="C51">
        <v>311.75</v>
      </c>
      <c r="D51" s="74">
        <f t="shared" si="1"/>
        <v>3.0578512396694214E-2</v>
      </c>
      <c r="G51" s="145">
        <v>10471.32</v>
      </c>
      <c r="H51" s="74">
        <f t="shared" si="0"/>
        <v>3.2779463791686968E-2</v>
      </c>
    </row>
    <row r="52" spans="2:8" x14ac:dyDescent="0.3">
      <c r="B52" s="70">
        <v>45459</v>
      </c>
      <c r="C52">
        <v>316</v>
      </c>
      <c r="D52" s="74">
        <f t="shared" si="1"/>
        <v>1.3632718524458701E-2</v>
      </c>
      <c r="G52" s="145">
        <v>10771.36</v>
      </c>
      <c r="H52" s="74">
        <f t="shared" si="0"/>
        <v>2.8653503092255884E-2</v>
      </c>
    </row>
    <row r="53" spans="2:8" x14ac:dyDescent="0.3">
      <c r="B53" s="70">
        <v>45466</v>
      </c>
      <c r="C53">
        <v>308.75</v>
      </c>
      <c r="D53" s="74">
        <f t="shared" si="1"/>
        <v>-2.2943037974683545E-2</v>
      </c>
      <c r="G53" s="145">
        <v>10647.91</v>
      </c>
      <c r="H53" s="74">
        <f t="shared" si="0"/>
        <v>-1.146094829250909E-2</v>
      </c>
    </row>
    <row r="54" spans="2:8" x14ac:dyDescent="0.3">
      <c r="B54" s="70">
        <v>45473</v>
      </c>
      <c r="C54">
        <v>308</v>
      </c>
      <c r="D54" s="74">
        <f t="shared" si="1"/>
        <v>-2.4291497975708503E-3</v>
      </c>
      <c r="G54" s="145">
        <v>10851.78</v>
      </c>
      <c r="H54" s="74">
        <f t="shared" si="0"/>
        <v>1.9146480389109301E-2</v>
      </c>
    </row>
    <row r="55" spans="2:8" x14ac:dyDescent="0.3">
      <c r="B55" s="70">
        <v>45480</v>
      </c>
      <c r="C55">
        <v>307.25</v>
      </c>
      <c r="D55" s="74">
        <f t="shared" si="1"/>
        <v>-2.435064935064935E-3</v>
      </c>
      <c r="G55" s="145">
        <v>11064.85</v>
      </c>
      <c r="H55" s="74">
        <f t="shared" si="0"/>
        <v>1.9634566863685008E-2</v>
      </c>
    </row>
    <row r="56" spans="2:8" x14ac:dyDescent="0.3">
      <c r="B56" s="70">
        <v>45487</v>
      </c>
      <c r="C56">
        <v>315.5</v>
      </c>
      <c r="D56" s="74">
        <f t="shared" si="1"/>
        <v>2.6851098454027666E-2</v>
      </c>
      <c r="G56" s="145">
        <v>11156.2</v>
      </c>
      <c r="H56" s="74">
        <f t="shared" si="0"/>
        <v>8.2558733286036742E-3</v>
      </c>
    </row>
    <row r="57" spans="2:8" x14ac:dyDescent="0.3">
      <c r="B57" s="70">
        <v>45494</v>
      </c>
      <c r="C57">
        <v>301.5</v>
      </c>
      <c r="D57" s="74">
        <f t="shared" si="1"/>
        <v>-4.4374009508716325E-2</v>
      </c>
      <c r="G57" s="145">
        <v>10891.42</v>
      </c>
      <c r="H57" s="74">
        <f t="shared" si="0"/>
        <v>-2.3733887882970962E-2</v>
      </c>
    </row>
    <row r="58" spans="2:8" x14ac:dyDescent="0.3">
      <c r="B58" s="70">
        <v>45501</v>
      </c>
      <c r="C58">
        <v>291.5</v>
      </c>
      <c r="D58" s="74">
        <f t="shared" si="1"/>
        <v>-3.316749585406302E-2</v>
      </c>
      <c r="G58" s="145">
        <v>10473.469999999999</v>
      </c>
      <c r="H58" s="74">
        <f t="shared" si="0"/>
        <v>-3.8374243211629036E-2</v>
      </c>
    </row>
    <row r="59" spans="2:8" x14ac:dyDescent="0.3">
      <c r="B59" s="70">
        <v>45508</v>
      </c>
      <c r="C59">
        <v>301.75</v>
      </c>
      <c r="D59" s="74">
        <f t="shared" si="1"/>
        <v>3.5162950257289882E-2</v>
      </c>
      <c r="G59" s="145">
        <v>9907.3799999999992</v>
      </c>
      <c r="H59" s="74">
        <f t="shared" si="0"/>
        <v>-5.4049899412515638E-2</v>
      </c>
    </row>
    <row r="60" spans="2:8" x14ac:dyDescent="0.3">
      <c r="B60" s="70">
        <v>45515</v>
      </c>
      <c r="C60">
        <v>293.5</v>
      </c>
      <c r="D60" s="74">
        <f t="shared" si="1"/>
        <v>-2.7340513670256836E-2</v>
      </c>
      <c r="G60" s="145">
        <v>9821.9599999999991</v>
      </c>
      <c r="H60" s="74">
        <f t="shared" si="0"/>
        <v>-8.6218556268155746E-3</v>
      </c>
    </row>
    <row r="61" spans="2:8" x14ac:dyDescent="0.3">
      <c r="B61" s="70">
        <v>45522</v>
      </c>
      <c r="C61">
        <v>295</v>
      </c>
      <c r="D61" s="74">
        <f t="shared" si="1"/>
        <v>5.1107325383304937E-3</v>
      </c>
      <c r="G61" s="145">
        <v>9668.1</v>
      </c>
      <c r="H61" s="74">
        <f t="shared" si="0"/>
        <v>-1.5664897841163962E-2</v>
      </c>
    </row>
    <row r="62" spans="2:8" x14ac:dyDescent="0.3">
      <c r="B62" s="70">
        <v>45529</v>
      </c>
      <c r="C62">
        <v>300.5</v>
      </c>
      <c r="D62" s="74">
        <f t="shared" si="1"/>
        <v>1.864406779661017E-2</v>
      </c>
      <c r="G62" s="145">
        <v>9833.2199999999993</v>
      </c>
      <c r="H62" s="74">
        <f t="shared" si="0"/>
        <v>1.7078846929593092E-2</v>
      </c>
    </row>
    <row r="63" spans="2:8" x14ac:dyDescent="0.3">
      <c r="B63" s="70">
        <v>45536</v>
      </c>
      <c r="C63">
        <v>293.25</v>
      </c>
      <c r="D63" s="74">
        <f t="shared" si="1"/>
        <v>-2.4126455906821963E-2</v>
      </c>
      <c r="G63" s="145">
        <v>9771.16</v>
      </c>
      <c r="H63" s="74">
        <f t="shared" si="0"/>
        <v>-6.3112591806142333E-3</v>
      </c>
    </row>
    <row r="64" spans="2:8" x14ac:dyDescent="0.3">
      <c r="B64" s="70">
        <v>45543</v>
      </c>
      <c r="C64">
        <v>292.25</v>
      </c>
      <c r="D64" s="74">
        <f t="shared" si="1"/>
        <v>-3.4100596760443308E-3</v>
      </c>
      <c r="G64" s="145">
        <v>9685.49</v>
      </c>
      <c r="H64" s="74">
        <f t="shared" si="0"/>
        <v>-8.7676386426995441E-3</v>
      </c>
    </row>
    <row r="65" spans="2:8" x14ac:dyDescent="0.3">
      <c r="B65" s="70">
        <v>45550</v>
      </c>
      <c r="C65">
        <v>299.5</v>
      </c>
      <c r="D65" s="74">
        <f t="shared" si="1"/>
        <v>2.4807527801539778E-2</v>
      </c>
      <c r="G65" s="145">
        <v>9900.25</v>
      </c>
      <c r="H65" s="74">
        <f t="shared" si="0"/>
        <v>2.2173374811186655E-2</v>
      </c>
    </row>
    <row r="66" spans="2:8" x14ac:dyDescent="0.3">
      <c r="B66" s="70">
        <v>45557</v>
      </c>
      <c r="C66">
        <v>292.25</v>
      </c>
      <c r="D66" s="74">
        <f t="shared" si="1"/>
        <v>-2.4207011686143573E-2</v>
      </c>
      <c r="G66" s="145">
        <v>9777.4599999999991</v>
      </c>
      <c r="H66" s="74">
        <f t="shared" si="0"/>
        <v>-1.2402717103103545E-2</v>
      </c>
    </row>
    <row r="67" spans="2:8" x14ac:dyDescent="0.3">
      <c r="B67" s="70">
        <v>45564</v>
      </c>
      <c r="C67">
        <v>273.75</v>
      </c>
      <c r="D67" s="74">
        <f t="shared" si="1"/>
        <v>-6.3301967493584257E-2</v>
      </c>
      <c r="G67" s="145">
        <v>9109.34</v>
      </c>
      <c r="H67" s="74">
        <f t="shared" si="0"/>
        <v>-6.8332675357403561E-2</v>
      </c>
    </row>
    <row r="68" spans="2:8" x14ac:dyDescent="0.3">
      <c r="B68" s="70">
        <v>45571</v>
      </c>
      <c r="C68">
        <v>264.75</v>
      </c>
      <c r="D68" s="74">
        <f t="shared" si="1"/>
        <v>-3.287671232876712E-2</v>
      </c>
      <c r="G68" s="145">
        <v>8876.2199999999993</v>
      </c>
      <c r="H68" s="74">
        <f t="shared" si="0"/>
        <v>-2.5591316165605938E-2</v>
      </c>
    </row>
    <row r="69" spans="2:8" x14ac:dyDescent="0.3">
      <c r="B69" s="70">
        <v>45578</v>
      </c>
      <c r="C69">
        <v>268</v>
      </c>
      <c r="D69" s="74">
        <f t="shared" si="1"/>
        <v>1.2275731822474031E-2</v>
      </c>
      <c r="G69" s="145">
        <v>8793.61</v>
      </c>
      <c r="H69" s="74">
        <f t="shared" si="0"/>
        <v>-9.3068896444656359E-3</v>
      </c>
    </row>
    <row r="70" spans="2:8" x14ac:dyDescent="0.3">
      <c r="B70" s="70">
        <v>45585</v>
      </c>
      <c r="C70">
        <v>276</v>
      </c>
      <c r="D70" s="74">
        <f t="shared" si="1"/>
        <v>2.9850746268656716E-2</v>
      </c>
      <c r="G70" s="145">
        <v>8908.4699999999993</v>
      </c>
      <c r="H70" s="74">
        <f t="shared" si="0"/>
        <v>1.3061757344253242E-2</v>
      </c>
    </row>
    <row r="71" spans="2:8" x14ac:dyDescent="0.3">
      <c r="B71" s="70">
        <v>45592</v>
      </c>
      <c r="C71">
        <v>273</v>
      </c>
      <c r="D71" s="74">
        <f t="shared" si="1"/>
        <v>-1.0869565217391304E-2</v>
      </c>
      <c r="G71" s="145">
        <v>8885</v>
      </c>
      <c r="H71" s="74">
        <f t="shared" si="0"/>
        <v>-2.6345713685963297E-3</v>
      </c>
    </row>
    <row r="72" spans="2:8" x14ac:dyDescent="0.3">
      <c r="B72" s="70">
        <v>45599</v>
      </c>
      <c r="C72">
        <v>277.25</v>
      </c>
      <c r="D72" s="74">
        <f t="shared" si="1"/>
        <v>1.5567765567765568E-2</v>
      </c>
      <c r="G72" s="145">
        <v>8862.32</v>
      </c>
      <c r="H72" s="74">
        <f t="shared" ref="H72" si="2">(G72-G71)/G71</f>
        <v>-2.5526167698368364E-3</v>
      </c>
    </row>
    <row r="75" spans="2:8" x14ac:dyDescent="0.3">
      <c r="B75" s="60" t="s">
        <v>41</v>
      </c>
    </row>
    <row r="76" spans="2:8" x14ac:dyDescent="0.3">
      <c r="B76" s="379" t="s">
        <v>349</v>
      </c>
      <c r="C76" s="379"/>
      <c r="D76" s="379"/>
      <c r="E76" s="379"/>
      <c r="F76" s="379"/>
      <c r="G76" s="379"/>
      <c r="H76" s="379"/>
    </row>
    <row r="77" spans="2:8" x14ac:dyDescent="0.3">
      <c r="B77" s="379"/>
      <c r="C77" s="379"/>
      <c r="D77" s="379"/>
      <c r="E77" s="379"/>
      <c r="F77" s="379"/>
      <c r="G77" s="379"/>
      <c r="H77" s="379"/>
    </row>
    <row r="78" spans="2:8" x14ac:dyDescent="0.3">
      <c r="B78" s="379"/>
      <c r="C78" s="379"/>
      <c r="D78" s="379"/>
      <c r="E78" s="379"/>
      <c r="F78" s="379"/>
      <c r="G78" s="379"/>
      <c r="H78" s="379"/>
    </row>
  </sheetData>
  <mergeCells count="8">
    <mergeCell ref="B76:H78"/>
    <mergeCell ref="R8:U8"/>
    <mergeCell ref="R10:U10"/>
    <mergeCell ref="J16:N25"/>
    <mergeCell ref="B2:D2"/>
    <mergeCell ref="B4:E4"/>
    <mergeCell ref="G4:H4"/>
    <mergeCell ref="J4:K4"/>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93C88-8CEA-483F-9AF7-C48B3C35752B}">
  <dimension ref="B2:Y78"/>
  <sheetViews>
    <sheetView showGridLines="0" workbookViewId="0">
      <selection activeCell="B1" sqref="B1"/>
    </sheetView>
  </sheetViews>
  <sheetFormatPr defaultRowHeight="14.4" x14ac:dyDescent="0.3"/>
  <cols>
    <col min="2" max="2" width="14.33203125" customWidth="1"/>
    <col min="3" max="3" width="12.88671875" customWidth="1"/>
    <col min="4" max="4" width="13.44140625" customWidth="1"/>
    <col min="7" max="7" width="23.109375" customWidth="1"/>
    <col min="8" max="8" width="24.88671875" customWidth="1"/>
    <col min="10" max="10" width="23.44140625" customWidth="1"/>
    <col min="12" max="12" width="18" customWidth="1"/>
    <col min="14" max="14" width="21.6640625" customWidth="1"/>
  </cols>
  <sheetData>
    <row r="2" spans="2:19" x14ac:dyDescent="0.3">
      <c r="B2" s="386" t="s">
        <v>350</v>
      </c>
      <c r="C2" s="386"/>
      <c r="D2" s="386"/>
    </row>
    <row r="3" spans="2:19" x14ac:dyDescent="0.3">
      <c r="B3" s="65"/>
      <c r="J3" s="60"/>
    </row>
    <row r="4" spans="2:19" ht="16.2" x14ac:dyDescent="0.3">
      <c r="B4" s="367" t="str">
        <f>'Data-competitors'!B10</f>
        <v>Singapore Airlines</v>
      </c>
      <c r="C4" s="367"/>
      <c r="D4" s="367"/>
      <c r="E4" s="367"/>
      <c r="G4" s="367" t="s">
        <v>353</v>
      </c>
      <c r="H4" s="367"/>
      <c r="I4" s="66"/>
      <c r="J4" s="367" t="s">
        <v>48</v>
      </c>
      <c r="K4" s="367"/>
      <c r="L4" s="66"/>
    </row>
    <row r="6" spans="2:19" x14ac:dyDescent="0.3">
      <c r="B6" s="67" t="s">
        <v>49</v>
      </c>
      <c r="C6" s="67" t="s">
        <v>50</v>
      </c>
      <c r="D6" s="67" t="s">
        <v>51</v>
      </c>
      <c r="E6" s="10"/>
      <c r="F6" s="10"/>
      <c r="G6" s="67" t="s">
        <v>50</v>
      </c>
      <c r="H6" s="67" t="s">
        <v>51</v>
      </c>
      <c r="J6" t="s">
        <v>52</v>
      </c>
      <c r="K6" s="68">
        <f>O10</f>
        <v>0.52811573909395071</v>
      </c>
      <c r="N6" t="s">
        <v>53</v>
      </c>
      <c r="O6" s="68">
        <f>SLOPE(D8:D72,H8:H72)</f>
        <v>0.52811573909395082</v>
      </c>
      <c r="P6" s="28" t="s">
        <v>54</v>
      </c>
      <c r="Q6" s="69"/>
      <c r="R6" s="69"/>
      <c r="S6" s="29"/>
    </row>
    <row r="7" spans="2:19" x14ac:dyDescent="0.3">
      <c r="B7" s="70">
        <v>45144</v>
      </c>
      <c r="C7">
        <v>7.38</v>
      </c>
      <c r="D7" s="8"/>
      <c r="G7">
        <v>9.59</v>
      </c>
      <c r="H7" s="8"/>
      <c r="J7" t="s">
        <v>55</v>
      </c>
      <c r="K7" s="42">
        <v>0.5</v>
      </c>
      <c r="L7" s="72"/>
      <c r="O7" s="68"/>
      <c r="P7" s="73"/>
      <c r="Q7" s="73"/>
      <c r="R7" s="73"/>
      <c r="S7" s="73"/>
    </row>
    <row r="8" spans="2:19" x14ac:dyDescent="0.3">
      <c r="B8" s="70">
        <v>45151</v>
      </c>
      <c r="C8">
        <v>6.88</v>
      </c>
      <c r="D8" s="74">
        <f>(C8-C7)/C7</f>
        <v>-6.7750677506775075E-2</v>
      </c>
      <c r="G8">
        <v>9.5500000000000007</v>
      </c>
      <c r="H8" s="74">
        <f>(G8-G7)/G7</f>
        <v>-4.171011470281454E-3</v>
      </c>
      <c r="N8" t="s">
        <v>56</v>
      </c>
      <c r="O8" s="68">
        <f>_xlfn.COVARIANCE.S(D8:D72,H8:H72)/_xlfn.VAR.S(H8:H72)</f>
        <v>0.5281157390939506</v>
      </c>
      <c r="P8" s="374" t="s">
        <v>57</v>
      </c>
      <c r="Q8" s="374"/>
      <c r="R8" s="374"/>
      <c r="S8" s="374"/>
    </row>
    <row r="9" spans="2:19" x14ac:dyDescent="0.3">
      <c r="B9" s="70">
        <v>45158</v>
      </c>
      <c r="C9">
        <v>6.85</v>
      </c>
      <c r="D9" s="74">
        <f t="shared" ref="D9:D72" si="0">(C9-C8)/C8</f>
        <v>-4.3604651162791061E-3</v>
      </c>
      <c r="G9">
        <v>9.51</v>
      </c>
      <c r="H9" s="74">
        <f t="shared" ref="H9:H72" si="1">(G9-G8)/G8</f>
        <v>-4.1884816753927669E-3</v>
      </c>
      <c r="J9" t="s">
        <v>58</v>
      </c>
      <c r="K9">
        <v>1</v>
      </c>
      <c r="O9" s="68"/>
      <c r="P9" s="73"/>
      <c r="Q9" s="73"/>
      <c r="R9" s="73"/>
      <c r="S9" s="73"/>
    </row>
    <row r="10" spans="2:19" x14ac:dyDescent="0.3">
      <c r="B10" s="70">
        <v>45165</v>
      </c>
      <c r="C10">
        <v>6.87</v>
      </c>
      <c r="D10" s="74">
        <f t="shared" si="0"/>
        <v>2.9197080291971478E-3</v>
      </c>
      <c r="G10">
        <v>9.6300000000000008</v>
      </c>
      <c r="H10" s="74">
        <f t="shared" si="1"/>
        <v>1.261829652996856E-2</v>
      </c>
      <c r="J10" t="s">
        <v>59</v>
      </c>
      <c r="K10" s="39">
        <f>100%-K7</f>
        <v>0.5</v>
      </c>
      <c r="N10" t="s">
        <v>60</v>
      </c>
      <c r="O10" s="68">
        <f>O35</f>
        <v>0.52811573909395071</v>
      </c>
      <c r="P10" s="374" t="s">
        <v>61</v>
      </c>
      <c r="Q10" s="374"/>
      <c r="R10" s="374"/>
      <c r="S10" s="374"/>
    </row>
    <row r="11" spans="2:19" x14ac:dyDescent="0.3">
      <c r="B11" s="70">
        <v>45172</v>
      </c>
      <c r="C11">
        <v>6.74</v>
      </c>
      <c r="D11" s="74">
        <f t="shared" si="0"/>
        <v>-1.8922852983988339E-2</v>
      </c>
      <c r="G11">
        <v>9.6300000000000008</v>
      </c>
      <c r="H11" s="74">
        <f t="shared" si="1"/>
        <v>0</v>
      </c>
    </row>
    <row r="12" spans="2:19" x14ac:dyDescent="0.3">
      <c r="B12" s="70">
        <v>45179</v>
      </c>
      <c r="C12">
        <v>6.87</v>
      </c>
      <c r="D12" s="74">
        <f t="shared" si="0"/>
        <v>1.9287833827893158E-2</v>
      </c>
      <c r="G12">
        <v>9.93</v>
      </c>
      <c r="H12" s="74">
        <f t="shared" si="1"/>
        <v>3.1152647975077767E-2</v>
      </c>
      <c r="J12" s="69" t="s">
        <v>62</v>
      </c>
      <c r="K12" s="75">
        <f>(K6*K7)+(K9*K10)</f>
        <v>0.7640578695469753</v>
      </c>
    </row>
    <row r="13" spans="2:19" x14ac:dyDescent="0.3">
      <c r="B13" s="70">
        <v>45186</v>
      </c>
      <c r="C13">
        <v>6.61</v>
      </c>
      <c r="D13" s="74">
        <f t="shared" si="0"/>
        <v>-3.7845705967976678E-2</v>
      </c>
      <c r="G13">
        <v>9.74</v>
      </c>
      <c r="H13" s="74">
        <f t="shared" si="1"/>
        <v>-1.9133937562940535E-2</v>
      </c>
    </row>
    <row r="14" spans="2:19" x14ac:dyDescent="0.3">
      <c r="B14" s="70">
        <v>45193</v>
      </c>
      <c r="C14">
        <v>6.46</v>
      </c>
      <c r="D14" s="74">
        <f t="shared" si="0"/>
        <v>-2.2692889561270854E-2</v>
      </c>
      <c r="G14">
        <v>9.75</v>
      </c>
      <c r="H14" s="74">
        <f t="shared" si="1"/>
        <v>1.0266940451745161E-3</v>
      </c>
    </row>
    <row r="15" spans="2:19" x14ac:dyDescent="0.3">
      <c r="B15" s="70">
        <v>45200</v>
      </c>
      <c r="C15">
        <v>6.55</v>
      </c>
      <c r="D15" s="74">
        <f t="shared" si="0"/>
        <v>1.393188854489162E-2</v>
      </c>
      <c r="G15">
        <v>9.77</v>
      </c>
      <c r="H15" s="74">
        <f t="shared" si="1"/>
        <v>2.0512820512820075E-3</v>
      </c>
      <c r="J15" s="60"/>
    </row>
    <row r="16" spans="2:19" x14ac:dyDescent="0.3">
      <c r="B16" s="70">
        <v>45207</v>
      </c>
      <c r="C16">
        <v>6.44</v>
      </c>
      <c r="D16" s="74">
        <f t="shared" si="0"/>
        <v>-1.6793893129770907E-2</v>
      </c>
      <c r="G16">
        <v>9.77</v>
      </c>
      <c r="H16" s="74">
        <f t="shared" si="1"/>
        <v>0</v>
      </c>
      <c r="J16" s="76"/>
      <c r="K16" s="76"/>
      <c r="L16" s="76"/>
    </row>
    <row r="17" spans="2:25" x14ac:dyDescent="0.3">
      <c r="B17" s="70">
        <v>45214</v>
      </c>
      <c r="C17">
        <v>5.97</v>
      </c>
      <c r="D17" s="74">
        <f t="shared" si="0"/>
        <v>-7.2981366459627425E-2</v>
      </c>
      <c r="G17">
        <v>9.59</v>
      </c>
      <c r="H17" s="74">
        <f t="shared" si="1"/>
        <v>-1.8423746161719521E-2</v>
      </c>
      <c r="J17" s="76"/>
      <c r="K17" s="76"/>
      <c r="L17" s="76"/>
    </row>
    <row r="18" spans="2:25" x14ac:dyDescent="0.3">
      <c r="B18" s="70">
        <v>45221</v>
      </c>
      <c r="C18">
        <v>6.06</v>
      </c>
      <c r="D18" s="74">
        <f t="shared" si="0"/>
        <v>1.5075376884422087E-2</v>
      </c>
      <c r="G18">
        <v>9.44</v>
      </c>
      <c r="H18" s="74">
        <f t="shared" si="1"/>
        <v>-1.5641293013555824E-2</v>
      </c>
      <c r="J18" s="76"/>
      <c r="K18" s="76"/>
      <c r="L18" s="76"/>
      <c r="N18" t="s">
        <v>64</v>
      </c>
    </row>
    <row r="19" spans="2:25" ht="15" thickBot="1" x14ac:dyDescent="0.35">
      <c r="B19" s="70">
        <v>45228</v>
      </c>
      <c r="C19">
        <v>6.21</v>
      </c>
      <c r="D19" s="74">
        <f t="shared" si="0"/>
        <v>2.4752475247524813E-2</v>
      </c>
      <c r="G19">
        <v>9.5299999999999994</v>
      </c>
      <c r="H19" s="74">
        <f t="shared" si="1"/>
        <v>9.5338983050847308E-3</v>
      </c>
      <c r="J19" s="76"/>
      <c r="K19" s="76"/>
      <c r="L19" s="76"/>
    </row>
    <row r="20" spans="2:25" x14ac:dyDescent="0.3">
      <c r="B20" s="70">
        <v>45235</v>
      </c>
      <c r="C20">
        <v>6.21</v>
      </c>
      <c r="D20" s="74">
        <f t="shared" si="0"/>
        <v>0</v>
      </c>
      <c r="G20">
        <v>9.7100000000000009</v>
      </c>
      <c r="H20" s="74">
        <f t="shared" si="1"/>
        <v>1.8887722980063117E-2</v>
      </c>
      <c r="J20" s="76"/>
      <c r="K20" s="76"/>
      <c r="L20" s="76"/>
      <c r="N20" s="327" t="s">
        <v>65</v>
      </c>
      <c r="O20" s="327"/>
    </row>
    <row r="21" spans="2:25" x14ac:dyDescent="0.3">
      <c r="B21" s="70">
        <v>45242</v>
      </c>
      <c r="C21">
        <v>6.24</v>
      </c>
      <c r="D21" s="74">
        <f t="shared" si="0"/>
        <v>4.8309178743961749E-3</v>
      </c>
      <c r="G21">
        <v>9.5399999999999991</v>
      </c>
      <c r="H21" s="74">
        <f t="shared" si="1"/>
        <v>-1.7507723995880711E-2</v>
      </c>
      <c r="J21" s="76"/>
      <c r="K21" s="76"/>
      <c r="L21" s="76"/>
      <c r="N21" t="s">
        <v>66</v>
      </c>
      <c r="O21">
        <v>0.29262683964804442</v>
      </c>
    </row>
    <row r="22" spans="2:25" x14ac:dyDescent="0.3">
      <c r="B22" s="70">
        <v>45249</v>
      </c>
      <c r="C22">
        <v>6.31</v>
      </c>
      <c r="D22" s="74">
        <f t="shared" si="0"/>
        <v>1.1217948717948621E-2</v>
      </c>
      <c r="G22">
        <v>9.5500000000000007</v>
      </c>
      <c r="H22" s="74">
        <f t="shared" si="1"/>
        <v>1.0482180293502688E-3</v>
      </c>
      <c r="J22" s="76"/>
      <c r="K22" s="76"/>
      <c r="L22" s="76"/>
      <c r="N22" t="s">
        <v>67</v>
      </c>
      <c r="O22">
        <v>8.5630467282402312E-2</v>
      </c>
    </row>
    <row r="23" spans="2:25" x14ac:dyDescent="0.3">
      <c r="B23" s="70">
        <v>45256</v>
      </c>
      <c r="C23">
        <v>6.39</v>
      </c>
      <c r="D23" s="74">
        <f t="shared" si="0"/>
        <v>1.2678288431061819E-2</v>
      </c>
      <c r="G23">
        <v>9.61</v>
      </c>
      <c r="H23" s="74">
        <f t="shared" si="1"/>
        <v>6.282722513088871E-3</v>
      </c>
      <c r="J23" s="76"/>
      <c r="K23" s="76"/>
      <c r="L23" s="76"/>
      <c r="N23" t="s">
        <v>68</v>
      </c>
      <c r="O23">
        <v>7.111666517577378E-2</v>
      </c>
    </row>
    <row r="24" spans="2:25" x14ac:dyDescent="0.3">
      <c r="B24" s="70">
        <v>45263</v>
      </c>
      <c r="C24">
        <v>6.38</v>
      </c>
      <c r="D24" s="74">
        <f t="shared" si="0"/>
        <v>-1.5649452269170245E-3</v>
      </c>
      <c r="G24">
        <v>9.6</v>
      </c>
      <c r="H24" s="74">
        <f t="shared" si="1"/>
        <v>-1.040582726326721E-3</v>
      </c>
      <c r="J24" s="76"/>
      <c r="K24" s="76"/>
      <c r="L24" s="76"/>
      <c r="N24" t="s">
        <v>69</v>
      </c>
      <c r="O24">
        <v>2.9749131077018594E-2</v>
      </c>
    </row>
    <row r="25" spans="2:25" ht="15" thickBot="1" x14ac:dyDescent="0.35">
      <c r="B25" s="70">
        <v>45270</v>
      </c>
      <c r="C25">
        <v>6.47</v>
      </c>
      <c r="D25" s="74">
        <f t="shared" si="0"/>
        <v>1.4106583072100292E-2</v>
      </c>
      <c r="G25">
        <v>9.52</v>
      </c>
      <c r="H25" s="74">
        <f t="shared" si="1"/>
        <v>-8.3333333333333419E-3</v>
      </c>
      <c r="J25" s="76"/>
      <c r="K25" s="76"/>
      <c r="L25" s="76"/>
      <c r="N25" s="78" t="s">
        <v>70</v>
      </c>
      <c r="O25" s="78">
        <v>65</v>
      </c>
    </row>
    <row r="26" spans="2:25" x14ac:dyDescent="0.3">
      <c r="B26" s="70">
        <v>45277</v>
      </c>
      <c r="C26">
        <v>6.43</v>
      </c>
      <c r="D26" s="74">
        <f t="shared" si="0"/>
        <v>-6.1823802163833135E-3</v>
      </c>
      <c r="G26">
        <v>9.58</v>
      </c>
      <c r="H26" s="74">
        <f t="shared" si="1"/>
        <v>6.3025210084034135E-3</v>
      </c>
    </row>
    <row r="27" spans="2:25" ht="15" thickBot="1" x14ac:dyDescent="0.35">
      <c r="B27" s="70">
        <v>45284</v>
      </c>
      <c r="C27">
        <v>6.56</v>
      </c>
      <c r="D27" s="74">
        <f t="shared" si="0"/>
        <v>2.0217729393468102E-2</v>
      </c>
      <c r="G27">
        <v>9.83</v>
      </c>
      <c r="H27" s="74">
        <f t="shared" si="1"/>
        <v>2.6096033402922755E-2</v>
      </c>
      <c r="N27" t="s">
        <v>71</v>
      </c>
    </row>
    <row r="28" spans="2:25" x14ac:dyDescent="0.3">
      <c r="B28" s="70">
        <v>45291</v>
      </c>
      <c r="C28">
        <v>6.39</v>
      </c>
      <c r="D28" s="74">
        <f t="shared" si="0"/>
        <v>-2.5914634146341455E-2</v>
      </c>
      <c r="G28">
        <v>9.68</v>
      </c>
      <c r="H28" s="74">
        <f t="shared" si="1"/>
        <v>-1.5259409969481216E-2</v>
      </c>
      <c r="N28" s="178"/>
      <c r="O28" s="178" t="s">
        <v>72</v>
      </c>
      <c r="P28" s="178" t="s">
        <v>73</v>
      </c>
      <c r="Q28" s="178" t="s">
        <v>74</v>
      </c>
      <c r="R28" s="178" t="s">
        <v>75</v>
      </c>
      <c r="S28" s="178" t="s">
        <v>76</v>
      </c>
    </row>
    <row r="29" spans="2:25" x14ac:dyDescent="0.3">
      <c r="B29" s="70">
        <v>45298</v>
      </c>
      <c r="C29">
        <v>6.52</v>
      </c>
      <c r="D29" s="74">
        <f t="shared" si="0"/>
        <v>2.0344287949921738E-2</v>
      </c>
      <c r="G29">
        <v>9.89</v>
      </c>
      <c r="H29" s="74">
        <f t="shared" si="1"/>
        <v>2.1694214876033145E-2</v>
      </c>
      <c r="N29" t="s">
        <v>77</v>
      </c>
      <c r="O29">
        <v>1</v>
      </c>
      <c r="P29">
        <v>5.2215048671125433E-3</v>
      </c>
      <c r="Q29">
        <v>5.2215048671125433E-3</v>
      </c>
      <c r="R29">
        <v>5.8999335014561343</v>
      </c>
      <c r="S29">
        <v>1.8006226420804537E-2</v>
      </c>
    </row>
    <row r="30" spans="2:25" x14ac:dyDescent="0.3">
      <c r="B30" s="70">
        <v>45305</v>
      </c>
      <c r="C30">
        <v>6.5</v>
      </c>
      <c r="D30" s="74">
        <f t="shared" si="0"/>
        <v>-3.0674846625766221E-3</v>
      </c>
      <c r="G30">
        <v>9.61</v>
      </c>
      <c r="H30" s="74">
        <f t="shared" si="1"/>
        <v>-2.8311425682507697E-2</v>
      </c>
      <c r="N30" t="s">
        <v>78</v>
      </c>
      <c r="O30">
        <v>63</v>
      </c>
      <c r="P30">
        <v>5.5755680389770912E-2</v>
      </c>
      <c r="Q30">
        <v>8.850107998376335E-4</v>
      </c>
    </row>
    <row r="31" spans="2:25" ht="15" thickBot="1" x14ac:dyDescent="0.35">
      <c r="B31" s="70">
        <v>45312</v>
      </c>
      <c r="C31">
        <v>6.68</v>
      </c>
      <c r="D31" s="74">
        <f t="shared" si="0"/>
        <v>2.7692307692307648E-2</v>
      </c>
      <c r="G31">
        <v>9.66</v>
      </c>
      <c r="H31" s="74">
        <f t="shared" si="1"/>
        <v>5.2029136316337895E-3</v>
      </c>
      <c r="N31" s="78" t="s">
        <v>79</v>
      </c>
      <c r="O31" s="78">
        <v>64</v>
      </c>
      <c r="P31" s="78">
        <v>6.0977185256883455E-2</v>
      </c>
      <c r="Q31" s="78"/>
      <c r="R31" s="78"/>
      <c r="S31" s="78"/>
    </row>
    <row r="32" spans="2:25" ht="15" thickBot="1" x14ac:dyDescent="0.35">
      <c r="B32" s="70">
        <v>45319</v>
      </c>
      <c r="C32">
        <v>6.84</v>
      </c>
      <c r="D32" s="74">
        <f t="shared" si="0"/>
        <v>2.3952095808383256E-2</v>
      </c>
      <c r="G32">
        <v>9.5399999999999991</v>
      </c>
      <c r="H32" s="74">
        <f t="shared" si="1"/>
        <v>-1.2422360248447308E-2</v>
      </c>
      <c r="W32" s="79"/>
      <c r="X32" s="79"/>
      <c r="Y32" s="79"/>
    </row>
    <row r="33" spans="2:22" x14ac:dyDescent="0.3">
      <c r="B33" s="70">
        <v>45326</v>
      </c>
      <c r="C33">
        <v>6.8</v>
      </c>
      <c r="D33" s="74">
        <f t="shared" si="0"/>
        <v>-5.8479532163742748E-3</v>
      </c>
      <c r="G33">
        <v>9.16</v>
      </c>
      <c r="H33" s="74">
        <f t="shared" si="1"/>
        <v>-3.983228511530388E-2</v>
      </c>
      <c r="N33" s="178"/>
      <c r="O33" s="178" t="s">
        <v>80</v>
      </c>
      <c r="P33" s="178" t="s">
        <v>69</v>
      </c>
      <c r="Q33" s="178" t="s">
        <v>81</v>
      </c>
      <c r="R33" s="178" t="s">
        <v>82</v>
      </c>
      <c r="S33" s="178" t="s">
        <v>83</v>
      </c>
      <c r="T33" s="178" t="s">
        <v>84</v>
      </c>
      <c r="U33" s="178" t="s">
        <v>85</v>
      </c>
      <c r="V33" s="178" t="s">
        <v>86</v>
      </c>
    </row>
    <row r="34" spans="2:22" x14ac:dyDescent="0.3">
      <c r="B34" s="70">
        <v>45333</v>
      </c>
      <c r="C34">
        <v>7.32</v>
      </c>
      <c r="D34" s="74">
        <f t="shared" si="0"/>
        <v>7.6470588235294193E-2</v>
      </c>
      <c r="G34">
        <v>9.3699999999999992</v>
      </c>
      <c r="H34" s="74">
        <f t="shared" si="1"/>
        <v>2.2925764192139635E-2</v>
      </c>
      <c r="N34" t="s">
        <v>87</v>
      </c>
      <c r="O34">
        <v>-2.9808298540113434E-3</v>
      </c>
      <c r="P34">
        <v>3.7439325061976387E-3</v>
      </c>
      <c r="Q34">
        <v>-0.79617617280144104</v>
      </c>
      <c r="R34">
        <v>0.42891962607770551</v>
      </c>
      <c r="S34">
        <v>-1.0462481969607371E-2</v>
      </c>
      <c r="T34">
        <v>4.5008222615846843E-3</v>
      </c>
      <c r="U34">
        <v>-1.0462481969607371E-2</v>
      </c>
      <c r="V34">
        <v>4.5008222615846843E-3</v>
      </c>
    </row>
    <row r="35" spans="2:22" ht="15" thickBot="1" x14ac:dyDescent="0.35">
      <c r="B35" s="70">
        <v>45340</v>
      </c>
      <c r="C35">
        <v>6.55</v>
      </c>
      <c r="D35" s="74">
        <f t="shared" si="0"/>
        <v>-0.10519125683060115</v>
      </c>
      <c r="G35">
        <v>9.57</v>
      </c>
      <c r="H35" s="74">
        <f t="shared" si="1"/>
        <v>2.1344717182497447E-2</v>
      </c>
      <c r="N35" s="78" t="s">
        <v>88</v>
      </c>
      <c r="O35" s="78">
        <v>0.52811573909395071</v>
      </c>
      <c r="P35" s="78">
        <v>0.21742303428776691</v>
      </c>
      <c r="Q35" s="78">
        <v>2.4289778717510275</v>
      </c>
      <c r="R35" s="78">
        <v>1.8006226420804457E-2</v>
      </c>
      <c r="S35" s="78">
        <v>9.3630474798828855E-2</v>
      </c>
      <c r="T35" s="78">
        <v>0.96260100338907262</v>
      </c>
      <c r="U35" s="78">
        <v>9.3630474798828855E-2</v>
      </c>
      <c r="V35" s="78">
        <v>0.96260100338907262</v>
      </c>
    </row>
    <row r="36" spans="2:22" x14ac:dyDescent="0.3">
      <c r="B36" s="70">
        <v>45347</v>
      </c>
      <c r="C36">
        <v>6.46</v>
      </c>
      <c r="D36" s="74">
        <f t="shared" si="0"/>
        <v>-1.3740458015267154E-2</v>
      </c>
      <c r="G36">
        <v>9.42</v>
      </c>
      <c r="H36" s="74">
        <f t="shared" si="1"/>
        <v>-1.5673981191222607E-2</v>
      </c>
    </row>
    <row r="37" spans="2:22" x14ac:dyDescent="0.3">
      <c r="B37" s="70">
        <v>45354</v>
      </c>
      <c r="C37">
        <v>6.38</v>
      </c>
      <c r="D37" s="74">
        <f t="shared" si="0"/>
        <v>-1.2383900928792581E-2</v>
      </c>
      <c r="G37">
        <v>9.33</v>
      </c>
      <c r="H37" s="74">
        <f t="shared" si="1"/>
        <v>-9.5541401273885208E-3</v>
      </c>
    </row>
    <row r="38" spans="2:22" x14ac:dyDescent="0.3">
      <c r="B38" s="70">
        <v>45361</v>
      </c>
      <c r="C38">
        <v>6.38</v>
      </c>
      <c r="D38" s="74">
        <f t="shared" si="0"/>
        <v>0</v>
      </c>
      <c r="G38">
        <v>9.43</v>
      </c>
      <c r="H38" s="74">
        <f t="shared" si="1"/>
        <v>1.0718113612004249E-2</v>
      </c>
    </row>
    <row r="39" spans="2:22" x14ac:dyDescent="0.3">
      <c r="B39" s="70">
        <v>45368</v>
      </c>
      <c r="C39">
        <v>6.42</v>
      </c>
      <c r="D39" s="74">
        <f t="shared" si="0"/>
        <v>6.269592476489034E-3</v>
      </c>
      <c r="G39">
        <v>9.33</v>
      </c>
      <c r="H39" s="74">
        <f t="shared" si="1"/>
        <v>-1.0604453870625625E-2</v>
      </c>
    </row>
    <row r="40" spans="2:22" x14ac:dyDescent="0.3">
      <c r="B40" s="70">
        <v>45375</v>
      </c>
      <c r="C40">
        <v>6.4</v>
      </c>
      <c r="D40" s="74">
        <f t="shared" si="0"/>
        <v>-3.1152647975077217E-3</v>
      </c>
      <c r="G40">
        <v>9.2100000000000009</v>
      </c>
      <c r="H40" s="74">
        <f t="shared" si="1"/>
        <v>-1.2861736334405061E-2</v>
      </c>
      <c r="N40" s="79"/>
      <c r="O40" s="79"/>
      <c r="P40" s="79"/>
      <c r="Q40" s="79"/>
      <c r="R40" s="79"/>
      <c r="S40" s="79"/>
      <c r="T40" s="79"/>
      <c r="U40" s="79"/>
      <c r="V40" s="79"/>
    </row>
    <row r="41" spans="2:22" x14ac:dyDescent="0.3">
      <c r="B41" s="70">
        <v>45382</v>
      </c>
      <c r="C41">
        <v>6.41</v>
      </c>
      <c r="D41" s="74">
        <f t="shared" si="0"/>
        <v>1.5624999999999667E-3</v>
      </c>
      <c r="G41">
        <v>9.2200000000000006</v>
      </c>
      <c r="H41" s="74">
        <f t="shared" si="1"/>
        <v>1.0857763300759812E-3</v>
      </c>
    </row>
    <row r="42" spans="2:22" x14ac:dyDescent="0.3">
      <c r="B42" s="70">
        <v>45389</v>
      </c>
      <c r="C42">
        <v>6.44</v>
      </c>
      <c r="D42" s="74">
        <f t="shared" si="0"/>
        <v>4.6801872074883379E-3</v>
      </c>
      <c r="G42">
        <v>9.1300000000000008</v>
      </c>
      <c r="H42" s="74">
        <f t="shared" si="1"/>
        <v>-9.7613882863340409E-3</v>
      </c>
    </row>
    <row r="43" spans="2:22" x14ac:dyDescent="0.3">
      <c r="B43" s="70">
        <v>45396</v>
      </c>
      <c r="C43">
        <v>6.25</v>
      </c>
      <c r="D43" s="74">
        <f t="shared" si="0"/>
        <v>-2.9503105590062171E-2</v>
      </c>
      <c r="G43">
        <v>9.06</v>
      </c>
      <c r="H43" s="74">
        <f t="shared" si="1"/>
        <v>-7.6670317634173358E-3</v>
      </c>
    </row>
    <row r="44" spans="2:22" x14ac:dyDescent="0.3">
      <c r="B44" s="70">
        <v>45403</v>
      </c>
      <c r="C44">
        <v>6.54</v>
      </c>
      <c r="D44" s="74">
        <f t="shared" si="0"/>
        <v>4.6400000000000004E-2</v>
      </c>
      <c r="G44">
        <v>9.31</v>
      </c>
      <c r="H44" s="74">
        <f t="shared" si="1"/>
        <v>2.759381898454746E-2</v>
      </c>
    </row>
    <row r="45" spans="2:22" x14ac:dyDescent="0.3">
      <c r="B45" s="70">
        <v>45410</v>
      </c>
      <c r="C45">
        <v>6.52</v>
      </c>
      <c r="D45" s="74">
        <f t="shared" si="0"/>
        <v>-3.0581039755352389E-3</v>
      </c>
      <c r="G45">
        <v>9.16</v>
      </c>
      <c r="H45" s="74">
        <f t="shared" si="1"/>
        <v>-1.6111707841031185E-2</v>
      </c>
    </row>
    <row r="46" spans="2:22" x14ac:dyDescent="0.3">
      <c r="B46" s="70">
        <v>45417</v>
      </c>
      <c r="C46">
        <v>6.75</v>
      </c>
      <c r="D46" s="74">
        <f t="shared" si="0"/>
        <v>3.5276073619631969E-2</v>
      </c>
      <c r="G46">
        <v>9.2899999999999991</v>
      </c>
      <c r="H46" s="74">
        <f t="shared" si="1"/>
        <v>1.4192139737991157E-2</v>
      </c>
    </row>
    <row r="47" spans="2:22" x14ac:dyDescent="0.3">
      <c r="B47" s="70">
        <v>45424</v>
      </c>
      <c r="C47">
        <v>6.78</v>
      </c>
      <c r="D47" s="74">
        <f t="shared" si="0"/>
        <v>4.4444444444444809E-3</v>
      </c>
      <c r="G47">
        <v>9.24</v>
      </c>
      <c r="H47" s="74">
        <f t="shared" si="1"/>
        <v>-5.3821313240041916E-3</v>
      </c>
    </row>
    <row r="48" spans="2:22" x14ac:dyDescent="0.3">
      <c r="B48" s="70">
        <v>45431</v>
      </c>
      <c r="C48">
        <v>6.68</v>
      </c>
      <c r="D48" s="74">
        <f t="shared" si="0"/>
        <v>-1.4749262536873234E-2</v>
      </c>
      <c r="G48">
        <v>9.3800000000000008</v>
      </c>
      <c r="H48" s="74">
        <f t="shared" si="1"/>
        <v>1.5151515151515213E-2</v>
      </c>
    </row>
    <row r="49" spans="2:8" x14ac:dyDescent="0.3">
      <c r="B49" s="70">
        <v>45438</v>
      </c>
      <c r="C49">
        <v>6.77</v>
      </c>
      <c r="D49" s="74">
        <f t="shared" si="0"/>
        <v>1.3473053892215548E-2</v>
      </c>
      <c r="G49">
        <v>9.56</v>
      </c>
      <c r="H49" s="74">
        <f t="shared" si="1"/>
        <v>1.9189765458422142E-2</v>
      </c>
    </row>
    <row r="50" spans="2:8" x14ac:dyDescent="0.3">
      <c r="B50" s="70">
        <v>45445</v>
      </c>
      <c r="C50">
        <v>6.8</v>
      </c>
      <c r="D50" s="74">
        <f t="shared" si="0"/>
        <v>4.4313146233382937E-3</v>
      </c>
      <c r="G50">
        <v>9.67</v>
      </c>
      <c r="H50" s="74">
        <f t="shared" si="1"/>
        <v>1.1506276150627555E-2</v>
      </c>
    </row>
    <row r="51" spans="2:8" x14ac:dyDescent="0.3">
      <c r="B51" s="70">
        <v>45452</v>
      </c>
      <c r="C51">
        <v>6.73</v>
      </c>
      <c r="D51" s="74">
        <f t="shared" si="0"/>
        <v>-1.0294117647058735E-2</v>
      </c>
      <c r="G51">
        <v>9.5299999999999994</v>
      </c>
      <c r="H51" s="74">
        <f t="shared" si="1"/>
        <v>-1.4477766287487133E-2</v>
      </c>
    </row>
    <row r="52" spans="2:8" x14ac:dyDescent="0.3">
      <c r="B52" s="70">
        <v>45459</v>
      </c>
      <c r="C52">
        <v>6.76</v>
      </c>
      <c r="D52" s="74">
        <f t="shared" si="0"/>
        <v>4.457652303120261E-3</v>
      </c>
      <c r="G52">
        <v>9.4600000000000009</v>
      </c>
      <c r="H52" s="74">
        <f t="shared" si="1"/>
        <v>-7.3452256033576611E-3</v>
      </c>
    </row>
    <row r="53" spans="2:8" x14ac:dyDescent="0.3">
      <c r="B53" s="70">
        <v>45466</v>
      </c>
      <c r="C53">
        <v>6.9</v>
      </c>
      <c r="D53" s="74">
        <f t="shared" si="0"/>
        <v>2.0710059171597718E-2</v>
      </c>
      <c r="G53">
        <v>9.48</v>
      </c>
      <c r="H53" s="74">
        <f t="shared" si="1"/>
        <v>2.1141649048625338E-3</v>
      </c>
    </row>
    <row r="54" spans="2:8" x14ac:dyDescent="0.3">
      <c r="B54" s="70">
        <v>45473</v>
      </c>
      <c r="C54">
        <v>6.98</v>
      </c>
      <c r="D54" s="74">
        <f t="shared" si="0"/>
        <v>1.1594202898550735E-2</v>
      </c>
      <c r="G54">
        <v>9.58</v>
      </c>
      <c r="H54" s="74">
        <f t="shared" si="1"/>
        <v>1.0548523206751016E-2</v>
      </c>
    </row>
    <row r="55" spans="2:8" x14ac:dyDescent="0.3">
      <c r="B55" s="70">
        <v>45480</v>
      </c>
      <c r="C55">
        <v>7.03</v>
      </c>
      <c r="D55" s="74">
        <f t="shared" si="0"/>
        <v>7.1633237822349314E-3</v>
      </c>
      <c r="G55">
        <v>9.8000000000000007</v>
      </c>
      <c r="H55" s="74">
        <f t="shared" si="1"/>
        <v>2.2964509394572091E-2</v>
      </c>
    </row>
    <row r="56" spans="2:8" x14ac:dyDescent="0.3">
      <c r="B56" s="70">
        <v>45487</v>
      </c>
      <c r="C56">
        <v>7.04</v>
      </c>
      <c r="D56" s="74">
        <f t="shared" si="0"/>
        <v>1.4224751066856027E-3</v>
      </c>
      <c r="G56">
        <v>9.77</v>
      </c>
      <c r="H56" s="74">
        <f t="shared" si="1"/>
        <v>-3.061224489796034E-3</v>
      </c>
    </row>
    <row r="57" spans="2:8" x14ac:dyDescent="0.3">
      <c r="B57" s="70">
        <v>45494</v>
      </c>
      <c r="C57">
        <v>6.97</v>
      </c>
      <c r="D57" s="74">
        <f t="shared" si="0"/>
        <v>-9.9431818181818579E-3</v>
      </c>
      <c r="G57">
        <v>9.68</v>
      </c>
      <c r="H57" s="74">
        <f t="shared" si="1"/>
        <v>-9.2118730808597605E-3</v>
      </c>
    </row>
    <row r="58" spans="2:8" x14ac:dyDescent="0.3">
      <c r="B58" s="70">
        <v>45501</v>
      </c>
      <c r="C58">
        <v>6.11</v>
      </c>
      <c r="D58" s="74">
        <f t="shared" si="0"/>
        <v>-0.12338593974175029</v>
      </c>
      <c r="G58">
        <v>9.77</v>
      </c>
      <c r="H58" s="74">
        <f t="shared" si="1"/>
        <v>9.2975206611570112E-3</v>
      </c>
    </row>
    <row r="59" spans="2:8" x14ac:dyDescent="0.3">
      <c r="B59" s="70">
        <v>45508</v>
      </c>
      <c r="C59">
        <v>5.88</v>
      </c>
      <c r="D59" s="74">
        <f t="shared" si="0"/>
        <v>-3.764320785597388E-2</v>
      </c>
      <c r="G59">
        <v>9.82</v>
      </c>
      <c r="H59" s="74">
        <f t="shared" si="1"/>
        <v>5.1177072671443925E-3</v>
      </c>
    </row>
    <row r="60" spans="2:8" x14ac:dyDescent="0.3">
      <c r="B60" s="70">
        <v>45515</v>
      </c>
      <c r="C60">
        <v>6.11</v>
      </c>
      <c r="D60" s="74">
        <f t="shared" si="0"/>
        <v>3.9115646258503473E-2</v>
      </c>
      <c r="G60">
        <v>10.39</v>
      </c>
      <c r="H60" s="74">
        <f t="shared" si="1"/>
        <v>5.8044806517311635E-2</v>
      </c>
    </row>
    <row r="61" spans="2:8" x14ac:dyDescent="0.3">
      <c r="B61" s="70">
        <v>45522</v>
      </c>
      <c r="C61">
        <v>6.21</v>
      </c>
      <c r="D61" s="74">
        <f t="shared" si="0"/>
        <v>1.6366612111292905E-2</v>
      </c>
      <c r="G61">
        <v>10.68</v>
      </c>
      <c r="H61" s="74">
        <f t="shared" si="1"/>
        <v>2.7911453320500396E-2</v>
      </c>
    </row>
    <row r="62" spans="2:8" x14ac:dyDescent="0.3">
      <c r="B62" s="70">
        <v>45529</v>
      </c>
      <c r="C62">
        <v>6.28</v>
      </c>
      <c r="D62" s="74">
        <f t="shared" si="0"/>
        <v>1.1272141706924362E-2</v>
      </c>
      <c r="G62">
        <v>10.83</v>
      </c>
      <c r="H62" s="74">
        <f t="shared" si="1"/>
        <v>1.4044943820224753E-2</v>
      </c>
    </row>
    <row r="63" spans="2:8" x14ac:dyDescent="0.3">
      <c r="B63" s="70">
        <v>45536</v>
      </c>
      <c r="C63">
        <v>6.28</v>
      </c>
      <c r="D63" s="74">
        <f t="shared" si="0"/>
        <v>0</v>
      </c>
      <c r="G63">
        <v>10.87</v>
      </c>
      <c r="H63" s="74">
        <f t="shared" si="1"/>
        <v>3.6934441366573544E-3</v>
      </c>
    </row>
    <row r="64" spans="2:8" x14ac:dyDescent="0.3">
      <c r="B64" s="70">
        <v>45543</v>
      </c>
      <c r="C64">
        <v>6.52</v>
      </c>
      <c r="D64" s="74">
        <f t="shared" si="0"/>
        <v>3.8216560509554034E-2</v>
      </c>
      <c r="G64">
        <v>11.23</v>
      </c>
      <c r="H64" s="74">
        <f t="shared" si="1"/>
        <v>3.3118675252989997E-2</v>
      </c>
    </row>
    <row r="65" spans="2:8" x14ac:dyDescent="0.3">
      <c r="B65" s="70">
        <v>45550</v>
      </c>
      <c r="C65">
        <v>6.6</v>
      </c>
      <c r="D65" s="74">
        <f t="shared" si="0"/>
        <v>1.2269938650306761E-2</v>
      </c>
      <c r="G65">
        <v>11.25</v>
      </c>
      <c r="H65" s="74">
        <f t="shared" si="1"/>
        <v>1.7809439002671036E-3</v>
      </c>
    </row>
    <row r="66" spans="2:8" x14ac:dyDescent="0.3">
      <c r="B66" s="70">
        <v>45557</v>
      </c>
      <c r="C66">
        <v>6.65</v>
      </c>
      <c r="D66" s="74">
        <f t="shared" si="0"/>
        <v>7.5757575757576835E-3</v>
      </c>
      <c r="G66">
        <v>11.27</v>
      </c>
      <c r="H66" s="74">
        <f t="shared" si="1"/>
        <v>1.7777777777777399E-3</v>
      </c>
    </row>
    <row r="67" spans="2:8" x14ac:dyDescent="0.3">
      <c r="B67" s="70">
        <v>45564</v>
      </c>
      <c r="C67">
        <v>6.6</v>
      </c>
      <c r="D67" s="74">
        <f t="shared" si="0"/>
        <v>-7.5187969924813093E-3</v>
      </c>
      <c r="G67">
        <v>11.68</v>
      </c>
      <c r="H67" s="74">
        <f t="shared" si="1"/>
        <v>3.6379769299023972E-2</v>
      </c>
    </row>
    <row r="68" spans="2:8" x14ac:dyDescent="0.3">
      <c r="B68" s="70">
        <v>45571</v>
      </c>
      <c r="C68">
        <v>6.47</v>
      </c>
      <c r="D68" s="74">
        <f t="shared" si="0"/>
        <v>-1.9696969696969682E-2</v>
      </c>
      <c r="G68">
        <v>11.68</v>
      </c>
      <c r="H68" s="74">
        <f t="shared" si="1"/>
        <v>0</v>
      </c>
    </row>
    <row r="69" spans="2:8" x14ac:dyDescent="0.3">
      <c r="B69" s="70">
        <v>45578</v>
      </c>
      <c r="C69">
        <v>6.5</v>
      </c>
      <c r="D69" s="74">
        <f t="shared" si="0"/>
        <v>4.6367851622875194E-3</v>
      </c>
      <c r="G69">
        <v>11.74</v>
      </c>
      <c r="H69" s="74">
        <f t="shared" si="1"/>
        <v>5.1369863013699061E-3</v>
      </c>
    </row>
    <row r="70" spans="2:8" x14ac:dyDescent="0.3">
      <c r="B70" s="70">
        <v>45585</v>
      </c>
      <c r="C70">
        <v>6.47</v>
      </c>
      <c r="D70" s="74">
        <f t="shared" si="0"/>
        <v>-4.615384615384654E-3</v>
      </c>
      <c r="G70">
        <v>11.65</v>
      </c>
      <c r="H70" s="74">
        <f t="shared" si="1"/>
        <v>-7.6660988074957288E-3</v>
      </c>
    </row>
    <row r="71" spans="2:8" x14ac:dyDescent="0.3">
      <c r="B71" s="70">
        <v>45592</v>
      </c>
      <c r="C71">
        <v>6.44</v>
      </c>
      <c r="D71" s="74">
        <f t="shared" si="0"/>
        <v>-4.6367851622873824E-3</v>
      </c>
      <c r="G71">
        <v>11.41</v>
      </c>
      <c r="H71" s="74">
        <f t="shared" si="1"/>
        <v>-2.060085836909873E-2</v>
      </c>
    </row>
    <row r="72" spans="2:8" x14ac:dyDescent="0.3">
      <c r="B72" s="70">
        <v>45599</v>
      </c>
      <c r="C72">
        <v>6.51</v>
      </c>
      <c r="D72" s="74">
        <f t="shared" si="0"/>
        <v>1.086956521739121E-2</v>
      </c>
      <c r="G72">
        <v>11.48</v>
      </c>
      <c r="H72" s="74">
        <f t="shared" si="1"/>
        <v>6.1349693251533987E-3</v>
      </c>
    </row>
    <row r="73" spans="2:8" x14ac:dyDescent="0.3">
      <c r="D73" s="74"/>
    </row>
    <row r="75" spans="2:8" x14ac:dyDescent="0.3">
      <c r="B75" s="60" t="s">
        <v>41</v>
      </c>
    </row>
    <row r="76" spans="2:8" x14ac:dyDescent="0.3">
      <c r="B76" s="379" t="s">
        <v>352</v>
      </c>
      <c r="C76" s="379"/>
      <c r="D76" s="379"/>
      <c r="E76" s="379"/>
      <c r="F76" s="379"/>
      <c r="G76" s="379"/>
      <c r="H76" s="379"/>
    </row>
    <row r="77" spans="2:8" x14ac:dyDescent="0.3">
      <c r="B77" s="379"/>
      <c r="C77" s="379"/>
      <c r="D77" s="379"/>
      <c r="E77" s="379"/>
      <c r="F77" s="379"/>
      <c r="G77" s="379"/>
      <c r="H77" s="379"/>
    </row>
    <row r="78" spans="2:8" x14ac:dyDescent="0.3">
      <c r="B78" s="379"/>
      <c r="C78" s="379"/>
      <c r="D78" s="379"/>
      <c r="E78" s="379"/>
      <c r="F78" s="379"/>
      <c r="G78" s="379"/>
      <c r="H78" s="379"/>
    </row>
  </sheetData>
  <mergeCells count="7">
    <mergeCell ref="B76:H78"/>
    <mergeCell ref="P10:S10"/>
    <mergeCell ref="B2:D2"/>
    <mergeCell ref="B4:E4"/>
    <mergeCell ref="G4:H4"/>
    <mergeCell ref="J4:K4"/>
    <mergeCell ref="P8:S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461E1-9A42-4532-A611-D1644FF0628B}">
  <dimension ref="B2:Y78"/>
  <sheetViews>
    <sheetView showGridLines="0" workbookViewId="0">
      <selection activeCell="B1" sqref="B1"/>
    </sheetView>
  </sheetViews>
  <sheetFormatPr defaultRowHeight="14.4" x14ac:dyDescent="0.3"/>
  <cols>
    <col min="2" max="2" width="14.33203125" customWidth="1"/>
    <col min="3" max="3" width="12.88671875" customWidth="1"/>
    <col min="4" max="4" width="13.44140625" customWidth="1"/>
    <col min="7" max="7" width="26.5546875" customWidth="1"/>
    <col min="8" max="8" width="16.44140625" customWidth="1"/>
    <col min="10" max="10" width="23.44140625" customWidth="1"/>
    <col min="12" max="12" width="18" customWidth="1"/>
    <col min="14" max="14" width="21.6640625" customWidth="1"/>
  </cols>
  <sheetData>
    <row r="2" spans="2:19" x14ac:dyDescent="0.3">
      <c r="B2" s="387" t="str">
        <f>'Beta-Singapore Airlines'!B2:D2</f>
        <v>Regression Beta-1 year weekly</v>
      </c>
      <c r="C2" s="387"/>
      <c r="D2" s="387"/>
    </row>
    <row r="3" spans="2:19" x14ac:dyDescent="0.3">
      <c r="B3" s="65"/>
      <c r="J3" s="60"/>
    </row>
    <row r="4" spans="2:19" x14ac:dyDescent="0.3">
      <c r="B4" s="367" t="str">
        <f>'Data-competitors'!B11</f>
        <v>Garuda Indonesia Persero Tbk</v>
      </c>
      <c r="C4" s="367"/>
      <c r="D4" s="367"/>
      <c r="E4" s="367"/>
      <c r="G4" s="367" t="s">
        <v>361</v>
      </c>
      <c r="H4" s="367"/>
      <c r="I4" s="66"/>
      <c r="J4" s="367" t="s">
        <v>48</v>
      </c>
      <c r="K4" s="367"/>
      <c r="L4" s="66"/>
    </row>
    <row r="6" spans="2:19" x14ac:dyDescent="0.3">
      <c r="B6" s="67" t="s">
        <v>49</v>
      </c>
      <c r="C6" s="67" t="s">
        <v>50</v>
      </c>
      <c r="D6" s="67" t="s">
        <v>51</v>
      </c>
      <c r="E6" s="10"/>
      <c r="F6" s="10"/>
      <c r="G6" s="67" t="s">
        <v>50</v>
      </c>
      <c r="H6" s="67" t="s">
        <v>51</v>
      </c>
      <c r="J6" t="s">
        <v>52</v>
      </c>
      <c r="K6" s="68">
        <f>O10</f>
        <v>0.23660042885491522</v>
      </c>
      <c r="N6" t="s">
        <v>53</v>
      </c>
      <c r="O6" s="68">
        <f>SLOPE(D8:D72,H8:H72)</f>
        <v>0.23660042885491459</v>
      </c>
      <c r="P6" s="28" t="s">
        <v>54</v>
      </c>
      <c r="Q6" s="69"/>
      <c r="R6" s="69"/>
      <c r="S6" s="29"/>
    </row>
    <row r="7" spans="2:19" x14ac:dyDescent="0.3">
      <c r="B7" s="70">
        <v>45144</v>
      </c>
      <c r="C7">
        <v>63</v>
      </c>
      <c r="D7" s="8"/>
      <c r="G7" s="3">
        <v>6878</v>
      </c>
      <c r="H7" s="8"/>
      <c r="J7" t="s">
        <v>55</v>
      </c>
      <c r="K7" s="42">
        <v>0.5</v>
      </c>
      <c r="L7" s="72"/>
      <c r="O7" s="68"/>
      <c r="P7" s="73"/>
      <c r="Q7" s="73"/>
      <c r="R7" s="73"/>
      <c r="S7" s="73"/>
    </row>
    <row r="8" spans="2:19" x14ac:dyDescent="0.3">
      <c r="B8" s="70">
        <v>45151</v>
      </c>
      <c r="C8">
        <v>64</v>
      </c>
      <c r="D8" s="74">
        <f>(C8-C7)/C7</f>
        <v>1.5873015873015872E-2</v>
      </c>
      <c r="G8" s="145">
        <v>6879.98</v>
      </c>
      <c r="H8" s="74">
        <f t="shared" ref="H8:H71" si="0">(G8-G7)/G7</f>
        <v>2.8787438208775274E-4</v>
      </c>
      <c r="N8" t="s">
        <v>56</v>
      </c>
      <c r="O8" s="68">
        <f>_xlfn.COVARIANCE.S(D8:D72,H8:H72)/_xlfn.VAR.S(H8:H72)</f>
        <v>0.23660042885491459</v>
      </c>
      <c r="P8" s="374" t="s">
        <v>57</v>
      </c>
      <c r="Q8" s="374"/>
      <c r="R8" s="374"/>
      <c r="S8" s="374"/>
    </row>
    <row r="9" spans="2:19" x14ac:dyDescent="0.3">
      <c r="B9" s="70">
        <v>45158</v>
      </c>
      <c r="C9">
        <v>96</v>
      </c>
      <c r="D9" s="74">
        <f t="shared" ref="D9:D72" si="1">(C9-C8)/C8</f>
        <v>0.5</v>
      </c>
      <c r="G9" s="145">
        <v>6859.91</v>
      </c>
      <c r="H9" s="74">
        <f t="shared" si="0"/>
        <v>-2.9171596429058964E-3</v>
      </c>
      <c r="J9" t="s">
        <v>58</v>
      </c>
      <c r="K9">
        <v>1</v>
      </c>
      <c r="O9" s="68"/>
      <c r="P9" s="73"/>
      <c r="Q9" s="73"/>
      <c r="R9" s="73"/>
      <c r="S9" s="73"/>
    </row>
    <row r="10" spans="2:19" x14ac:dyDescent="0.3">
      <c r="B10" s="70">
        <v>45165</v>
      </c>
      <c r="C10">
        <v>81</v>
      </c>
      <c r="D10" s="74">
        <f t="shared" si="1"/>
        <v>-0.15625</v>
      </c>
      <c r="G10" s="145">
        <v>6895.44</v>
      </c>
      <c r="H10" s="74">
        <f t="shared" si="0"/>
        <v>5.1793682424404611E-3</v>
      </c>
      <c r="J10" t="s">
        <v>59</v>
      </c>
      <c r="K10" s="39">
        <f>100%-K7</f>
        <v>0.5</v>
      </c>
      <c r="N10" t="s">
        <v>60</v>
      </c>
      <c r="O10" s="68">
        <f>O35</f>
        <v>0.23660042885491522</v>
      </c>
      <c r="P10" s="374" t="s">
        <v>61</v>
      </c>
      <c r="Q10" s="374"/>
      <c r="R10" s="374"/>
      <c r="S10" s="374"/>
    </row>
    <row r="11" spans="2:19" x14ac:dyDescent="0.3">
      <c r="B11" s="70">
        <v>45172</v>
      </c>
      <c r="C11">
        <v>91</v>
      </c>
      <c r="D11" s="74">
        <f t="shared" si="1"/>
        <v>0.12345679012345678</v>
      </c>
      <c r="G11" s="145">
        <v>6977.65</v>
      </c>
      <c r="H11" s="74">
        <f t="shared" si="0"/>
        <v>1.1922371886348085E-2</v>
      </c>
    </row>
    <row r="12" spans="2:19" x14ac:dyDescent="0.3">
      <c r="B12" s="70">
        <v>45179</v>
      </c>
      <c r="C12">
        <v>95</v>
      </c>
      <c r="D12" s="74">
        <f>(C12-C9)/C9</f>
        <v>-1.0416666666666666E-2</v>
      </c>
      <c r="G12" s="145">
        <v>6924.78</v>
      </c>
      <c r="H12" s="74">
        <f t="shared" si="0"/>
        <v>-7.5770495797295497E-3</v>
      </c>
      <c r="J12" s="69" t="s">
        <v>62</v>
      </c>
      <c r="K12" s="75">
        <f>(K6*K7)+(K9*K10)</f>
        <v>0.61830021442745764</v>
      </c>
    </row>
    <row r="13" spans="2:19" x14ac:dyDescent="0.3">
      <c r="B13" s="70">
        <v>45186</v>
      </c>
      <c r="C13">
        <v>92</v>
      </c>
      <c r="D13" s="74">
        <f t="shared" si="1"/>
        <v>-3.1578947368421054E-2</v>
      </c>
      <c r="G13" s="145">
        <v>6982.79</v>
      </c>
      <c r="H13" s="74">
        <f t="shared" si="0"/>
        <v>8.3771614405078899E-3</v>
      </c>
    </row>
    <row r="14" spans="2:19" x14ac:dyDescent="0.3">
      <c r="B14" s="70">
        <v>45193</v>
      </c>
      <c r="C14">
        <v>92</v>
      </c>
      <c r="D14" s="74">
        <f t="shared" si="1"/>
        <v>0</v>
      </c>
      <c r="G14" s="145">
        <v>7016.84</v>
      </c>
      <c r="H14" s="74">
        <f t="shared" si="0"/>
        <v>4.8762743831620575E-3</v>
      </c>
    </row>
    <row r="15" spans="2:19" x14ac:dyDescent="0.3">
      <c r="B15" s="70">
        <v>45200</v>
      </c>
      <c r="C15">
        <v>91</v>
      </c>
      <c r="D15" s="74">
        <f t="shared" si="1"/>
        <v>-1.0869565217391304E-2</v>
      </c>
      <c r="G15" s="145">
        <v>6939.89</v>
      </c>
      <c r="H15" s="74">
        <f t="shared" si="0"/>
        <v>-1.0966474937436198E-2</v>
      </c>
      <c r="J15" s="60"/>
    </row>
    <row r="16" spans="2:19" x14ac:dyDescent="0.3">
      <c r="B16" s="70">
        <v>45207</v>
      </c>
      <c r="C16">
        <v>87</v>
      </c>
      <c r="D16" s="74">
        <f t="shared" si="1"/>
        <v>-4.3956043956043959E-2</v>
      </c>
      <c r="G16" s="145">
        <v>6888.52</v>
      </c>
      <c r="H16" s="74">
        <f t="shared" si="0"/>
        <v>-7.4021346159665194E-3</v>
      </c>
      <c r="J16" s="76"/>
      <c r="K16" s="76"/>
      <c r="L16" s="76"/>
    </row>
    <row r="17" spans="2:25" x14ac:dyDescent="0.3">
      <c r="B17" s="70">
        <v>45214</v>
      </c>
      <c r="C17">
        <v>82</v>
      </c>
      <c r="D17" s="74">
        <f t="shared" si="1"/>
        <v>-5.7471264367816091E-2</v>
      </c>
      <c r="G17" s="145">
        <v>6926.78</v>
      </c>
      <c r="H17" s="74">
        <f t="shared" si="0"/>
        <v>5.5541683845004887E-3</v>
      </c>
      <c r="J17" s="76"/>
      <c r="K17" s="76"/>
      <c r="L17" s="76"/>
    </row>
    <row r="18" spans="2:25" x14ac:dyDescent="0.3">
      <c r="B18" s="70">
        <v>45221</v>
      </c>
      <c r="C18">
        <v>91</v>
      </c>
      <c r="D18" s="74">
        <f>(C18-C17)/C17</f>
        <v>0.10975609756097561</v>
      </c>
      <c r="G18" s="145">
        <v>6849.17</v>
      </c>
      <c r="H18" s="74">
        <f t="shared" si="0"/>
        <v>-1.1204340256222902E-2</v>
      </c>
      <c r="J18" s="76"/>
      <c r="K18" s="76"/>
      <c r="L18" s="76"/>
      <c r="N18" t="s">
        <v>64</v>
      </c>
    </row>
    <row r="19" spans="2:25" ht="15" thickBot="1" x14ac:dyDescent="0.35">
      <c r="B19" s="70">
        <v>45228</v>
      </c>
      <c r="C19">
        <v>88</v>
      </c>
      <c r="D19" s="74">
        <f t="shared" si="1"/>
        <v>-3.2967032967032968E-2</v>
      </c>
      <c r="G19" s="145">
        <v>6758.79</v>
      </c>
      <c r="H19" s="74">
        <f t="shared" si="0"/>
        <v>-1.3195759486185933E-2</v>
      </c>
      <c r="J19" s="76"/>
      <c r="K19" s="76"/>
      <c r="L19" s="76"/>
    </row>
    <row r="20" spans="2:25" x14ac:dyDescent="0.3">
      <c r="B20" s="70">
        <v>45235</v>
      </c>
      <c r="C20">
        <v>88</v>
      </c>
      <c r="D20" s="74">
        <f t="shared" si="1"/>
        <v>0</v>
      </c>
      <c r="G20" s="145">
        <v>6788.85</v>
      </c>
      <c r="H20" s="74">
        <f t="shared" si="0"/>
        <v>4.4475416457680148E-3</v>
      </c>
      <c r="J20" s="76"/>
      <c r="K20" s="76"/>
      <c r="L20" s="76"/>
      <c r="N20" s="327" t="s">
        <v>65</v>
      </c>
      <c r="O20" s="327"/>
    </row>
    <row r="21" spans="2:25" x14ac:dyDescent="0.3">
      <c r="B21" s="70">
        <v>45242</v>
      </c>
      <c r="C21">
        <v>88</v>
      </c>
      <c r="D21" s="74">
        <f t="shared" si="1"/>
        <v>0</v>
      </c>
      <c r="G21" s="145">
        <v>6809.26</v>
      </c>
      <c r="H21" s="74">
        <f t="shared" si="0"/>
        <v>3.006400200328458E-3</v>
      </c>
      <c r="J21" s="76"/>
      <c r="K21" s="76"/>
      <c r="L21" s="76"/>
      <c r="N21" t="s">
        <v>66</v>
      </c>
      <c r="O21">
        <v>3.6592773403017705E-2</v>
      </c>
    </row>
    <row r="22" spans="2:25" x14ac:dyDescent="0.3">
      <c r="B22" s="70">
        <v>45249</v>
      </c>
      <c r="C22">
        <v>86</v>
      </c>
      <c r="D22" s="74">
        <f t="shared" si="1"/>
        <v>-2.2727272727272728E-2</v>
      </c>
      <c r="G22" s="145">
        <v>6977.67</v>
      </c>
      <c r="H22" s="74">
        <f t="shared" si="0"/>
        <v>2.4732496629589682E-2</v>
      </c>
      <c r="J22" s="76"/>
      <c r="K22" s="76"/>
      <c r="L22" s="76"/>
      <c r="N22" t="s">
        <v>67</v>
      </c>
      <c r="O22">
        <v>1.3390310653246E-3</v>
      </c>
    </row>
    <row r="23" spans="2:25" x14ac:dyDescent="0.3">
      <c r="B23" s="70">
        <v>45256</v>
      </c>
      <c r="C23">
        <v>84</v>
      </c>
      <c r="D23" s="74">
        <f t="shared" si="1"/>
        <v>-2.3255813953488372E-2</v>
      </c>
      <c r="G23" s="145">
        <v>7009.63</v>
      </c>
      <c r="H23" s="74">
        <f t="shared" si="0"/>
        <v>4.5803255241362853E-3</v>
      </c>
      <c r="J23" s="76"/>
      <c r="K23" s="76"/>
      <c r="L23" s="76"/>
      <c r="N23" t="s">
        <v>68</v>
      </c>
      <c r="O23">
        <v>-1.4512730346336914E-2</v>
      </c>
    </row>
    <row r="24" spans="2:25" x14ac:dyDescent="0.3">
      <c r="B24" s="70">
        <v>45263</v>
      </c>
      <c r="C24">
        <v>86</v>
      </c>
      <c r="D24" s="74">
        <f t="shared" si="1"/>
        <v>2.3809523809523808E-2</v>
      </c>
      <c r="G24" s="145">
        <v>7059.91</v>
      </c>
      <c r="H24" s="74">
        <f t="shared" si="0"/>
        <v>7.1729891591995219E-3</v>
      </c>
      <c r="J24" s="76"/>
      <c r="K24" s="76"/>
      <c r="L24" s="76"/>
      <c r="N24" t="s">
        <v>69</v>
      </c>
      <c r="O24">
        <v>9.3130791916966785E-2</v>
      </c>
    </row>
    <row r="25" spans="2:25" ht="15" thickBot="1" x14ac:dyDescent="0.35">
      <c r="B25" s="70">
        <v>45270</v>
      </c>
      <c r="C25">
        <v>81</v>
      </c>
      <c r="D25" s="74">
        <f t="shared" si="1"/>
        <v>-5.8139534883720929E-2</v>
      </c>
      <c r="G25" s="145">
        <v>7159.6</v>
      </c>
      <c r="H25" s="74">
        <f t="shared" si="0"/>
        <v>1.4120576607917171E-2</v>
      </c>
      <c r="J25" s="76"/>
      <c r="K25" s="76"/>
      <c r="L25" s="76"/>
      <c r="N25" s="78" t="s">
        <v>70</v>
      </c>
      <c r="O25" s="78">
        <v>65</v>
      </c>
    </row>
    <row r="26" spans="2:25" x14ac:dyDescent="0.3">
      <c r="B26" s="70">
        <v>45277</v>
      </c>
      <c r="C26">
        <v>71</v>
      </c>
      <c r="D26" s="74">
        <f t="shared" si="1"/>
        <v>-0.12345679012345678</v>
      </c>
      <c r="G26" s="145">
        <v>7190.99</v>
      </c>
      <c r="H26" s="74">
        <f t="shared" si="0"/>
        <v>4.384323146544418E-3</v>
      </c>
    </row>
    <row r="27" spans="2:25" ht="15" thickBot="1" x14ac:dyDescent="0.35">
      <c r="B27" s="70">
        <v>45284</v>
      </c>
      <c r="C27">
        <v>69</v>
      </c>
      <c r="D27" s="74">
        <f t="shared" si="1"/>
        <v>-2.8169014084507043E-2</v>
      </c>
      <c r="G27" s="145">
        <v>7237.52</v>
      </c>
      <c r="H27" s="74">
        <f t="shared" si="0"/>
        <v>6.4705972334825465E-3</v>
      </c>
      <c r="N27" t="s">
        <v>71</v>
      </c>
    </row>
    <row r="28" spans="2:25" x14ac:dyDescent="0.3">
      <c r="B28" s="70">
        <v>45291</v>
      </c>
      <c r="C28">
        <v>76</v>
      </c>
      <c r="D28" s="74">
        <f t="shared" si="1"/>
        <v>0.10144927536231885</v>
      </c>
      <c r="G28" s="145">
        <v>7272.8</v>
      </c>
      <c r="H28" s="74">
        <f t="shared" si="0"/>
        <v>4.8745979285721823E-3</v>
      </c>
      <c r="N28" s="178"/>
      <c r="O28" s="178" t="s">
        <v>72</v>
      </c>
      <c r="P28" s="178" t="s">
        <v>73</v>
      </c>
      <c r="Q28" s="178" t="s">
        <v>74</v>
      </c>
      <c r="R28" s="178" t="s">
        <v>75</v>
      </c>
      <c r="S28" s="178" t="s">
        <v>76</v>
      </c>
    </row>
    <row r="29" spans="2:25" x14ac:dyDescent="0.3">
      <c r="B29" s="70">
        <v>45298</v>
      </c>
      <c r="C29">
        <v>73</v>
      </c>
      <c r="D29" s="74">
        <f t="shared" si="1"/>
        <v>-3.9473684210526314E-2</v>
      </c>
      <c r="G29" s="145">
        <v>7350.62</v>
      </c>
      <c r="H29" s="74">
        <f t="shared" si="0"/>
        <v>1.0700142998569974E-2</v>
      </c>
      <c r="N29" t="s">
        <v>77</v>
      </c>
      <c r="O29">
        <v>1</v>
      </c>
      <c r="P29">
        <v>7.3265533680322292E-4</v>
      </c>
      <c r="Q29">
        <v>7.3265533680322292E-4</v>
      </c>
      <c r="R29">
        <v>8.4472067838437678E-2</v>
      </c>
      <c r="S29">
        <v>0.77228069231097618</v>
      </c>
    </row>
    <row r="30" spans="2:25" x14ac:dyDescent="0.3">
      <c r="B30" s="70">
        <v>45305</v>
      </c>
      <c r="C30">
        <v>72</v>
      </c>
      <c r="D30" s="74">
        <f t="shared" si="1"/>
        <v>-1.3698630136986301E-2</v>
      </c>
      <c r="G30" s="145">
        <v>7241.14</v>
      </c>
      <c r="H30" s="74">
        <f t="shared" si="0"/>
        <v>-1.4893981732153148E-2</v>
      </c>
      <c r="N30" t="s">
        <v>78</v>
      </c>
      <c r="O30">
        <v>63</v>
      </c>
      <c r="P30">
        <v>0.54642069739412613</v>
      </c>
      <c r="Q30">
        <v>8.6733444030813664E-3</v>
      </c>
    </row>
    <row r="31" spans="2:25" ht="15" thickBot="1" x14ac:dyDescent="0.35">
      <c r="B31" s="70">
        <v>45312</v>
      </c>
      <c r="C31">
        <v>67</v>
      </c>
      <c r="D31" s="74">
        <f t="shared" si="1"/>
        <v>-6.9444444444444448E-2</v>
      </c>
      <c r="G31" s="145">
        <v>7227.4</v>
      </c>
      <c r="H31" s="74">
        <f t="shared" si="0"/>
        <v>-1.8974912789976013E-3</v>
      </c>
      <c r="N31" s="78" t="s">
        <v>79</v>
      </c>
      <c r="O31" s="78">
        <v>64</v>
      </c>
      <c r="P31" s="78">
        <v>0.54715335273092935</v>
      </c>
      <c r="Q31" s="78"/>
      <c r="R31" s="78"/>
      <c r="S31" s="78"/>
    </row>
    <row r="32" spans="2:25" ht="15" thickBot="1" x14ac:dyDescent="0.35">
      <c r="B32" s="70">
        <v>45319</v>
      </c>
      <c r="C32">
        <v>67</v>
      </c>
      <c r="D32" s="74">
        <f t="shared" si="1"/>
        <v>0</v>
      </c>
      <c r="G32" s="145">
        <v>7137.09</v>
      </c>
      <c r="H32" s="74">
        <f t="shared" si="0"/>
        <v>-1.2495503223842529E-2</v>
      </c>
      <c r="W32" s="178" t="s">
        <v>84</v>
      </c>
      <c r="X32" s="178" t="s">
        <v>85</v>
      </c>
      <c r="Y32" s="178" t="s">
        <v>86</v>
      </c>
    </row>
    <row r="33" spans="2:25" x14ac:dyDescent="0.3">
      <c r="B33" s="70">
        <v>45326</v>
      </c>
      <c r="C33">
        <v>67</v>
      </c>
      <c r="D33" s="74">
        <f t="shared" si="1"/>
        <v>0</v>
      </c>
      <c r="G33" s="145">
        <v>7238.79</v>
      </c>
      <c r="H33" s="74">
        <f t="shared" si="0"/>
        <v>1.4249505050377649E-2</v>
      </c>
      <c r="N33" s="178"/>
      <c r="O33" s="178" t="s">
        <v>80</v>
      </c>
      <c r="P33" s="178" t="s">
        <v>69</v>
      </c>
      <c r="Q33" s="178" t="s">
        <v>81</v>
      </c>
      <c r="R33" s="178" t="s">
        <v>82</v>
      </c>
      <c r="S33" s="178" t="s">
        <v>83</v>
      </c>
      <c r="T33" s="178" t="s">
        <v>84</v>
      </c>
      <c r="U33" s="178" t="s">
        <v>85</v>
      </c>
      <c r="V33" s="178" t="s">
        <v>86</v>
      </c>
      <c r="W33">
        <v>5.4757766758481178E-3</v>
      </c>
      <c r="X33">
        <v>-1.1239692653690202E-2</v>
      </c>
      <c r="Y33">
        <v>5.4757766758481178E-3</v>
      </c>
    </row>
    <row r="34" spans="2:25" ht="15" thickBot="1" x14ac:dyDescent="0.35">
      <c r="B34" s="70">
        <v>45333</v>
      </c>
      <c r="C34">
        <v>69</v>
      </c>
      <c r="D34" s="74">
        <f>(C34-C33)/C33</f>
        <v>2.9850746268656716E-2</v>
      </c>
      <c r="G34" s="145">
        <v>7235.15</v>
      </c>
      <c r="H34" s="74">
        <f t="shared" si="0"/>
        <v>-5.0284647019741252E-4</v>
      </c>
      <c r="N34" t="s">
        <v>87</v>
      </c>
      <c r="O34">
        <v>1.1372650245918443E-3</v>
      </c>
      <c r="P34">
        <v>1.1595573285656328E-2</v>
      </c>
      <c r="Q34">
        <v>9.8077516011962601E-2</v>
      </c>
      <c r="R34">
        <v>0.92218212245001796</v>
      </c>
      <c r="S34">
        <v>-2.2034639185905636E-2</v>
      </c>
      <c r="T34">
        <v>2.4309169235089325E-2</v>
      </c>
      <c r="U34">
        <v>-2.2034639185905636E-2</v>
      </c>
      <c r="V34">
        <v>2.4309169235089325E-2</v>
      </c>
      <c r="W34" s="78">
        <v>1.3913715442853973</v>
      </c>
      <c r="X34" s="78">
        <v>0.82418076302129584</v>
      </c>
      <c r="Y34" s="78">
        <v>1.3913715442853973</v>
      </c>
    </row>
    <row r="35" spans="2:25" ht="15" thickBot="1" x14ac:dyDescent="0.35">
      <c r="B35" s="70">
        <v>45340</v>
      </c>
      <c r="C35">
        <v>66</v>
      </c>
      <c r="D35" s="74">
        <f>(C35-C33)/C33</f>
        <v>-1.4925373134328358E-2</v>
      </c>
      <c r="G35" s="145">
        <v>7335.54</v>
      </c>
      <c r="H35" s="74">
        <f t="shared" si="0"/>
        <v>1.3875317028672568E-2</v>
      </c>
      <c r="N35" s="78" t="s">
        <v>88</v>
      </c>
      <c r="O35" s="78">
        <v>0.23660042885491522</v>
      </c>
      <c r="P35" s="78">
        <v>0.81406477809993594</v>
      </c>
      <c r="Q35" s="78">
        <v>0.29064078832540985</v>
      </c>
      <c r="R35" s="78">
        <v>0.77228069231100493</v>
      </c>
      <c r="S35" s="78">
        <v>-1.3901782214603375</v>
      </c>
      <c r="T35" s="78">
        <v>1.8633790791701681</v>
      </c>
      <c r="U35" s="78">
        <v>-1.3901782214603375</v>
      </c>
      <c r="V35" s="78">
        <v>1.8633790791701681</v>
      </c>
    </row>
    <row r="36" spans="2:25" x14ac:dyDescent="0.3">
      <c r="B36" s="70">
        <v>45347</v>
      </c>
      <c r="C36">
        <v>70</v>
      </c>
      <c r="D36" s="74">
        <f t="shared" si="1"/>
        <v>6.0606060606060608E-2</v>
      </c>
      <c r="G36" s="145">
        <v>7295.1</v>
      </c>
      <c r="H36" s="74">
        <f t="shared" si="0"/>
        <v>-5.5128865768572727E-3</v>
      </c>
    </row>
    <row r="37" spans="2:25" x14ac:dyDescent="0.3">
      <c r="B37" s="70">
        <v>45354</v>
      </c>
      <c r="C37">
        <v>71</v>
      </c>
      <c r="D37" s="74">
        <f t="shared" si="1"/>
        <v>1.4285714285714285E-2</v>
      </c>
      <c r="G37" s="145">
        <v>7311.91</v>
      </c>
      <c r="H37" s="74">
        <f t="shared" si="0"/>
        <v>2.3042864388424407E-3</v>
      </c>
    </row>
    <row r="38" spans="2:25" x14ac:dyDescent="0.3">
      <c r="B38" s="70">
        <v>45361</v>
      </c>
      <c r="C38">
        <v>71</v>
      </c>
      <c r="D38" s="74">
        <f t="shared" si="1"/>
        <v>0</v>
      </c>
      <c r="G38" s="145">
        <v>7381.91</v>
      </c>
      <c r="H38" s="74">
        <f t="shared" si="0"/>
        <v>9.5734219923385277E-3</v>
      </c>
    </row>
    <row r="39" spans="2:25" x14ac:dyDescent="0.3">
      <c r="B39" s="70">
        <v>45368</v>
      </c>
      <c r="C39">
        <v>77</v>
      </c>
      <c r="D39" s="74">
        <f t="shared" si="1"/>
        <v>8.4507042253521125E-2</v>
      </c>
      <c r="G39" s="145">
        <v>7328.05</v>
      </c>
      <c r="H39" s="74">
        <f t="shared" si="0"/>
        <v>-7.296214665310153E-3</v>
      </c>
    </row>
    <row r="40" spans="2:25" x14ac:dyDescent="0.3">
      <c r="B40" s="70">
        <v>45375</v>
      </c>
      <c r="C40">
        <v>55</v>
      </c>
      <c r="D40" s="74">
        <f t="shared" si="1"/>
        <v>-0.2857142857142857</v>
      </c>
      <c r="G40" s="145">
        <v>7350.15</v>
      </c>
      <c r="H40" s="74">
        <f t="shared" si="0"/>
        <v>3.0158091170228714E-3</v>
      </c>
      <c r="N40" s="79"/>
      <c r="O40" s="79"/>
      <c r="P40" s="79"/>
      <c r="Q40" s="79"/>
      <c r="R40" s="79"/>
      <c r="S40" s="79"/>
      <c r="T40" s="79"/>
      <c r="U40" s="79"/>
      <c r="V40" s="79"/>
    </row>
    <row r="41" spans="2:25" x14ac:dyDescent="0.3">
      <c r="B41" s="70">
        <v>45382</v>
      </c>
      <c r="C41">
        <v>63</v>
      </c>
      <c r="D41" s="74">
        <f t="shared" si="1"/>
        <v>0.14545454545454545</v>
      </c>
      <c r="G41" s="145">
        <v>7288.81</v>
      </c>
      <c r="H41" s="74">
        <f t="shared" si="0"/>
        <v>-8.3454079168451302E-3</v>
      </c>
    </row>
    <row r="42" spans="2:25" x14ac:dyDescent="0.3">
      <c r="B42" s="70">
        <v>45389</v>
      </c>
      <c r="C42">
        <v>63</v>
      </c>
      <c r="D42" s="74">
        <f t="shared" si="1"/>
        <v>0</v>
      </c>
      <c r="G42" s="145">
        <v>7286.88</v>
      </c>
      <c r="H42" s="74">
        <f t="shared" si="0"/>
        <v>-2.6478945122733217E-4</v>
      </c>
    </row>
    <row r="43" spans="2:25" x14ac:dyDescent="0.3">
      <c r="B43" s="70">
        <v>45396</v>
      </c>
      <c r="C43">
        <v>63</v>
      </c>
      <c r="D43" s="74">
        <f t="shared" si="1"/>
        <v>0</v>
      </c>
      <c r="G43" s="145">
        <v>7087.32</v>
      </c>
      <c r="H43" s="74">
        <f t="shared" si="0"/>
        <v>-2.738620644226341E-2</v>
      </c>
    </row>
    <row r="44" spans="2:25" x14ac:dyDescent="0.3">
      <c r="B44" s="70">
        <v>45403</v>
      </c>
      <c r="C44">
        <v>60</v>
      </c>
      <c r="D44" s="74">
        <f t="shared" si="1"/>
        <v>-4.7619047619047616E-2</v>
      </c>
      <c r="G44" s="145">
        <v>7036.08</v>
      </c>
      <c r="H44" s="74">
        <f t="shared" si="0"/>
        <v>-7.2298132439342069E-3</v>
      </c>
    </row>
    <row r="45" spans="2:25" x14ac:dyDescent="0.3">
      <c r="B45" s="70">
        <v>45410</v>
      </c>
      <c r="C45">
        <v>60</v>
      </c>
      <c r="D45" s="74">
        <f t="shared" si="1"/>
        <v>0</v>
      </c>
      <c r="G45" s="145">
        <v>7134.72</v>
      </c>
      <c r="H45" s="74">
        <f t="shared" si="0"/>
        <v>1.4019169764982822E-2</v>
      </c>
    </row>
    <row r="46" spans="2:25" x14ac:dyDescent="0.3">
      <c r="B46" s="70">
        <v>45417</v>
      </c>
      <c r="C46">
        <v>60</v>
      </c>
      <c r="D46" s="74">
        <f t="shared" si="1"/>
        <v>0</v>
      </c>
      <c r="G46" s="145">
        <v>7088.79</v>
      </c>
      <c r="H46" s="74">
        <f t="shared" si="0"/>
        <v>-6.437533638320816E-3</v>
      </c>
    </row>
    <row r="47" spans="2:25" x14ac:dyDescent="0.3">
      <c r="B47" s="70">
        <v>45424</v>
      </c>
      <c r="C47">
        <v>60</v>
      </c>
      <c r="D47" s="74">
        <f t="shared" si="1"/>
        <v>0</v>
      </c>
      <c r="G47" s="145">
        <v>7317.24</v>
      </c>
      <c r="H47" s="74">
        <f t="shared" si="0"/>
        <v>3.2226938588955215E-2</v>
      </c>
    </row>
    <row r="48" spans="2:25" x14ac:dyDescent="0.3">
      <c r="B48" s="70">
        <v>45431</v>
      </c>
      <c r="C48">
        <v>59</v>
      </c>
      <c r="D48" s="74">
        <f>(C48-C47)/C47</f>
        <v>-1.6666666666666666E-2</v>
      </c>
      <c r="G48" s="145">
        <v>7221.04</v>
      </c>
      <c r="H48" s="74">
        <f t="shared" si="0"/>
        <v>-1.3147033580967664E-2</v>
      </c>
    </row>
    <row r="49" spans="2:8" x14ac:dyDescent="0.3">
      <c r="B49" s="70">
        <v>45438</v>
      </c>
      <c r="C49">
        <v>56</v>
      </c>
      <c r="D49" s="74">
        <f t="shared" si="1"/>
        <v>-5.0847457627118647E-2</v>
      </c>
      <c r="G49" s="145">
        <v>6970.74</v>
      </c>
      <c r="H49" s="74">
        <f t="shared" si="0"/>
        <v>-3.4662597077429316E-2</v>
      </c>
    </row>
    <row r="50" spans="2:8" x14ac:dyDescent="0.3">
      <c r="B50" s="70">
        <v>45445</v>
      </c>
      <c r="C50">
        <v>53</v>
      </c>
      <c r="D50" s="74">
        <f t="shared" si="1"/>
        <v>-5.3571428571428568E-2</v>
      </c>
      <c r="G50" s="145">
        <v>6897.95</v>
      </c>
      <c r="H50" s="74">
        <f t="shared" si="0"/>
        <v>-1.0442219907785969E-2</v>
      </c>
    </row>
    <row r="51" spans="2:8" x14ac:dyDescent="0.3">
      <c r="B51" s="70">
        <v>45452</v>
      </c>
      <c r="C51">
        <v>50</v>
      </c>
      <c r="D51" s="74">
        <f t="shared" si="1"/>
        <v>-5.6603773584905662E-2</v>
      </c>
      <c r="G51" s="145">
        <v>6734.83</v>
      </c>
      <c r="H51" s="74">
        <f t="shared" si="0"/>
        <v>-2.3647605447995403E-2</v>
      </c>
    </row>
    <row r="52" spans="2:8" x14ac:dyDescent="0.3">
      <c r="B52" s="70">
        <v>45459</v>
      </c>
      <c r="C52">
        <v>52</v>
      </c>
      <c r="D52" s="74">
        <f t="shared" si="1"/>
        <v>0.04</v>
      </c>
      <c r="G52" s="145">
        <v>6879.98</v>
      </c>
      <c r="H52" s="74">
        <f t="shared" si="0"/>
        <v>2.155214014310675E-2</v>
      </c>
    </row>
    <row r="53" spans="2:8" x14ac:dyDescent="0.3">
      <c r="B53" s="70">
        <v>45466</v>
      </c>
      <c r="C53">
        <v>50</v>
      </c>
      <c r="D53" s="74">
        <f t="shared" si="1"/>
        <v>-3.8461538461538464E-2</v>
      </c>
      <c r="G53" s="145">
        <v>7063.58</v>
      </c>
      <c r="H53" s="74">
        <f t="shared" si="0"/>
        <v>2.6686124087570078E-2</v>
      </c>
    </row>
    <row r="54" spans="2:8" x14ac:dyDescent="0.3">
      <c r="B54" s="70">
        <v>45473</v>
      </c>
      <c r="C54">
        <v>50</v>
      </c>
      <c r="D54" s="74">
        <f t="shared" si="1"/>
        <v>0</v>
      </c>
      <c r="G54" s="145">
        <v>7253.37</v>
      </c>
      <c r="H54" s="74">
        <f t="shared" si="0"/>
        <v>2.6868811565806568E-2</v>
      </c>
    </row>
    <row r="55" spans="2:8" x14ac:dyDescent="0.3">
      <c r="B55" s="70">
        <v>45480</v>
      </c>
      <c r="C55">
        <v>52</v>
      </c>
      <c r="D55" s="74">
        <f t="shared" si="1"/>
        <v>0.04</v>
      </c>
      <c r="G55" s="145">
        <v>7327.58</v>
      </c>
      <c r="H55" s="74">
        <f t="shared" si="0"/>
        <v>1.0231106368488032E-2</v>
      </c>
    </row>
    <row r="56" spans="2:8" x14ac:dyDescent="0.3">
      <c r="B56" s="70">
        <v>45487</v>
      </c>
      <c r="C56">
        <v>54</v>
      </c>
      <c r="D56" s="74">
        <f t="shared" si="1"/>
        <v>3.8461538461538464E-2</v>
      </c>
      <c r="G56" s="145">
        <v>7264.45</v>
      </c>
      <c r="H56" s="74">
        <f t="shared" si="0"/>
        <v>-8.6153955330409374E-3</v>
      </c>
    </row>
    <row r="57" spans="2:8" x14ac:dyDescent="0.3">
      <c r="B57" s="70">
        <v>45494</v>
      </c>
      <c r="C57">
        <v>62</v>
      </c>
      <c r="D57" s="74">
        <f t="shared" si="1"/>
        <v>0.14814814814814814</v>
      </c>
      <c r="G57" s="145">
        <v>7288.17</v>
      </c>
      <c r="H57" s="74">
        <f t="shared" si="0"/>
        <v>3.2652162242152202E-3</v>
      </c>
    </row>
    <row r="58" spans="2:8" x14ac:dyDescent="0.3">
      <c r="B58" s="70">
        <v>45501</v>
      </c>
      <c r="C58">
        <v>61</v>
      </c>
      <c r="D58" s="74">
        <f t="shared" si="1"/>
        <v>-1.6129032258064516E-2</v>
      </c>
      <c r="G58" s="145">
        <v>7308.12</v>
      </c>
      <c r="H58" s="74">
        <f t="shared" si="0"/>
        <v>2.7373126587332372E-3</v>
      </c>
    </row>
    <row r="59" spans="2:8" x14ac:dyDescent="0.3">
      <c r="B59" s="70">
        <v>45508</v>
      </c>
      <c r="C59">
        <v>61</v>
      </c>
      <c r="D59" s="74">
        <f t="shared" si="1"/>
        <v>0</v>
      </c>
      <c r="G59" s="145">
        <v>7257</v>
      </c>
      <c r="H59" s="74">
        <f t="shared" si="0"/>
        <v>-6.9949590318713834E-3</v>
      </c>
    </row>
    <row r="60" spans="2:8" x14ac:dyDescent="0.3">
      <c r="B60" s="70">
        <v>45515</v>
      </c>
      <c r="C60">
        <v>63</v>
      </c>
      <c r="D60" s="74">
        <f t="shared" si="1"/>
        <v>3.2786885245901641E-2</v>
      </c>
      <c r="G60" s="145">
        <v>7432.09</v>
      </c>
      <c r="H60" s="74">
        <f t="shared" si="0"/>
        <v>2.4127049745073743E-2</v>
      </c>
    </row>
    <row r="61" spans="2:8" x14ac:dyDescent="0.3">
      <c r="B61" s="70">
        <v>45522</v>
      </c>
      <c r="C61">
        <v>63</v>
      </c>
      <c r="D61" s="74">
        <f t="shared" si="1"/>
        <v>0</v>
      </c>
      <c r="G61" s="145">
        <v>7544.3</v>
      </c>
      <c r="H61" s="74">
        <f t="shared" si="0"/>
        <v>1.5098041062473684E-2</v>
      </c>
    </row>
    <row r="62" spans="2:8" x14ac:dyDescent="0.3">
      <c r="B62" s="70">
        <v>45529</v>
      </c>
      <c r="C62">
        <v>63</v>
      </c>
      <c r="D62" s="74">
        <f t="shared" si="1"/>
        <v>0</v>
      </c>
      <c r="G62" s="145">
        <v>7670.73</v>
      </c>
      <c r="H62" s="74">
        <f t="shared" si="0"/>
        <v>1.6758347361584162E-2</v>
      </c>
    </row>
    <row r="63" spans="2:8" x14ac:dyDescent="0.3">
      <c r="B63" s="70">
        <v>45536</v>
      </c>
      <c r="C63">
        <v>64</v>
      </c>
      <c r="D63" s="74">
        <f t="shared" si="1"/>
        <v>1.5873015873015872E-2</v>
      </c>
      <c r="G63" s="145">
        <v>7721.85</v>
      </c>
      <c r="H63" s="74">
        <f t="shared" si="0"/>
        <v>6.6642940111307268E-3</v>
      </c>
    </row>
    <row r="64" spans="2:8" x14ac:dyDescent="0.3">
      <c r="B64" s="70">
        <v>45543</v>
      </c>
      <c r="C64">
        <v>70</v>
      </c>
      <c r="D64" s="74">
        <f t="shared" si="1"/>
        <v>9.375E-2</v>
      </c>
      <c r="G64" s="145">
        <v>7812.13</v>
      </c>
      <c r="H64" s="74">
        <f t="shared" si="0"/>
        <v>1.1691498798862934E-2</v>
      </c>
    </row>
    <row r="65" spans="2:8" x14ac:dyDescent="0.3">
      <c r="B65" s="70">
        <v>45550</v>
      </c>
      <c r="C65">
        <v>76</v>
      </c>
      <c r="D65" s="74">
        <f t="shared" si="1"/>
        <v>8.5714285714285715E-2</v>
      </c>
      <c r="G65" s="145">
        <v>7743</v>
      </c>
      <c r="H65" s="74">
        <f t="shared" si="0"/>
        <v>-8.8490590914385835E-3</v>
      </c>
    </row>
    <row r="66" spans="2:8" x14ac:dyDescent="0.3">
      <c r="B66" s="70">
        <v>45557</v>
      </c>
      <c r="C66">
        <v>66</v>
      </c>
      <c r="D66" s="74">
        <f t="shared" si="1"/>
        <v>-0.13157894736842105</v>
      </c>
      <c r="G66" s="145">
        <v>7696.92</v>
      </c>
      <c r="H66" s="74">
        <f t="shared" si="0"/>
        <v>-5.9511817125145194E-3</v>
      </c>
    </row>
    <row r="67" spans="2:8" x14ac:dyDescent="0.3">
      <c r="B67" s="70">
        <v>45564</v>
      </c>
      <c r="C67">
        <v>64</v>
      </c>
      <c r="D67" s="74">
        <f t="shared" si="1"/>
        <v>-3.0303030303030304E-2</v>
      </c>
      <c r="G67" s="145">
        <v>7496.09</v>
      </c>
      <c r="H67" s="74">
        <f t="shared" si="0"/>
        <v>-2.6092255083851712E-2</v>
      </c>
    </row>
    <row r="68" spans="2:8" x14ac:dyDescent="0.3">
      <c r="B68" s="70">
        <v>45571</v>
      </c>
      <c r="C68">
        <v>65</v>
      </c>
      <c r="D68" s="74">
        <f t="shared" si="1"/>
        <v>1.5625E-2</v>
      </c>
      <c r="G68" s="145">
        <v>7520.6</v>
      </c>
      <c r="H68" s="74">
        <f t="shared" si="0"/>
        <v>3.2697046060012913E-3</v>
      </c>
    </row>
    <row r="69" spans="2:8" x14ac:dyDescent="0.3">
      <c r="B69" s="70">
        <v>45578</v>
      </c>
      <c r="C69">
        <v>64</v>
      </c>
      <c r="D69" s="74">
        <f t="shared" si="1"/>
        <v>-1.5384615384615385E-2</v>
      </c>
      <c r="G69" s="145">
        <v>7760.06</v>
      </c>
      <c r="H69" s="74">
        <f t="shared" si="0"/>
        <v>3.1840544637395954E-2</v>
      </c>
    </row>
    <row r="70" spans="2:8" x14ac:dyDescent="0.3">
      <c r="B70" s="70">
        <v>45585</v>
      </c>
      <c r="C70">
        <v>63</v>
      </c>
      <c r="D70" s="74">
        <f t="shared" si="1"/>
        <v>-1.5625E-2</v>
      </c>
      <c r="G70" s="145">
        <v>7694.66</v>
      </c>
      <c r="H70" s="74">
        <f t="shared" si="0"/>
        <v>-8.4277698883772224E-3</v>
      </c>
    </row>
    <row r="71" spans="2:8" x14ac:dyDescent="0.3">
      <c r="B71" s="70">
        <v>45592</v>
      </c>
      <c r="C71">
        <v>58</v>
      </c>
      <c r="D71" s="74">
        <f t="shared" si="1"/>
        <v>-7.9365079365079361E-2</v>
      </c>
      <c r="G71" s="145">
        <v>7505.26</v>
      </c>
      <c r="H71" s="74">
        <f t="shared" si="0"/>
        <v>-2.4614472894188909E-2</v>
      </c>
    </row>
    <row r="72" spans="2:8" x14ac:dyDescent="0.3">
      <c r="B72" s="70">
        <v>45599</v>
      </c>
      <c r="C72">
        <v>55</v>
      </c>
      <c r="D72" s="74">
        <f t="shared" si="1"/>
        <v>-5.1724137931034482E-2</v>
      </c>
      <c r="G72" s="145">
        <v>7407.08</v>
      </c>
      <c r="H72" s="74">
        <f t="shared" ref="H72" si="2">(G72-G71)/G71</f>
        <v>-1.3081492180151026E-2</v>
      </c>
    </row>
    <row r="73" spans="2:8" x14ac:dyDescent="0.3">
      <c r="B73" s="70"/>
    </row>
    <row r="75" spans="2:8" x14ac:dyDescent="0.3">
      <c r="B75" s="60" t="s">
        <v>41</v>
      </c>
    </row>
    <row r="76" spans="2:8" x14ac:dyDescent="0.3">
      <c r="B76" s="379" t="s">
        <v>362</v>
      </c>
      <c r="C76" s="379"/>
      <c r="D76" s="379"/>
      <c r="E76" s="379"/>
      <c r="F76" s="379"/>
      <c r="G76" s="379"/>
      <c r="H76" s="379"/>
    </row>
    <row r="77" spans="2:8" x14ac:dyDescent="0.3">
      <c r="B77" s="379"/>
      <c r="C77" s="379"/>
      <c r="D77" s="379"/>
      <c r="E77" s="379"/>
      <c r="F77" s="379"/>
      <c r="G77" s="379"/>
      <c r="H77" s="379"/>
    </row>
    <row r="78" spans="2:8" x14ac:dyDescent="0.3">
      <c r="B78" s="379"/>
      <c r="C78" s="379"/>
      <c r="D78" s="379"/>
      <c r="E78" s="379"/>
      <c r="F78" s="379"/>
      <c r="G78" s="379"/>
      <c r="H78" s="379"/>
    </row>
  </sheetData>
  <mergeCells count="7">
    <mergeCell ref="B76:H78"/>
    <mergeCell ref="P10:S10"/>
    <mergeCell ref="B2:D2"/>
    <mergeCell ref="B4:E4"/>
    <mergeCell ref="G4:H4"/>
    <mergeCell ref="J4:K4"/>
    <mergeCell ref="P8:S8"/>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B7189-2CE5-4229-B852-78D8BBBE6E29}">
  <dimension ref="B2:V78"/>
  <sheetViews>
    <sheetView showGridLines="0" workbookViewId="0">
      <selection activeCell="B1" sqref="B1"/>
    </sheetView>
  </sheetViews>
  <sheetFormatPr defaultRowHeight="14.4" x14ac:dyDescent="0.3"/>
  <cols>
    <col min="2" max="2" width="14.33203125" customWidth="1"/>
    <col min="3" max="3" width="12.88671875" customWidth="1"/>
    <col min="4" max="4" width="13.44140625" customWidth="1"/>
    <col min="7" max="7" width="22.21875" customWidth="1"/>
    <col min="8" max="8" width="18.5546875" customWidth="1"/>
    <col min="10" max="10" width="23.44140625" customWidth="1"/>
    <col min="12" max="12" width="18" customWidth="1"/>
    <col min="14" max="14" width="21.6640625" customWidth="1"/>
  </cols>
  <sheetData>
    <row r="2" spans="2:19" x14ac:dyDescent="0.3">
      <c r="B2" s="386" t="str">
        <f>'Beta-Garuda Indonesia'!B2:D2</f>
        <v>Regression Beta-1 year weekly</v>
      </c>
      <c r="C2" s="386"/>
      <c r="D2" s="386"/>
    </row>
    <row r="3" spans="2:19" x14ac:dyDescent="0.3">
      <c r="B3" s="65"/>
      <c r="J3" s="60"/>
    </row>
    <row r="4" spans="2:19" ht="16.2" x14ac:dyDescent="0.3">
      <c r="B4" s="367" t="str">
        <f>'Data-competitors'!B12</f>
        <v>China Eastern Airlines Corp Ltd (SHA: 600115)</v>
      </c>
      <c r="C4" s="367"/>
      <c r="D4" s="367"/>
      <c r="E4" s="367"/>
      <c r="G4" s="367" t="s">
        <v>354</v>
      </c>
      <c r="H4" s="367"/>
      <c r="I4" s="66"/>
      <c r="J4" s="367" t="s">
        <v>48</v>
      </c>
      <c r="K4" s="367"/>
      <c r="L4" s="66"/>
    </row>
    <row r="6" spans="2:19" x14ac:dyDescent="0.3">
      <c r="B6" s="67" t="s">
        <v>49</v>
      </c>
      <c r="C6" s="67" t="s">
        <v>50</v>
      </c>
      <c r="D6" s="67" t="s">
        <v>51</v>
      </c>
      <c r="E6" s="10"/>
      <c r="F6" s="10"/>
      <c r="G6" s="67" t="s">
        <v>50</v>
      </c>
      <c r="H6" s="67" t="s">
        <v>51</v>
      </c>
      <c r="J6" t="s">
        <v>52</v>
      </c>
      <c r="K6" s="68">
        <f>O10</f>
        <v>0.95560463587720113</v>
      </c>
      <c r="N6" t="s">
        <v>53</v>
      </c>
      <c r="O6" s="68">
        <f>SLOPE(D8:D72,H8:H72)</f>
        <v>0.95560463587720101</v>
      </c>
      <c r="P6" s="28" t="s">
        <v>54</v>
      </c>
      <c r="Q6" s="69"/>
      <c r="R6" s="69"/>
      <c r="S6" s="29"/>
    </row>
    <row r="7" spans="2:19" x14ac:dyDescent="0.3">
      <c r="B7" s="70">
        <v>45144</v>
      </c>
      <c r="C7">
        <v>4.75</v>
      </c>
      <c r="D7" s="8"/>
      <c r="G7" s="145">
        <v>3189.25</v>
      </c>
      <c r="H7" s="8"/>
      <c r="J7" t="s">
        <v>55</v>
      </c>
      <c r="K7" s="42">
        <v>0.5</v>
      </c>
      <c r="L7" s="72"/>
      <c r="O7" s="68"/>
      <c r="P7" s="73"/>
      <c r="Q7" s="73"/>
      <c r="R7" s="73"/>
      <c r="S7" s="73"/>
    </row>
    <row r="8" spans="2:19" x14ac:dyDescent="0.3">
      <c r="B8" s="70">
        <v>45151</v>
      </c>
      <c r="C8">
        <v>4.55</v>
      </c>
      <c r="D8" s="74">
        <f>(C8-C7)/C7</f>
        <v>-4.2105263157894778E-2</v>
      </c>
      <c r="G8" s="145">
        <v>3131.95</v>
      </c>
      <c r="H8" s="74">
        <f t="shared" ref="H8:H71" si="0">(G8-G7)/G7</f>
        <v>-1.7966606568942597E-2</v>
      </c>
      <c r="N8" t="s">
        <v>56</v>
      </c>
      <c r="O8" s="68">
        <f>_xlfn.COVARIANCE.S(D8:D72,H8:H72)/_xlfn.VAR.S(H8:H72)</f>
        <v>0.95560463587720101</v>
      </c>
      <c r="P8" s="374" t="s">
        <v>57</v>
      </c>
      <c r="Q8" s="374"/>
      <c r="R8" s="374"/>
      <c r="S8" s="374"/>
    </row>
    <row r="9" spans="2:19" x14ac:dyDescent="0.3">
      <c r="B9" s="70">
        <v>45158</v>
      </c>
      <c r="C9">
        <v>4.32</v>
      </c>
      <c r="D9" s="74">
        <f t="shared" ref="D9:D72" si="1">(C9-C8)/C8</f>
        <v>-5.0549450549450453E-2</v>
      </c>
      <c r="G9" s="145">
        <v>3064.07</v>
      </c>
      <c r="H9" s="74">
        <f t="shared" si="0"/>
        <v>-2.1673398362042708E-2</v>
      </c>
      <c r="J9" t="s">
        <v>58</v>
      </c>
      <c r="K9">
        <v>1</v>
      </c>
      <c r="O9" s="68"/>
      <c r="P9" s="73"/>
      <c r="Q9" s="73"/>
      <c r="R9" s="73"/>
      <c r="S9" s="73"/>
    </row>
    <row r="10" spans="2:19" x14ac:dyDescent="0.3">
      <c r="B10" s="70">
        <v>45165</v>
      </c>
      <c r="C10">
        <v>4.3600000000000003</v>
      </c>
      <c r="D10" s="74">
        <f t="shared" si="1"/>
        <v>9.2592592592592674E-3</v>
      </c>
      <c r="G10" s="145">
        <v>3133.25</v>
      </c>
      <c r="H10" s="74">
        <f t="shared" si="0"/>
        <v>2.2577813170064596E-2</v>
      </c>
      <c r="J10" t="s">
        <v>59</v>
      </c>
      <c r="K10" s="39">
        <f>100%-K7</f>
        <v>0.5</v>
      </c>
      <c r="N10" t="s">
        <v>60</v>
      </c>
      <c r="O10" s="68">
        <f>O35</f>
        <v>0.95560463587720113</v>
      </c>
      <c r="P10" s="374" t="s">
        <v>61</v>
      </c>
      <c r="Q10" s="374"/>
      <c r="R10" s="374"/>
      <c r="S10" s="374"/>
    </row>
    <row r="11" spans="2:19" x14ac:dyDescent="0.3">
      <c r="B11" s="70">
        <v>45172</v>
      </c>
      <c r="C11">
        <v>4.26</v>
      </c>
      <c r="D11" s="74">
        <f t="shared" si="1"/>
        <v>-2.2935779816513881E-2</v>
      </c>
      <c r="G11" s="145">
        <v>3116.72</v>
      </c>
      <c r="H11" s="74">
        <f t="shared" si="0"/>
        <v>-5.2756722253252059E-3</v>
      </c>
    </row>
    <row r="12" spans="2:19" x14ac:dyDescent="0.3">
      <c r="B12" s="70">
        <v>45179</v>
      </c>
      <c r="C12">
        <v>4.53</v>
      </c>
      <c r="D12" s="74">
        <f>(C12-C9)/C9</f>
        <v>4.8611111111111098E-2</v>
      </c>
      <c r="G12" s="145">
        <v>3117.74</v>
      </c>
      <c r="H12" s="74">
        <f t="shared" si="0"/>
        <v>3.2726712697963943E-4</v>
      </c>
      <c r="J12" s="69" t="s">
        <v>62</v>
      </c>
      <c r="K12" s="75">
        <f>(K6*K7)+(K9*K10)</f>
        <v>0.97780231793860062</v>
      </c>
    </row>
    <row r="13" spans="2:19" x14ac:dyDescent="0.3">
      <c r="B13" s="70">
        <v>45186</v>
      </c>
      <c r="C13">
        <v>4.4400000000000004</v>
      </c>
      <c r="D13" s="74">
        <f t="shared" si="1"/>
        <v>-1.9867549668874138E-2</v>
      </c>
      <c r="G13" s="145">
        <v>3132.43</v>
      </c>
      <c r="H13" s="74">
        <f t="shared" si="0"/>
        <v>4.7117463290717171E-3</v>
      </c>
    </row>
    <row r="14" spans="2:19" x14ac:dyDescent="0.3">
      <c r="B14" s="70">
        <v>45193</v>
      </c>
      <c r="C14">
        <v>4.4000000000000004</v>
      </c>
      <c r="D14" s="74">
        <f t="shared" si="1"/>
        <v>-9.0090090090090159E-3</v>
      </c>
      <c r="G14" s="145">
        <v>3110.48</v>
      </c>
      <c r="H14" s="74">
        <f t="shared" si="0"/>
        <v>-7.0073393499614734E-3</v>
      </c>
    </row>
    <row r="15" spans="2:19" x14ac:dyDescent="0.3">
      <c r="B15" s="70">
        <v>45200</v>
      </c>
      <c r="C15">
        <v>4.42</v>
      </c>
      <c r="D15" s="74">
        <f t="shared" si="1"/>
        <v>4.5454545454544481E-3</v>
      </c>
      <c r="G15" s="145">
        <v>3099.29</v>
      </c>
      <c r="H15" s="74">
        <f t="shared" si="0"/>
        <v>-3.5975154960006346E-3</v>
      </c>
      <c r="J15" s="60"/>
    </row>
    <row r="16" spans="2:19" x14ac:dyDescent="0.3">
      <c r="B16" s="70">
        <v>45207</v>
      </c>
      <c r="C16">
        <v>4.28</v>
      </c>
      <c r="D16" s="74">
        <f t="shared" si="1"/>
        <v>-3.1674208144796309E-2</v>
      </c>
      <c r="G16" s="145">
        <v>3088.1</v>
      </c>
      <c r="H16" s="74">
        <f t="shared" si="0"/>
        <v>-3.6105043413168997E-3</v>
      </c>
      <c r="J16" s="76"/>
      <c r="K16" s="76"/>
      <c r="L16" s="76"/>
    </row>
    <row r="17" spans="2:19" x14ac:dyDescent="0.3">
      <c r="B17" s="70">
        <v>45214</v>
      </c>
      <c r="C17">
        <v>4.03</v>
      </c>
      <c r="D17" s="74">
        <f t="shared" si="1"/>
        <v>-5.8411214953271028E-2</v>
      </c>
      <c r="G17" s="145">
        <v>2983.06</v>
      </c>
      <c r="H17" s="74">
        <f t="shared" si="0"/>
        <v>-3.4014442537482585E-2</v>
      </c>
      <c r="J17" s="76"/>
      <c r="K17" s="76"/>
      <c r="L17" s="76"/>
    </row>
    <row r="18" spans="2:19" x14ac:dyDescent="0.3">
      <c r="B18" s="70">
        <v>45221</v>
      </c>
      <c r="C18">
        <v>4.24</v>
      </c>
      <c r="D18" s="74">
        <f>(C18-C17)/C17</f>
        <v>5.2109181141439191E-2</v>
      </c>
      <c r="G18" s="145">
        <v>3017.78</v>
      </c>
      <c r="H18" s="74">
        <f t="shared" si="0"/>
        <v>1.1639055198353454E-2</v>
      </c>
      <c r="J18" s="76"/>
      <c r="K18" s="76"/>
      <c r="L18" s="76"/>
      <c r="N18" t="s">
        <v>64</v>
      </c>
    </row>
    <row r="19" spans="2:19" ht="15" thickBot="1" x14ac:dyDescent="0.35">
      <c r="B19" s="70">
        <v>45228</v>
      </c>
      <c r="C19">
        <v>4.26</v>
      </c>
      <c r="D19" s="74">
        <f t="shared" si="1"/>
        <v>4.7169811320753709E-3</v>
      </c>
      <c r="G19" s="145">
        <v>3030.8</v>
      </c>
      <c r="H19" s="74">
        <f t="shared" si="0"/>
        <v>4.3144298126437256E-3</v>
      </c>
      <c r="J19" s="76"/>
      <c r="K19" s="76"/>
      <c r="L19" s="76"/>
    </row>
    <row r="20" spans="2:19" x14ac:dyDescent="0.3">
      <c r="B20" s="70">
        <v>45235</v>
      </c>
      <c r="C20">
        <v>4.17</v>
      </c>
      <c r="D20" s="74">
        <f t="shared" si="1"/>
        <v>-2.112676056338025E-2</v>
      </c>
      <c r="G20" s="145">
        <v>3038.97</v>
      </c>
      <c r="H20" s="74">
        <f t="shared" si="0"/>
        <v>2.6956579121022888E-3</v>
      </c>
      <c r="J20" s="76"/>
      <c r="K20" s="76"/>
      <c r="L20" s="76"/>
      <c r="N20" s="327" t="s">
        <v>65</v>
      </c>
      <c r="O20" s="327"/>
    </row>
    <row r="21" spans="2:19" x14ac:dyDescent="0.3">
      <c r="B21" s="70">
        <v>45242</v>
      </c>
      <c r="C21">
        <v>4.21</v>
      </c>
      <c r="D21" s="74">
        <f t="shared" si="1"/>
        <v>9.592326139088737E-3</v>
      </c>
      <c r="G21" s="145">
        <v>3054.37</v>
      </c>
      <c r="H21" s="74">
        <f t="shared" si="0"/>
        <v>5.0675064248742472E-3</v>
      </c>
      <c r="J21" s="76"/>
      <c r="K21" s="76"/>
      <c r="L21" s="76"/>
      <c r="N21" t="s">
        <v>66</v>
      </c>
      <c r="O21">
        <v>0.6839590312051026</v>
      </c>
    </row>
    <row r="22" spans="2:19" x14ac:dyDescent="0.3">
      <c r="B22" s="70">
        <v>45249</v>
      </c>
      <c r="C22">
        <v>4.28</v>
      </c>
      <c r="D22" s="74">
        <f t="shared" si="1"/>
        <v>1.6627078384798169E-2</v>
      </c>
      <c r="G22" s="145">
        <v>3040.97</v>
      </c>
      <c r="H22" s="74">
        <f t="shared" si="0"/>
        <v>-4.3871567622783391E-3</v>
      </c>
      <c r="J22" s="76"/>
      <c r="K22" s="76"/>
      <c r="L22" s="76"/>
      <c r="N22" t="s">
        <v>67</v>
      </c>
      <c r="O22">
        <v>0.46779995636702254</v>
      </c>
    </row>
    <row r="23" spans="2:19" x14ac:dyDescent="0.3">
      <c r="B23" s="70">
        <v>45256</v>
      </c>
      <c r="C23">
        <v>4.08</v>
      </c>
      <c r="D23" s="74">
        <f t="shared" si="1"/>
        <v>-4.6728971962616862E-2</v>
      </c>
      <c r="G23" s="145">
        <v>3031.64</v>
      </c>
      <c r="H23" s="74">
        <f t="shared" si="0"/>
        <v>-3.068099981255957E-3</v>
      </c>
      <c r="J23" s="76"/>
      <c r="K23" s="76"/>
      <c r="L23" s="76"/>
      <c r="N23" t="s">
        <v>68</v>
      </c>
      <c r="O23">
        <v>0.45935233662681657</v>
      </c>
    </row>
    <row r="24" spans="2:19" x14ac:dyDescent="0.3">
      <c r="B24" s="70">
        <v>45263</v>
      </c>
      <c r="C24">
        <v>4.0999999999999996</v>
      </c>
      <c r="D24" s="74">
        <f t="shared" si="1"/>
        <v>4.9019607843136213E-3</v>
      </c>
      <c r="G24" s="145">
        <v>2969.56</v>
      </c>
      <c r="H24" s="74">
        <f t="shared" si="0"/>
        <v>-2.04773653863915E-2</v>
      </c>
      <c r="J24" s="76"/>
      <c r="K24" s="76"/>
      <c r="L24" s="76"/>
      <c r="N24" t="s">
        <v>69</v>
      </c>
      <c r="O24">
        <v>2.6670940511366748E-2</v>
      </c>
    </row>
    <row r="25" spans="2:19" ht="15" thickBot="1" x14ac:dyDescent="0.35">
      <c r="B25" s="70">
        <v>45270</v>
      </c>
      <c r="C25">
        <v>3.95</v>
      </c>
      <c r="D25" s="74">
        <f t="shared" si="1"/>
        <v>-3.6585365853658409E-2</v>
      </c>
      <c r="G25" s="145">
        <v>2942.56</v>
      </c>
      <c r="H25" s="74">
        <f t="shared" si="0"/>
        <v>-9.0922560918115809E-3</v>
      </c>
      <c r="J25" s="76"/>
      <c r="K25" s="76"/>
      <c r="L25" s="76"/>
      <c r="N25" s="78" t="s">
        <v>70</v>
      </c>
      <c r="O25" s="78">
        <v>65</v>
      </c>
    </row>
    <row r="26" spans="2:19" x14ac:dyDescent="0.3">
      <c r="B26" s="70">
        <v>45277</v>
      </c>
      <c r="C26">
        <v>3.84</v>
      </c>
      <c r="D26" s="74">
        <f t="shared" si="1"/>
        <v>-2.7848101265822864E-2</v>
      </c>
      <c r="G26" s="145">
        <v>2914.78</v>
      </c>
      <c r="H26" s="74">
        <f t="shared" si="0"/>
        <v>-9.4407590669348274E-3</v>
      </c>
    </row>
    <row r="27" spans="2:19" ht="15" thickBot="1" x14ac:dyDescent="0.35">
      <c r="B27" s="70">
        <v>45284</v>
      </c>
      <c r="C27">
        <v>3.88</v>
      </c>
      <c r="D27" s="74">
        <f t="shared" si="1"/>
        <v>1.0416666666666676E-2</v>
      </c>
      <c r="G27" s="145">
        <v>2974.93</v>
      </c>
      <c r="H27" s="74">
        <f t="shared" si="0"/>
        <v>2.0636205819993151E-2</v>
      </c>
      <c r="N27" t="s">
        <v>71</v>
      </c>
    </row>
    <row r="28" spans="2:19" x14ac:dyDescent="0.3">
      <c r="B28" s="70">
        <v>45291</v>
      </c>
      <c r="C28">
        <v>3.74</v>
      </c>
      <c r="D28" s="74">
        <f t="shared" si="1"/>
        <v>-3.6082474226804044E-2</v>
      </c>
      <c r="G28" s="145">
        <v>2929.18</v>
      </c>
      <c r="H28" s="74">
        <f t="shared" si="0"/>
        <v>-1.5378513107871446E-2</v>
      </c>
      <c r="N28" s="178"/>
      <c r="O28" s="178" t="s">
        <v>72</v>
      </c>
      <c r="P28" s="178" t="s">
        <v>73</v>
      </c>
      <c r="Q28" s="178" t="s">
        <v>74</v>
      </c>
      <c r="R28" s="178" t="s">
        <v>75</v>
      </c>
      <c r="S28" s="178" t="s">
        <v>76</v>
      </c>
    </row>
    <row r="29" spans="2:19" x14ac:dyDescent="0.3">
      <c r="B29" s="70">
        <v>45298</v>
      </c>
      <c r="C29">
        <v>3.8</v>
      </c>
      <c r="D29" s="74">
        <f t="shared" si="1"/>
        <v>1.6042780748662996E-2</v>
      </c>
      <c r="G29" s="145">
        <v>2881.98</v>
      </c>
      <c r="H29" s="74">
        <f t="shared" si="0"/>
        <v>-1.6113724660143734E-2</v>
      </c>
      <c r="N29" t="s">
        <v>77</v>
      </c>
      <c r="O29">
        <v>1</v>
      </c>
      <c r="P29">
        <v>3.9391496669401026E-2</v>
      </c>
      <c r="Q29">
        <v>3.9391496669401026E-2</v>
      </c>
      <c r="R29">
        <v>55.37654046388402</v>
      </c>
      <c r="S29">
        <v>3.3851039848249247E-10</v>
      </c>
    </row>
    <row r="30" spans="2:19" x14ac:dyDescent="0.3">
      <c r="B30" s="70">
        <v>45305</v>
      </c>
      <c r="C30">
        <v>3.79</v>
      </c>
      <c r="D30" s="74">
        <f t="shared" si="1"/>
        <v>-2.631578947368365E-3</v>
      </c>
      <c r="G30" s="145">
        <v>2832.28</v>
      </c>
      <c r="H30" s="74">
        <f t="shared" si="0"/>
        <v>-1.724508844613766E-2</v>
      </c>
      <c r="N30" t="s">
        <v>78</v>
      </c>
      <c r="O30">
        <v>63</v>
      </c>
      <c r="P30">
        <v>4.4814361268934434E-2</v>
      </c>
      <c r="Q30">
        <v>7.1133906776086405E-4</v>
      </c>
    </row>
    <row r="31" spans="2:19" ht="15" thickBot="1" x14ac:dyDescent="0.35">
      <c r="B31" s="70">
        <v>45312</v>
      </c>
      <c r="C31">
        <v>3.95</v>
      </c>
      <c r="D31" s="74">
        <f t="shared" si="1"/>
        <v>4.2216358839050172E-2</v>
      </c>
      <c r="G31" s="145">
        <v>2910.22</v>
      </c>
      <c r="H31" s="74">
        <f t="shared" si="0"/>
        <v>2.7518465688420493E-2</v>
      </c>
      <c r="N31" s="78" t="s">
        <v>79</v>
      </c>
      <c r="O31" s="78">
        <v>64</v>
      </c>
      <c r="P31" s="78">
        <v>8.420585793833546E-2</v>
      </c>
      <c r="Q31" s="78"/>
      <c r="R31" s="78"/>
      <c r="S31" s="78"/>
    </row>
    <row r="32" spans="2:19" ht="15" thickBot="1" x14ac:dyDescent="0.35">
      <c r="B32" s="70">
        <v>45319</v>
      </c>
      <c r="C32">
        <v>3.64</v>
      </c>
      <c r="D32" s="74">
        <f t="shared" si="1"/>
        <v>-7.8481012658227864E-2</v>
      </c>
      <c r="G32" s="145">
        <v>2730.15</v>
      </c>
      <c r="H32" s="74">
        <f t="shared" si="0"/>
        <v>-6.1875047247287047E-2</v>
      </c>
    </row>
    <row r="33" spans="2:22" x14ac:dyDescent="0.3">
      <c r="B33" s="70">
        <v>45326</v>
      </c>
      <c r="C33">
        <v>3.78</v>
      </c>
      <c r="D33" s="74">
        <f t="shared" si="1"/>
        <v>3.8461538461538373E-2</v>
      </c>
      <c r="G33" s="145">
        <v>2865.9</v>
      </c>
      <c r="H33" s="74">
        <f t="shared" si="0"/>
        <v>4.9722542717433107E-2</v>
      </c>
      <c r="N33" s="178"/>
      <c r="O33" s="178" t="s">
        <v>80</v>
      </c>
      <c r="P33" s="178" t="s">
        <v>69</v>
      </c>
      <c r="Q33" s="178" t="s">
        <v>81</v>
      </c>
      <c r="R33" s="178" t="s">
        <v>82</v>
      </c>
      <c r="S33" s="178" t="s">
        <v>83</v>
      </c>
      <c r="T33" s="178" t="s">
        <v>84</v>
      </c>
      <c r="U33" s="178" t="s">
        <v>85</v>
      </c>
      <c r="V33" s="178" t="s">
        <v>86</v>
      </c>
    </row>
    <row r="34" spans="2:22" x14ac:dyDescent="0.3">
      <c r="B34" s="70">
        <v>45333</v>
      </c>
      <c r="C34">
        <v>3.76</v>
      </c>
      <c r="D34" s="74">
        <f>(C34-C33)/C33</f>
        <v>-5.2910052910052959E-3</v>
      </c>
      <c r="G34" s="145">
        <v>2935.3900000000003</v>
      </c>
      <c r="H34" s="74">
        <f t="shared" si="0"/>
        <v>2.4247182385987033E-2</v>
      </c>
      <c r="N34" t="s">
        <v>87</v>
      </c>
      <c r="O34">
        <v>-3.7016479962010281E-3</v>
      </c>
      <c r="P34">
        <v>3.3119324234140851E-3</v>
      </c>
      <c r="Q34">
        <v>-1.1176701462964052</v>
      </c>
      <c r="R34">
        <v>0.26795199669943359</v>
      </c>
      <c r="S34">
        <v>-1.0320016831998364E-2</v>
      </c>
      <c r="T34">
        <v>2.9167208395963081E-3</v>
      </c>
      <c r="U34">
        <v>-1.0320016831998364E-2</v>
      </c>
      <c r="V34">
        <v>2.9167208395963081E-3</v>
      </c>
    </row>
    <row r="35" spans="2:22" ht="15" thickBot="1" x14ac:dyDescent="0.35">
      <c r="B35" s="70">
        <v>45340</v>
      </c>
      <c r="C35">
        <v>3.84</v>
      </c>
      <c r="D35" s="74">
        <f>(C35-C33)/C33</f>
        <v>1.5873015873015889E-2</v>
      </c>
      <c r="G35" s="145">
        <v>3004.88</v>
      </c>
      <c r="H35" s="74">
        <f t="shared" si="0"/>
        <v>2.3673174603715274E-2</v>
      </c>
      <c r="N35" s="78" t="s">
        <v>88</v>
      </c>
      <c r="O35" s="78">
        <v>0.95560463587720113</v>
      </c>
      <c r="P35" s="78">
        <v>0.1284148762698262</v>
      </c>
      <c r="Q35" s="78">
        <v>7.4415415381414087</v>
      </c>
      <c r="R35" s="78">
        <v>3.3851039848249247E-10</v>
      </c>
      <c r="S35" s="78">
        <v>0.69898798236442272</v>
      </c>
      <c r="T35" s="78">
        <v>1.2122212893899795</v>
      </c>
      <c r="U35" s="78">
        <v>0.69898798236442272</v>
      </c>
      <c r="V35" s="78">
        <v>1.2122212893899795</v>
      </c>
    </row>
    <row r="36" spans="2:22" x14ac:dyDescent="0.3">
      <c r="B36" s="70">
        <v>45347</v>
      </c>
      <c r="C36">
        <v>3.75</v>
      </c>
      <c r="D36" s="74">
        <f t="shared" si="1"/>
        <v>-2.3437499999999965E-2</v>
      </c>
      <c r="G36" s="145">
        <v>3027.02</v>
      </c>
      <c r="H36" s="74">
        <f t="shared" si="0"/>
        <v>7.3680146960943107E-3</v>
      </c>
    </row>
    <row r="37" spans="2:22" x14ac:dyDescent="0.3">
      <c r="B37" s="70">
        <v>45354</v>
      </c>
      <c r="C37">
        <v>3.62</v>
      </c>
      <c r="D37" s="74">
        <f t="shared" si="1"/>
        <v>-3.4666666666666637E-2</v>
      </c>
      <c r="G37" s="145">
        <v>3046.02</v>
      </c>
      <c r="H37" s="74">
        <f t="shared" si="0"/>
        <v>6.276800285429234E-3</v>
      </c>
    </row>
    <row r="38" spans="2:22" x14ac:dyDescent="0.3">
      <c r="B38" s="70">
        <v>45361</v>
      </c>
      <c r="C38">
        <v>3.72</v>
      </c>
      <c r="D38" s="74">
        <f t="shared" si="1"/>
        <v>2.7624309392265217E-2</v>
      </c>
      <c r="G38" s="145">
        <v>3054.64</v>
      </c>
      <c r="H38" s="74">
        <f t="shared" si="0"/>
        <v>2.8299223248697942E-3</v>
      </c>
    </row>
    <row r="39" spans="2:22" x14ac:dyDescent="0.3">
      <c r="B39" s="70">
        <v>45368</v>
      </c>
      <c r="C39">
        <v>3.71</v>
      </c>
      <c r="D39" s="74">
        <f t="shared" si="1"/>
        <v>-2.6881720430108145E-3</v>
      </c>
      <c r="G39" s="145">
        <v>3048.03</v>
      </c>
      <c r="H39" s="74">
        <f t="shared" si="0"/>
        <v>-2.1639211167272321E-3</v>
      </c>
    </row>
    <row r="40" spans="2:22" x14ac:dyDescent="0.3">
      <c r="B40" s="70">
        <v>45375</v>
      </c>
      <c r="C40">
        <v>3.64</v>
      </c>
      <c r="D40" s="74">
        <f t="shared" si="1"/>
        <v>-1.8867924528301844E-2</v>
      </c>
      <c r="G40" s="145">
        <v>3041.17</v>
      </c>
      <c r="H40" s="74">
        <f t="shared" si="0"/>
        <v>-2.2506340160694371E-3</v>
      </c>
      <c r="N40" s="79"/>
      <c r="O40" s="79"/>
      <c r="P40" s="79"/>
      <c r="Q40" s="79"/>
      <c r="R40" s="79"/>
      <c r="S40" s="79"/>
      <c r="T40" s="79"/>
      <c r="U40" s="79"/>
      <c r="V40" s="79"/>
    </row>
    <row r="41" spans="2:22" x14ac:dyDescent="0.3">
      <c r="B41" s="70">
        <v>45382</v>
      </c>
      <c r="C41">
        <v>3.6</v>
      </c>
      <c r="D41" s="74">
        <f t="shared" si="1"/>
        <v>-1.0989010989010999E-2</v>
      </c>
      <c r="G41" s="145">
        <v>3069.3</v>
      </c>
      <c r="H41" s="74">
        <f t="shared" si="0"/>
        <v>9.2497295448791452E-3</v>
      </c>
    </row>
    <row r="42" spans="2:22" x14ac:dyDescent="0.3">
      <c r="B42" s="70">
        <v>45389</v>
      </c>
      <c r="C42">
        <v>3.45</v>
      </c>
      <c r="D42" s="74">
        <f t="shared" si="1"/>
        <v>-4.1666666666666644E-2</v>
      </c>
      <c r="G42" s="145">
        <v>3019.47</v>
      </c>
      <c r="H42" s="74">
        <f t="shared" si="0"/>
        <v>-1.6234972143485609E-2</v>
      </c>
    </row>
    <row r="43" spans="2:22" x14ac:dyDescent="0.3">
      <c r="B43" s="70">
        <v>45396</v>
      </c>
      <c r="C43">
        <v>3.49</v>
      </c>
      <c r="D43" s="74">
        <f t="shared" si="1"/>
        <v>1.1594202898550735E-2</v>
      </c>
      <c r="G43" s="145">
        <v>3065.26</v>
      </c>
      <c r="H43" s="74">
        <f t="shared" si="0"/>
        <v>1.5164913047654199E-2</v>
      </c>
    </row>
    <row r="44" spans="2:22" x14ac:dyDescent="0.3">
      <c r="B44" s="70">
        <v>45403</v>
      </c>
      <c r="C44">
        <v>3.78</v>
      </c>
      <c r="D44" s="74">
        <f t="shared" si="1"/>
        <v>8.3094555873925377E-2</v>
      </c>
      <c r="G44" s="145">
        <v>3088.64</v>
      </c>
      <c r="H44" s="74">
        <f t="shared" si="0"/>
        <v>7.6274117040641427E-3</v>
      </c>
    </row>
    <row r="45" spans="2:22" x14ac:dyDescent="0.3">
      <c r="B45" s="70">
        <v>45410</v>
      </c>
      <c r="C45">
        <v>3.84</v>
      </c>
      <c r="D45" s="74">
        <f t="shared" si="1"/>
        <v>1.5873015873015889E-2</v>
      </c>
      <c r="G45" s="145">
        <v>3104.82</v>
      </c>
      <c r="H45" s="74">
        <f t="shared" si="0"/>
        <v>5.2385515955243383E-3</v>
      </c>
    </row>
    <row r="46" spans="2:22" x14ac:dyDescent="0.3">
      <c r="B46" s="70">
        <v>45417</v>
      </c>
      <c r="C46">
        <v>3.82</v>
      </c>
      <c r="D46" s="74">
        <f t="shared" si="1"/>
        <v>-5.2083333333333382E-3</v>
      </c>
      <c r="G46" s="145">
        <v>3154.55</v>
      </c>
      <c r="H46" s="74">
        <f t="shared" si="0"/>
        <v>1.6017031583151362E-2</v>
      </c>
    </row>
    <row r="47" spans="2:22" x14ac:dyDescent="0.3">
      <c r="B47" s="70">
        <v>45424</v>
      </c>
      <c r="C47">
        <v>3.94</v>
      </c>
      <c r="D47" s="74">
        <f t="shared" si="1"/>
        <v>3.1413612565445052E-2</v>
      </c>
      <c r="G47" s="145">
        <v>3154.03</v>
      </c>
      <c r="H47" s="74">
        <f t="shared" si="0"/>
        <v>-1.6484126103564114E-4</v>
      </c>
    </row>
    <row r="48" spans="2:22" x14ac:dyDescent="0.3">
      <c r="B48" s="70">
        <v>45431</v>
      </c>
      <c r="C48">
        <v>3.95</v>
      </c>
      <c r="D48" s="74">
        <f>(C48-C47)/C47</f>
        <v>2.5380710659899065E-3</v>
      </c>
      <c r="G48" s="145">
        <v>3088.87</v>
      </c>
      <c r="H48" s="74">
        <f t="shared" si="0"/>
        <v>-2.0659283519814428E-2</v>
      </c>
    </row>
    <row r="49" spans="2:8" x14ac:dyDescent="0.3">
      <c r="B49" s="70">
        <v>45438</v>
      </c>
      <c r="C49">
        <v>3.95</v>
      </c>
      <c r="D49" s="74">
        <f t="shared" si="1"/>
        <v>0</v>
      </c>
      <c r="G49" s="145">
        <v>3086.81</v>
      </c>
      <c r="H49" s="74">
        <f t="shared" si="0"/>
        <v>-6.669105530501269E-4</v>
      </c>
    </row>
    <row r="50" spans="2:8" x14ac:dyDescent="0.3">
      <c r="B50" s="70">
        <v>45445</v>
      </c>
      <c r="C50">
        <v>3.96</v>
      </c>
      <c r="D50" s="74">
        <f t="shared" si="1"/>
        <v>2.531645569620199E-3</v>
      </c>
      <c r="G50" s="145">
        <v>3051.28</v>
      </c>
      <c r="H50" s="74">
        <f t="shared" si="0"/>
        <v>-1.1510264642138565E-2</v>
      </c>
    </row>
    <row r="51" spans="2:8" x14ac:dyDescent="0.3">
      <c r="B51" s="70">
        <v>45452</v>
      </c>
      <c r="C51">
        <v>3.95</v>
      </c>
      <c r="D51" s="74">
        <f t="shared" si="1"/>
        <v>-2.5252525252524713E-3</v>
      </c>
      <c r="G51" s="145">
        <v>3032.63</v>
      </c>
      <c r="H51" s="74">
        <f t="shared" si="0"/>
        <v>-6.1121889829842194E-3</v>
      </c>
    </row>
    <row r="52" spans="2:8" x14ac:dyDescent="0.3">
      <c r="B52" s="70">
        <v>45459</v>
      </c>
      <c r="C52">
        <v>3.94</v>
      </c>
      <c r="D52" s="74">
        <f t="shared" si="1"/>
        <v>-2.5316455696203113E-3</v>
      </c>
      <c r="G52" s="145">
        <v>2998.14</v>
      </c>
      <c r="H52" s="74">
        <f t="shared" si="0"/>
        <v>-1.1372966698872014E-2</v>
      </c>
    </row>
    <row r="53" spans="2:8" x14ac:dyDescent="0.3">
      <c r="B53" s="70">
        <v>45466</v>
      </c>
      <c r="C53">
        <v>4.01</v>
      </c>
      <c r="D53" s="74">
        <f t="shared" si="1"/>
        <v>1.7766497461928894E-2</v>
      </c>
      <c r="G53" s="145">
        <v>2967.4</v>
      </c>
      <c r="H53" s="74">
        <f t="shared" si="0"/>
        <v>-1.0253023541262177E-2</v>
      </c>
    </row>
    <row r="54" spans="2:8" x14ac:dyDescent="0.3">
      <c r="B54" s="70">
        <v>45473</v>
      </c>
      <c r="C54">
        <v>3.82</v>
      </c>
      <c r="D54" s="74">
        <f t="shared" si="1"/>
        <v>-4.7381546134663333E-2</v>
      </c>
      <c r="G54" s="145">
        <v>2949.93</v>
      </c>
      <c r="H54" s="74">
        <f t="shared" si="0"/>
        <v>-5.8873087551392644E-3</v>
      </c>
    </row>
    <row r="55" spans="2:8" x14ac:dyDescent="0.3">
      <c r="B55" s="70">
        <v>45480</v>
      </c>
      <c r="C55">
        <v>3.9</v>
      </c>
      <c r="D55" s="74">
        <f t="shared" si="1"/>
        <v>2.0942408376963369E-2</v>
      </c>
      <c r="G55" s="145">
        <v>2971.29</v>
      </c>
      <c r="H55" s="74">
        <f t="shared" si="0"/>
        <v>7.2408497828762471E-3</v>
      </c>
    </row>
    <row r="56" spans="2:8" x14ac:dyDescent="0.3">
      <c r="B56" s="70">
        <v>45487</v>
      </c>
      <c r="C56">
        <v>4.03</v>
      </c>
      <c r="D56" s="74">
        <f t="shared" si="1"/>
        <v>3.3333333333333423E-2</v>
      </c>
      <c r="G56" s="145">
        <v>2982.31</v>
      </c>
      <c r="H56" s="74">
        <f t="shared" si="0"/>
        <v>3.7088268058654596E-3</v>
      </c>
    </row>
    <row r="57" spans="2:8" x14ac:dyDescent="0.3">
      <c r="B57" s="70">
        <v>45494</v>
      </c>
      <c r="C57">
        <v>3.95</v>
      </c>
      <c r="D57" s="74">
        <f t="shared" si="1"/>
        <v>-1.9851116625310191E-2</v>
      </c>
      <c r="G57" s="145">
        <v>2890.9</v>
      </c>
      <c r="H57" s="74">
        <f t="shared" si="0"/>
        <v>-3.0650737180239432E-2</v>
      </c>
    </row>
    <row r="58" spans="2:8" x14ac:dyDescent="0.3">
      <c r="B58" s="70">
        <v>45501</v>
      </c>
      <c r="C58">
        <v>4.0599999999999996</v>
      </c>
      <c r="D58" s="74">
        <f t="shared" si="1"/>
        <v>2.7848101265822638E-2</v>
      </c>
      <c r="G58" s="145">
        <v>2905.34</v>
      </c>
      <c r="H58" s="74">
        <f t="shared" si="0"/>
        <v>4.9949842609568144E-3</v>
      </c>
    </row>
    <row r="59" spans="2:8" x14ac:dyDescent="0.3">
      <c r="B59" s="70">
        <v>45508</v>
      </c>
      <c r="C59">
        <v>3.89</v>
      </c>
      <c r="D59" s="74">
        <f t="shared" si="1"/>
        <v>-4.1871921182265889E-2</v>
      </c>
      <c r="G59" s="145">
        <v>2862.19</v>
      </c>
      <c r="H59" s="74">
        <f t="shared" si="0"/>
        <v>-1.4851962248824608E-2</v>
      </c>
    </row>
    <row r="60" spans="2:8" x14ac:dyDescent="0.3">
      <c r="B60" s="70">
        <v>45515</v>
      </c>
      <c r="C60">
        <v>3.77</v>
      </c>
      <c r="D60" s="74">
        <f t="shared" si="1"/>
        <v>-3.0848329048843215E-2</v>
      </c>
      <c r="G60" s="145">
        <v>2879.43</v>
      </c>
      <c r="H60" s="74">
        <f t="shared" si="0"/>
        <v>6.0233597350279966E-3</v>
      </c>
    </row>
    <row r="61" spans="2:8" x14ac:dyDescent="0.3">
      <c r="B61" s="70">
        <v>45522</v>
      </c>
      <c r="C61">
        <v>3.73</v>
      </c>
      <c r="D61" s="74">
        <f t="shared" si="1"/>
        <v>-1.0610079575596827E-2</v>
      </c>
      <c r="G61" s="145">
        <v>2854.37</v>
      </c>
      <c r="H61" s="74">
        <f t="shared" si="0"/>
        <v>-8.7031113796827656E-3</v>
      </c>
    </row>
    <row r="62" spans="2:8" x14ac:dyDescent="0.3">
      <c r="B62" s="70">
        <v>45529</v>
      </c>
      <c r="C62">
        <v>3.79</v>
      </c>
      <c r="D62" s="74">
        <f t="shared" si="1"/>
        <v>1.6085790884718513E-2</v>
      </c>
      <c r="G62" s="145">
        <v>2842.21</v>
      </c>
      <c r="H62" s="74">
        <f t="shared" si="0"/>
        <v>-4.2601344604938588E-3</v>
      </c>
    </row>
    <row r="63" spans="2:8" x14ac:dyDescent="0.3">
      <c r="B63" s="70">
        <v>45536</v>
      </c>
      <c r="C63">
        <v>3.73</v>
      </c>
      <c r="D63" s="74">
        <f t="shared" si="1"/>
        <v>-1.5831134564643815E-2</v>
      </c>
      <c r="G63" s="145">
        <v>2765.81</v>
      </c>
      <c r="H63" s="74">
        <f t="shared" si="0"/>
        <v>-2.688049088561369E-2</v>
      </c>
    </row>
    <row r="64" spans="2:8" x14ac:dyDescent="0.3">
      <c r="B64" s="70">
        <v>45543</v>
      </c>
      <c r="C64">
        <v>3.6</v>
      </c>
      <c r="D64" s="74">
        <f t="shared" si="1"/>
        <v>-3.4852546916890055E-2</v>
      </c>
      <c r="G64" s="145">
        <v>2704.09</v>
      </c>
      <c r="H64" s="74">
        <f t="shared" si="0"/>
        <v>-2.2315343425614847E-2</v>
      </c>
    </row>
    <row r="65" spans="2:8" x14ac:dyDescent="0.3">
      <c r="B65" s="70">
        <v>45550</v>
      </c>
      <c r="C65">
        <v>3.54</v>
      </c>
      <c r="D65" s="74">
        <f t="shared" si="1"/>
        <v>-1.666666666666668E-2</v>
      </c>
      <c r="G65" s="145">
        <v>2736.81</v>
      </c>
      <c r="H65" s="74">
        <f t="shared" si="0"/>
        <v>1.2100188973000085E-2</v>
      </c>
    </row>
    <row r="66" spans="2:8" x14ac:dyDescent="0.3">
      <c r="B66" s="70">
        <v>45557</v>
      </c>
      <c r="C66">
        <v>3.94</v>
      </c>
      <c r="D66" s="74">
        <f t="shared" si="1"/>
        <v>0.11299435028248585</v>
      </c>
      <c r="G66" s="145">
        <v>3087.53</v>
      </c>
      <c r="H66" s="74">
        <f t="shared" si="0"/>
        <v>0.12814919559633306</v>
      </c>
    </row>
    <row r="67" spans="2:8" x14ac:dyDescent="0.3">
      <c r="B67" s="70">
        <v>45564</v>
      </c>
      <c r="C67">
        <v>4.1399999999999997</v>
      </c>
      <c r="D67" s="74">
        <f t="shared" si="1"/>
        <v>5.0761421319796884E-2</v>
      </c>
      <c r="G67" s="145">
        <v>3336.5</v>
      </c>
      <c r="H67" s="74">
        <f t="shared" si="0"/>
        <v>8.0637273160098777E-2</v>
      </c>
    </row>
    <row r="68" spans="2:8" x14ac:dyDescent="0.3">
      <c r="B68" s="70">
        <v>45571</v>
      </c>
      <c r="C68">
        <v>3.69</v>
      </c>
      <c r="D68" s="74">
        <f t="shared" si="1"/>
        <v>-0.10869565217391298</v>
      </c>
      <c r="G68" s="145">
        <v>3217.74</v>
      </c>
      <c r="H68" s="74">
        <f t="shared" si="0"/>
        <v>-3.55941855237525E-2</v>
      </c>
    </row>
    <row r="69" spans="2:8" x14ac:dyDescent="0.3">
      <c r="B69" s="70">
        <v>45578</v>
      </c>
      <c r="C69">
        <v>3.62</v>
      </c>
      <c r="D69" s="74">
        <f t="shared" si="1"/>
        <v>-1.8970189701896976E-2</v>
      </c>
      <c r="G69" s="145">
        <v>3261.56</v>
      </c>
      <c r="H69" s="74">
        <f t="shared" si="0"/>
        <v>1.3618253805466E-2</v>
      </c>
    </row>
    <row r="70" spans="2:8" x14ac:dyDescent="0.3">
      <c r="B70" s="70">
        <v>45585</v>
      </c>
      <c r="C70">
        <v>3.73</v>
      </c>
      <c r="D70" s="74">
        <f t="shared" si="1"/>
        <v>3.0386740331491677E-2</v>
      </c>
      <c r="G70" s="145">
        <v>3299.7</v>
      </c>
      <c r="H70" s="74">
        <f t="shared" si="0"/>
        <v>1.1693790701382122E-2</v>
      </c>
    </row>
    <row r="71" spans="2:8" x14ac:dyDescent="0.3">
      <c r="B71" s="70">
        <v>45592</v>
      </c>
      <c r="C71">
        <v>3.84</v>
      </c>
      <c r="D71" s="74">
        <f t="shared" si="1"/>
        <v>2.9490616621983882E-2</v>
      </c>
      <c r="G71" s="145">
        <v>3272.01</v>
      </c>
      <c r="H71" s="74">
        <f t="shared" si="0"/>
        <v>-8.3916719701789856E-3</v>
      </c>
    </row>
    <row r="72" spans="2:8" x14ac:dyDescent="0.3">
      <c r="B72" s="70">
        <v>45599</v>
      </c>
      <c r="C72">
        <v>3.94</v>
      </c>
      <c r="D72" s="74">
        <f t="shared" si="1"/>
        <v>2.6041666666666692E-2</v>
      </c>
      <c r="G72" s="145">
        <v>3384.76</v>
      </c>
      <c r="H72" s="74">
        <f t="shared" ref="H72" si="2">(G72-G71)/G71</f>
        <v>3.4458941140155436E-2</v>
      </c>
    </row>
    <row r="75" spans="2:8" x14ac:dyDescent="0.3">
      <c r="B75" s="60" t="s">
        <v>41</v>
      </c>
    </row>
    <row r="76" spans="2:8" x14ac:dyDescent="0.3">
      <c r="B76" s="379" t="s">
        <v>355</v>
      </c>
      <c r="C76" s="379"/>
      <c r="D76" s="379"/>
      <c r="E76" s="379"/>
      <c r="F76" s="379"/>
      <c r="G76" s="379"/>
      <c r="H76" s="379"/>
    </row>
    <row r="77" spans="2:8" x14ac:dyDescent="0.3">
      <c r="B77" s="379"/>
      <c r="C77" s="379"/>
      <c r="D77" s="379"/>
      <c r="E77" s="379"/>
      <c r="F77" s="379"/>
      <c r="G77" s="379"/>
      <c r="H77" s="379"/>
    </row>
    <row r="78" spans="2:8" x14ac:dyDescent="0.3">
      <c r="B78" s="379"/>
      <c r="C78" s="379"/>
      <c r="D78" s="379"/>
      <c r="E78" s="379"/>
      <c r="F78" s="379"/>
      <c r="G78" s="379"/>
      <c r="H78" s="379"/>
    </row>
  </sheetData>
  <mergeCells count="7">
    <mergeCell ref="B76:H78"/>
    <mergeCell ref="P10:S10"/>
    <mergeCell ref="B2:D2"/>
    <mergeCell ref="B4:E4"/>
    <mergeCell ref="G4:H4"/>
    <mergeCell ref="J4:K4"/>
    <mergeCell ref="P8:S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754A5-CF6F-4C4F-BB49-DFEDBEBE23F3}">
  <dimension ref="B2:V97"/>
  <sheetViews>
    <sheetView showGridLines="0" workbookViewId="0">
      <selection activeCell="B1" sqref="B1"/>
    </sheetView>
  </sheetViews>
  <sheetFormatPr defaultRowHeight="14.4" x14ac:dyDescent="0.3"/>
  <cols>
    <col min="2" max="2" width="14.33203125" customWidth="1"/>
    <col min="3" max="3" width="12.88671875" customWidth="1"/>
    <col min="4" max="4" width="13.44140625" customWidth="1"/>
    <col min="7" max="7" width="22.6640625" customWidth="1"/>
    <col min="8" max="8" width="20.77734375" customWidth="1"/>
    <col min="10" max="10" width="23.44140625" customWidth="1"/>
    <col min="12" max="12" width="18" customWidth="1"/>
    <col min="14" max="14" width="21.6640625" customWidth="1"/>
  </cols>
  <sheetData>
    <row r="2" spans="2:19" x14ac:dyDescent="0.3">
      <c r="B2" s="386" t="str">
        <f>'Beta-China Eastern Airlines '!B2:D2</f>
        <v>Regression Beta-1 year weekly</v>
      </c>
      <c r="C2" s="386"/>
      <c r="D2" s="386"/>
    </row>
    <row r="3" spans="2:19" x14ac:dyDescent="0.3">
      <c r="B3" s="65"/>
      <c r="J3" s="60"/>
    </row>
    <row r="4" spans="2:19" ht="16.2" x14ac:dyDescent="0.3">
      <c r="B4" s="367" t="str">
        <f>'Data-competitors'!B13</f>
        <v>China Southern Airlines Co Ltd Class A</v>
      </c>
      <c r="C4" s="367"/>
      <c r="D4" s="367"/>
      <c r="E4" s="367"/>
      <c r="G4" s="367" t="s">
        <v>354</v>
      </c>
      <c r="H4" s="367"/>
      <c r="I4" s="66"/>
      <c r="J4" s="367" t="s">
        <v>48</v>
      </c>
      <c r="K4" s="367"/>
      <c r="L4" s="66"/>
    </row>
    <row r="6" spans="2:19" x14ac:dyDescent="0.3">
      <c r="B6" s="67" t="s">
        <v>49</v>
      </c>
      <c r="C6" s="67" t="s">
        <v>50</v>
      </c>
      <c r="D6" s="67" t="s">
        <v>51</v>
      </c>
      <c r="E6" s="10"/>
      <c r="F6" s="10"/>
      <c r="G6" s="67" t="s">
        <v>50</v>
      </c>
      <c r="H6" s="67" t="s">
        <v>51</v>
      </c>
      <c r="J6" t="s">
        <v>52</v>
      </c>
      <c r="K6" s="68">
        <f>O10</f>
        <v>1.0000359525265121</v>
      </c>
      <c r="N6" t="s">
        <v>53</v>
      </c>
      <c r="O6" s="68">
        <f>SLOPE(D8:D72,H8:H72)</f>
        <v>1.0000359525265119</v>
      </c>
      <c r="P6" s="28" t="s">
        <v>54</v>
      </c>
      <c r="Q6" s="69"/>
      <c r="R6" s="69"/>
      <c r="S6" s="29"/>
    </row>
    <row r="7" spans="2:19" x14ac:dyDescent="0.3">
      <c r="B7" s="70">
        <v>45144</v>
      </c>
      <c r="C7">
        <v>6.88</v>
      </c>
      <c r="D7" s="8"/>
      <c r="G7" s="71">
        <f>'Beta-China Eastern Airlines '!G7</f>
        <v>3189.25</v>
      </c>
      <c r="H7" s="8"/>
      <c r="J7" t="s">
        <v>55</v>
      </c>
      <c r="K7" s="42">
        <v>0.5</v>
      </c>
      <c r="L7" s="72"/>
      <c r="O7" s="68"/>
      <c r="P7" s="73"/>
      <c r="Q7" s="73"/>
      <c r="R7" s="73"/>
      <c r="S7" s="73"/>
    </row>
    <row r="8" spans="2:19" x14ac:dyDescent="0.3">
      <c r="B8" s="70">
        <v>45151</v>
      </c>
      <c r="C8">
        <v>6.69</v>
      </c>
      <c r="D8" s="74">
        <f>(C8-C7)/C7</f>
        <v>-2.7616279069767369E-2</v>
      </c>
      <c r="G8" s="71">
        <f>'Beta-China Eastern Airlines '!G8</f>
        <v>3131.95</v>
      </c>
      <c r="H8" s="74">
        <f t="shared" ref="H8:H71" si="0">(G8-G7)/G7</f>
        <v>-1.7966606568942597E-2</v>
      </c>
      <c r="N8" t="s">
        <v>56</v>
      </c>
      <c r="O8" s="68">
        <f>_xlfn.COVARIANCE.S(D8:D72,H8:H72)/_xlfn.VAR.S(H8:H72)</f>
        <v>1.0000359525265119</v>
      </c>
      <c r="P8" s="374" t="s">
        <v>57</v>
      </c>
      <c r="Q8" s="374"/>
      <c r="R8" s="374"/>
      <c r="S8" s="374"/>
    </row>
    <row r="9" spans="2:19" x14ac:dyDescent="0.3">
      <c r="B9" s="70">
        <v>45158</v>
      </c>
      <c r="C9">
        <v>6.36</v>
      </c>
      <c r="D9" s="74">
        <f t="shared" ref="D9:D72" si="1">(C9-C8)/C8</f>
        <v>-4.9327354260089697E-2</v>
      </c>
      <c r="G9" s="71">
        <f>'Beta-China Eastern Airlines '!G9</f>
        <v>3064.07</v>
      </c>
      <c r="H9" s="74">
        <f t="shared" si="0"/>
        <v>-2.1673398362042708E-2</v>
      </c>
      <c r="J9" t="s">
        <v>58</v>
      </c>
      <c r="K9">
        <v>1</v>
      </c>
      <c r="O9" s="68"/>
      <c r="P9" s="73"/>
      <c r="Q9" s="73"/>
      <c r="R9" s="73"/>
      <c r="S9" s="73"/>
    </row>
    <row r="10" spans="2:19" x14ac:dyDescent="0.3">
      <c r="B10" s="70">
        <v>45165</v>
      </c>
      <c r="C10">
        <v>6.43</v>
      </c>
      <c r="D10" s="74">
        <f t="shared" si="1"/>
        <v>1.1006289308176005E-2</v>
      </c>
      <c r="G10" s="71">
        <f>'Beta-China Eastern Airlines '!G10</f>
        <v>3133.25</v>
      </c>
      <c r="H10" s="74">
        <f t="shared" si="0"/>
        <v>2.2577813170064596E-2</v>
      </c>
      <c r="J10" t="s">
        <v>59</v>
      </c>
      <c r="K10" s="39">
        <f>100%-K7</f>
        <v>0.5</v>
      </c>
      <c r="N10" t="s">
        <v>60</v>
      </c>
      <c r="O10" s="68">
        <f>O35</f>
        <v>1.0000359525265121</v>
      </c>
      <c r="P10" s="374" t="s">
        <v>61</v>
      </c>
      <c r="Q10" s="374"/>
      <c r="R10" s="374"/>
      <c r="S10" s="374"/>
    </row>
    <row r="11" spans="2:19" x14ac:dyDescent="0.3">
      <c r="B11" s="70">
        <v>45172</v>
      </c>
      <c r="C11">
        <v>6.26</v>
      </c>
      <c r="D11" s="74">
        <f t="shared" si="1"/>
        <v>-2.6438569206842913E-2</v>
      </c>
      <c r="G11" s="71">
        <f>'Beta-China Eastern Airlines '!G11</f>
        <v>3116.72</v>
      </c>
      <c r="H11" s="74">
        <f t="shared" si="0"/>
        <v>-5.2756722253252059E-3</v>
      </c>
      <c r="O11" s="80" t="s">
        <v>42</v>
      </c>
    </row>
    <row r="12" spans="2:19" x14ac:dyDescent="0.3">
      <c r="B12" s="70">
        <v>45179</v>
      </c>
      <c r="C12">
        <v>6.33</v>
      </c>
      <c r="D12" s="74">
        <f>(C12-C9)/C9</f>
        <v>-4.7169811320755105E-3</v>
      </c>
      <c r="G12" s="71">
        <f>'Beta-China Eastern Airlines '!G12</f>
        <v>3117.74</v>
      </c>
      <c r="H12" s="74">
        <f t="shared" si="0"/>
        <v>3.2726712697963943E-4</v>
      </c>
      <c r="J12" s="69" t="s">
        <v>62</v>
      </c>
      <c r="K12" s="75">
        <f>(K6*K7)+(K9*K10)</f>
        <v>1.0000179762632562</v>
      </c>
    </row>
    <row r="13" spans="2:19" x14ac:dyDescent="0.3">
      <c r="B13" s="70">
        <v>45186</v>
      </c>
      <c r="C13">
        <v>6.26</v>
      </c>
      <c r="D13" s="74">
        <f t="shared" si="1"/>
        <v>-1.1058451816745701E-2</v>
      </c>
      <c r="G13" s="71">
        <f>'Beta-China Eastern Airlines '!G13</f>
        <v>3132.43</v>
      </c>
      <c r="H13" s="74">
        <f t="shared" si="0"/>
        <v>4.7117463290717171E-3</v>
      </c>
    </row>
    <row r="14" spans="2:19" x14ac:dyDescent="0.3">
      <c r="B14" s="70">
        <v>45193</v>
      </c>
      <c r="C14">
        <v>6.12</v>
      </c>
      <c r="D14" s="74">
        <f t="shared" si="1"/>
        <v>-2.2364217252396117E-2</v>
      </c>
      <c r="G14" s="71">
        <f>'Beta-China Eastern Airlines '!G14</f>
        <v>3110.48</v>
      </c>
      <c r="H14" s="74">
        <f t="shared" si="0"/>
        <v>-7.0073393499614734E-3</v>
      </c>
    </row>
    <row r="15" spans="2:19" x14ac:dyDescent="0.3">
      <c r="B15" s="70">
        <v>45200</v>
      </c>
      <c r="C15">
        <v>6.0150000000000006</v>
      </c>
      <c r="D15" s="74">
        <f t="shared" si="1"/>
        <v>-1.7156862745097964E-2</v>
      </c>
      <c r="G15" s="71">
        <f>'Beta-China Eastern Airlines '!G15</f>
        <v>3099.29</v>
      </c>
      <c r="H15" s="74">
        <f t="shared" si="0"/>
        <v>-3.5975154960006346E-3</v>
      </c>
      <c r="J15" s="60"/>
    </row>
    <row r="16" spans="2:19" x14ac:dyDescent="0.3">
      <c r="B16" s="70">
        <v>45207</v>
      </c>
      <c r="C16">
        <v>5.91</v>
      </c>
      <c r="D16" s="74">
        <f t="shared" si="1"/>
        <v>-1.7456359102244457E-2</v>
      </c>
      <c r="G16" s="71">
        <f>'Beta-China Eastern Airlines '!G16</f>
        <v>3088.1</v>
      </c>
      <c r="H16" s="74">
        <f t="shared" si="0"/>
        <v>-3.6105043413168997E-3</v>
      </c>
      <c r="J16" s="76"/>
      <c r="K16" s="76"/>
      <c r="L16" s="76"/>
    </row>
    <row r="17" spans="2:19" x14ac:dyDescent="0.3">
      <c r="B17" s="70">
        <v>45214</v>
      </c>
      <c r="C17">
        <v>5.68</v>
      </c>
      <c r="D17" s="74">
        <f t="shared" si="1"/>
        <v>-3.8917089678511069E-2</v>
      </c>
      <c r="G17" s="71">
        <f>'Beta-China Eastern Airlines '!G17</f>
        <v>2983.06</v>
      </c>
      <c r="H17" s="74">
        <f t="shared" si="0"/>
        <v>-3.4014442537482585E-2</v>
      </c>
      <c r="J17" s="76"/>
      <c r="K17" s="76"/>
      <c r="L17" s="76"/>
    </row>
    <row r="18" spans="2:19" x14ac:dyDescent="0.3">
      <c r="B18" s="70">
        <v>45221</v>
      </c>
      <c r="C18">
        <v>6.09</v>
      </c>
      <c r="D18" s="74">
        <f>(C18-C17)/C17</f>
        <v>7.2183098591549325E-2</v>
      </c>
      <c r="G18" s="71">
        <f>'Beta-China Eastern Airlines '!G18</f>
        <v>3017.78</v>
      </c>
      <c r="H18" s="74">
        <f t="shared" si="0"/>
        <v>1.1639055198353454E-2</v>
      </c>
      <c r="J18" s="76"/>
      <c r="K18" s="76"/>
      <c r="L18" s="76"/>
      <c r="N18" t="s">
        <v>64</v>
      </c>
    </row>
    <row r="19" spans="2:19" ht="15" thickBot="1" x14ac:dyDescent="0.35">
      <c r="B19" s="70">
        <v>45228</v>
      </c>
      <c r="C19">
        <v>6.05</v>
      </c>
      <c r="D19" s="74">
        <f t="shared" si="1"/>
        <v>-6.5681444991789878E-3</v>
      </c>
      <c r="G19" s="71">
        <f>'Beta-China Eastern Airlines '!G19</f>
        <v>3030.8</v>
      </c>
      <c r="H19" s="74">
        <f t="shared" si="0"/>
        <v>4.3144298126437256E-3</v>
      </c>
      <c r="J19" s="76"/>
      <c r="K19" s="76"/>
      <c r="L19" s="76"/>
    </row>
    <row r="20" spans="2:19" x14ac:dyDescent="0.3">
      <c r="B20" s="70">
        <v>45235</v>
      </c>
      <c r="C20">
        <v>5.98</v>
      </c>
      <c r="D20" s="74">
        <f t="shared" si="1"/>
        <v>-1.1570247933884198E-2</v>
      </c>
      <c r="G20" s="71">
        <f>'Beta-China Eastern Airlines '!G20</f>
        <v>3038.97</v>
      </c>
      <c r="H20" s="74">
        <f t="shared" si="0"/>
        <v>2.6956579121022888E-3</v>
      </c>
      <c r="J20" s="76"/>
      <c r="K20" s="76"/>
      <c r="L20" s="76"/>
      <c r="N20" s="327" t="s">
        <v>65</v>
      </c>
      <c r="O20" s="327"/>
    </row>
    <row r="21" spans="2:19" x14ac:dyDescent="0.3">
      <c r="B21" s="70">
        <v>45242</v>
      </c>
      <c r="C21">
        <v>6.13</v>
      </c>
      <c r="D21" s="74">
        <f t="shared" si="1"/>
        <v>2.508361204013369E-2</v>
      </c>
      <c r="G21" s="71">
        <f>'Beta-China Eastern Airlines '!G21</f>
        <v>3054.37</v>
      </c>
      <c r="H21" s="74">
        <f t="shared" si="0"/>
        <v>5.0675064248742472E-3</v>
      </c>
      <c r="J21" s="76"/>
      <c r="K21" s="76"/>
      <c r="L21" s="76"/>
      <c r="N21" t="s">
        <v>66</v>
      </c>
      <c r="O21">
        <v>0.7315528523966156</v>
      </c>
    </row>
    <row r="22" spans="2:19" x14ac:dyDescent="0.3">
      <c r="B22" s="70">
        <v>45249</v>
      </c>
      <c r="C22">
        <v>6.28</v>
      </c>
      <c r="D22" s="74">
        <f t="shared" si="1"/>
        <v>2.4469820554649323E-2</v>
      </c>
      <c r="G22" s="71">
        <f>'Beta-China Eastern Airlines '!G22</f>
        <v>3040.97</v>
      </c>
      <c r="H22" s="74">
        <f t="shared" si="0"/>
        <v>-4.3871567622783391E-3</v>
      </c>
      <c r="J22" s="76"/>
      <c r="K22" s="76"/>
      <c r="L22" s="76"/>
      <c r="N22" t="s">
        <v>67</v>
      </c>
      <c r="O22">
        <v>0.53516957584962443</v>
      </c>
    </row>
    <row r="23" spans="2:19" x14ac:dyDescent="0.3">
      <c r="B23" s="70">
        <v>45256</v>
      </c>
      <c r="C23">
        <v>6.04</v>
      </c>
      <c r="D23" s="74">
        <f t="shared" si="1"/>
        <v>-3.8216560509554173E-2</v>
      </c>
      <c r="G23" s="71">
        <f>'Beta-China Eastern Airlines '!G23</f>
        <v>3031.64</v>
      </c>
      <c r="H23" s="74">
        <f t="shared" si="0"/>
        <v>-3.068099981255957E-3</v>
      </c>
      <c r="J23" s="76"/>
      <c r="K23" s="76"/>
      <c r="L23" s="76"/>
      <c r="N23" t="s">
        <v>68</v>
      </c>
      <c r="O23">
        <v>0.52779131514882482</v>
      </c>
    </row>
    <row r="24" spans="2:19" x14ac:dyDescent="0.3">
      <c r="B24" s="70">
        <v>45263</v>
      </c>
      <c r="C24">
        <v>6.04</v>
      </c>
      <c r="D24" s="74">
        <f t="shared" si="1"/>
        <v>0</v>
      </c>
      <c r="G24" s="71">
        <f>'Beta-China Eastern Airlines '!G24</f>
        <v>2969.56</v>
      </c>
      <c r="H24" s="74">
        <f t="shared" si="0"/>
        <v>-2.04773653863915E-2</v>
      </c>
      <c r="J24" s="76"/>
      <c r="K24" s="76"/>
      <c r="L24" s="76"/>
      <c r="N24" t="s">
        <v>69</v>
      </c>
      <c r="O24">
        <v>2.4387646817802842E-2</v>
      </c>
    </row>
    <row r="25" spans="2:19" ht="15" thickBot="1" x14ac:dyDescent="0.35">
      <c r="B25" s="70">
        <v>45270</v>
      </c>
      <c r="C25">
        <v>5.87</v>
      </c>
      <c r="D25" s="74">
        <f t="shared" si="1"/>
        <v>-2.8145695364238398E-2</v>
      </c>
      <c r="G25" s="71">
        <f>'Beta-China Eastern Airlines '!G25</f>
        <v>2942.56</v>
      </c>
      <c r="H25" s="74">
        <f t="shared" si="0"/>
        <v>-9.0922560918115809E-3</v>
      </c>
      <c r="J25" s="76"/>
      <c r="K25" s="76"/>
      <c r="L25" s="76"/>
      <c r="N25" s="78" t="s">
        <v>70</v>
      </c>
      <c r="O25" s="78">
        <v>65</v>
      </c>
    </row>
    <row r="26" spans="2:19" x14ac:dyDescent="0.3">
      <c r="B26" s="70">
        <v>45277</v>
      </c>
      <c r="C26">
        <v>5.66</v>
      </c>
      <c r="D26" s="74">
        <f t="shared" si="1"/>
        <v>-3.5775127768313451E-2</v>
      </c>
      <c r="G26" s="71">
        <f>'Beta-China Eastern Airlines '!G26</f>
        <v>2914.78</v>
      </c>
      <c r="H26" s="74">
        <f t="shared" si="0"/>
        <v>-9.4407590669348274E-3</v>
      </c>
    </row>
    <row r="27" spans="2:19" ht="15" thickBot="1" x14ac:dyDescent="0.35">
      <c r="B27" s="70">
        <v>45284</v>
      </c>
      <c r="C27">
        <v>5.76</v>
      </c>
      <c r="D27" s="74">
        <f t="shared" si="1"/>
        <v>1.7667844522968136E-2</v>
      </c>
      <c r="G27" s="71">
        <f>'Beta-China Eastern Airlines '!G27</f>
        <v>2974.93</v>
      </c>
      <c r="H27" s="74">
        <f t="shared" si="0"/>
        <v>2.0636205819993151E-2</v>
      </c>
      <c r="N27" t="s">
        <v>71</v>
      </c>
    </row>
    <row r="28" spans="2:19" x14ac:dyDescent="0.3">
      <c r="B28" s="70">
        <v>45291</v>
      </c>
      <c r="C28">
        <v>5.58</v>
      </c>
      <c r="D28" s="74">
        <f t="shared" si="1"/>
        <v>-3.1249999999999951E-2</v>
      </c>
      <c r="G28" s="71">
        <f>'Beta-China Eastern Airlines '!G28</f>
        <v>2929.18</v>
      </c>
      <c r="H28" s="74">
        <f t="shared" si="0"/>
        <v>-1.5378513107871446E-2</v>
      </c>
      <c r="N28" s="178"/>
      <c r="O28" s="178" t="s">
        <v>72</v>
      </c>
      <c r="P28" s="178" t="s">
        <v>73</v>
      </c>
      <c r="Q28" s="178" t="s">
        <v>74</v>
      </c>
      <c r="R28" s="178" t="s">
        <v>75</v>
      </c>
      <c r="S28" s="178" t="s">
        <v>76</v>
      </c>
    </row>
    <row r="29" spans="2:19" x14ac:dyDescent="0.3">
      <c r="B29" s="70">
        <v>45298</v>
      </c>
      <c r="C29">
        <v>5.86</v>
      </c>
      <c r="D29" s="74">
        <f t="shared" si="1"/>
        <v>5.0179211469534094E-2</v>
      </c>
      <c r="G29" s="71">
        <f>'Beta-China Eastern Airlines '!G29</f>
        <v>2881.98</v>
      </c>
      <c r="H29" s="74">
        <f t="shared" si="0"/>
        <v>-1.6113724660143734E-2</v>
      </c>
      <c r="N29" t="s">
        <v>77</v>
      </c>
      <c r="O29">
        <v>1</v>
      </c>
      <c r="P29">
        <v>4.3139709227636644E-2</v>
      </c>
      <c r="Q29">
        <v>4.3139709227636644E-2</v>
      </c>
      <c r="R29">
        <v>72.53329714842225</v>
      </c>
      <c r="S29">
        <v>4.4714868821579531E-12</v>
      </c>
    </row>
    <row r="30" spans="2:19" x14ac:dyDescent="0.3">
      <c r="B30" s="70">
        <v>45305</v>
      </c>
      <c r="C30">
        <v>5.87</v>
      </c>
      <c r="D30" s="74">
        <f t="shared" si="1"/>
        <v>1.7064846416381888E-3</v>
      </c>
      <c r="G30" s="71">
        <f>'Beta-China Eastern Airlines '!G30</f>
        <v>2832.28</v>
      </c>
      <c r="H30" s="74">
        <f t="shared" si="0"/>
        <v>-1.724508844613766E-2</v>
      </c>
      <c r="N30" t="s">
        <v>78</v>
      </c>
      <c r="O30">
        <v>63</v>
      </c>
      <c r="P30">
        <v>3.7469710990523014E-2</v>
      </c>
      <c r="Q30">
        <v>5.947573173098891E-4</v>
      </c>
    </row>
    <row r="31" spans="2:19" ht="15" thickBot="1" x14ac:dyDescent="0.35">
      <c r="B31" s="70">
        <v>45312</v>
      </c>
      <c r="C31">
        <v>6.08</v>
      </c>
      <c r="D31" s="74">
        <f t="shared" si="1"/>
        <v>3.5775127768313451E-2</v>
      </c>
      <c r="G31" s="71">
        <f>'Beta-China Eastern Airlines '!G31</f>
        <v>2910.22</v>
      </c>
      <c r="H31" s="74">
        <f t="shared" si="0"/>
        <v>2.7518465688420493E-2</v>
      </c>
      <c r="N31" s="78" t="s">
        <v>79</v>
      </c>
      <c r="O31" s="78">
        <v>64</v>
      </c>
      <c r="P31" s="78">
        <v>8.0609420218159658E-2</v>
      </c>
      <c r="Q31" s="78"/>
      <c r="R31" s="78"/>
      <c r="S31" s="78"/>
    </row>
    <row r="32" spans="2:19" ht="15" thickBot="1" x14ac:dyDescent="0.35">
      <c r="B32" s="70">
        <v>45319</v>
      </c>
      <c r="C32">
        <v>5.6</v>
      </c>
      <c r="D32" s="74">
        <f t="shared" si="1"/>
        <v>-7.8947368421052697E-2</v>
      </c>
      <c r="G32" s="71">
        <f>'Beta-China Eastern Airlines '!G32</f>
        <v>2730.15</v>
      </c>
      <c r="H32" s="74">
        <f t="shared" si="0"/>
        <v>-6.1875047247287047E-2</v>
      </c>
    </row>
    <row r="33" spans="2:22" x14ac:dyDescent="0.3">
      <c r="B33" s="70">
        <v>45326</v>
      </c>
      <c r="C33">
        <v>5.78</v>
      </c>
      <c r="D33" s="74">
        <f t="shared" si="1"/>
        <v>3.2142857142857251E-2</v>
      </c>
      <c r="G33" s="71">
        <f>'Beta-China Eastern Airlines '!G33</f>
        <v>2865.9</v>
      </c>
      <c r="H33" s="74">
        <f t="shared" si="0"/>
        <v>4.9722542717433107E-2</v>
      </c>
      <c r="N33" s="178"/>
      <c r="O33" s="178" t="s">
        <v>80</v>
      </c>
      <c r="P33" s="178" t="s">
        <v>69</v>
      </c>
      <c r="Q33" s="178" t="s">
        <v>81</v>
      </c>
      <c r="R33" s="178" t="s">
        <v>82</v>
      </c>
      <c r="S33" s="178" t="s">
        <v>83</v>
      </c>
      <c r="T33" s="178" t="s">
        <v>84</v>
      </c>
      <c r="U33" s="178" t="s">
        <v>85</v>
      </c>
      <c r="V33" s="178" t="s">
        <v>86</v>
      </c>
    </row>
    <row r="34" spans="2:22" x14ac:dyDescent="0.3">
      <c r="B34" s="70">
        <v>45333</v>
      </c>
      <c r="C34">
        <v>5.86</v>
      </c>
      <c r="D34" s="74">
        <f>(C34-C33)/C33</f>
        <v>1.3840830449827002E-2</v>
      </c>
      <c r="G34" s="71">
        <f>'Beta-China Eastern Airlines '!G34</f>
        <v>2935.3900000000003</v>
      </c>
      <c r="H34" s="74">
        <f t="shared" si="0"/>
        <v>2.4247182385987033E-2</v>
      </c>
      <c r="N34" t="s">
        <v>87</v>
      </c>
      <c r="O34">
        <v>-2.2048691480820891E-3</v>
      </c>
      <c r="P34">
        <v>3.0283985745545618E-3</v>
      </c>
      <c r="Q34">
        <v>-0.72806438578065857</v>
      </c>
      <c r="R34">
        <v>0.46927166216111149</v>
      </c>
      <c r="S34">
        <v>-8.2566407985264906E-3</v>
      </c>
      <c r="T34">
        <v>3.8469025023623133E-3</v>
      </c>
      <c r="U34">
        <v>-8.2566407985264906E-3</v>
      </c>
      <c r="V34">
        <v>3.8469025023623133E-3</v>
      </c>
    </row>
    <row r="35" spans="2:22" ht="15" thickBot="1" x14ac:dyDescent="0.35">
      <c r="B35" s="70">
        <v>45340</v>
      </c>
      <c r="C35">
        <v>5.94</v>
      </c>
      <c r="D35" s="74">
        <f>(C35-C33)/C33</f>
        <v>2.7681660899654004E-2</v>
      </c>
      <c r="G35" s="71">
        <f>'Beta-China Eastern Airlines '!G35</f>
        <v>3004.88</v>
      </c>
      <c r="H35" s="74">
        <f t="shared" si="0"/>
        <v>2.3673174603715274E-2</v>
      </c>
      <c r="N35" s="78" t="s">
        <v>88</v>
      </c>
      <c r="O35" s="78">
        <v>1.0000359525265121</v>
      </c>
      <c r="P35" s="78">
        <v>0.11742130530738779</v>
      </c>
      <c r="Q35" s="78">
        <v>8.5166482343949301</v>
      </c>
      <c r="R35" s="78">
        <v>4.4714868821579369E-12</v>
      </c>
      <c r="S35" s="78">
        <v>0.76538819757505316</v>
      </c>
      <c r="T35" s="78">
        <v>1.2346837074779711</v>
      </c>
      <c r="U35" s="78">
        <v>0.76538819757505316</v>
      </c>
      <c r="V35" s="78">
        <v>1.2346837074779711</v>
      </c>
    </row>
    <row r="36" spans="2:22" x14ac:dyDescent="0.3">
      <c r="B36" s="70">
        <v>45347</v>
      </c>
      <c r="C36">
        <v>5.71</v>
      </c>
      <c r="D36" s="74">
        <f t="shared" si="1"/>
        <v>-3.8720538720538787E-2</v>
      </c>
      <c r="G36" s="71">
        <f>'Beta-China Eastern Airlines '!G36</f>
        <v>3027.02</v>
      </c>
      <c r="H36" s="74">
        <f t="shared" si="0"/>
        <v>7.3680146960943107E-3</v>
      </c>
    </row>
    <row r="37" spans="2:22" x14ac:dyDescent="0.3">
      <c r="B37" s="70">
        <v>45354</v>
      </c>
      <c r="C37">
        <v>5.62</v>
      </c>
      <c r="D37" s="74">
        <f t="shared" si="1"/>
        <v>-1.5761821366024494E-2</v>
      </c>
      <c r="G37" s="71">
        <f>'Beta-China Eastern Airlines '!G37</f>
        <v>3046.02</v>
      </c>
      <c r="H37" s="74">
        <f t="shared" si="0"/>
        <v>6.276800285429234E-3</v>
      </c>
    </row>
    <row r="38" spans="2:22" x14ac:dyDescent="0.3">
      <c r="B38" s="70">
        <v>45361</v>
      </c>
      <c r="C38">
        <v>5.78</v>
      </c>
      <c r="D38" s="74">
        <f t="shared" si="1"/>
        <v>2.8469750889679742E-2</v>
      </c>
      <c r="G38" s="71">
        <f>'Beta-China Eastern Airlines '!G38</f>
        <v>3054.64</v>
      </c>
      <c r="H38" s="74">
        <f t="shared" si="0"/>
        <v>2.8299223248697942E-3</v>
      </c>
    </row>
    <row r="39" spans="2:22" x14ac:dyDescent="0.3">
      <c r="B39" s="70">
        <v>45368</v>
      </c>
      <c r="C39">
        <v>5.67</v>
      </c>
      <c r="D39" s="74">
        <f t="shared" si="1"/>
        <v>-1.9031141868512166E-2</v>
      </c>
      <c r="G39" s="71">
        <f>'Beta-China Eastern Airlines '!G39</f>
        <v>3048.03</v>
      </c>
      <c r="H39" s="74">
        <f t="shared" si="0"/>
        <v>-2.1639211167272321E-3</v>
      </c>
    </row>
    <row r="40" spans="2:22" x14ac:dyDescent="0.3">
      <c r="B40" s="70">
        <v>45375</v>
      </c>
      <c r="C40">
        <v>5.59</v>
      </c>
      <c r="D40" s="74">
        <f t="shared" si="1"/>
        <v>-1.4109347442680789E-2</v>
      </c>
      <c r="G40" s="71">
        <f>'Beta-China Eastern Airlines '!G40</f>
        <v>3041.17</v>
      </c>
      <c r="H40" s="74">
        <f t="shared" si="0"/>
        <v>-2.2506340160694371E-3</v>
      </c>
      <c r="N40" s="79"/>
      <c r="O40" s="79"/>
      <c r="P40" s="79"/>
      <c r="Q40" s="79"/>
      <c r="R40" s="79"/>
      <c r="S40" s="79"/>
      <c r="T40" s="79"/>
      <c r="U40" s="79"/>
      <c r="V40" s="79"/>
    </row>
    <row r="41" spans="2:22" x14ac:dyDescent="0.3">
      <c r="B41" s="70">
        <v>45382</v>
      </c>
      <c r="C41">
        <v>5.64</v>
      </c>
      <c r="D41" s="74">
        <f t="shared" si="1"/>
        <v>8.9445438282647269E-3</v>
      </c>
      <c r="G41" s="71">
        <f>'Beta-China Eastern Airlines '!G41</f>
        <v>3069.3</v>
      </c>
      <c r="H41" s="74">
        <f t="shared" si="0"/>
        <v>9.2497295448791452E-3</v>
      </c>
    </row>
    <row r="42" spans="2:22" x14ac:dyDescent="0.3">
      <c r="B42" s="70">
        <v>45389</v>
      </c>
      <c r="C42">
        <v>5.48</v>
      </c>
      <c r="D42" s="74">
        <f t="shared" si="1"/>
        <v>-2.8368794326241006E-2</v>
      </c>
      <c r="G42" s="71">
        <f>'Beta-China Eastern Airlines '!G42</f>
        <v>3019.47</v>
      </c>
      <c r="H42" s="74">
        <f t="shared" si="0"/>
        <v>-1.6234972143485609E-2</v>
      </c>
    </row>
    <row r="43" spans="2:22" x14ac:dyDescent="0.3">
      <c r="B43" s="70">
        <v>45396</v>
      </c>
      <c r="C43">
        <v>5.47</v>
      </c>
      <c r="D43" s="74">
        <f t="shared" si="1"/>
        <v>-1.8248175182482983E-3</v>
      </c>
      <c r="G43" s="71">
        <f>'Beta-China Eastern Airlines '!G43</f>
        <v>3065.26</v>
      </c>
      <c r="H43" s="74">
        <f t="shared" si="0"/>
        <v>1.5164913047654199E-2</v>
      </c>
    </row>
    <row r="44" spans="2:22" x14ac:dyDescent="0.3">
      <c r="B44" s="70">
        <v>45403</v>
      </c>
      <c r="C44">
        <v>5.72</v>
      </c>
      <c r="D44" s="74">
        <f t="shared" si="1"/>
        <v>4.5703839122486288E-2</v>
      </c>
      <c r="G44" s="71">
        <f>'Beta-China Eastern Airlines '!G44</f>
        <v>3088.64</v>
      </c>
      <c r="H44" s="74">
        <f t="shared" si="0"/>
        <v>7.6274117040641427E-3</v>
      </c>
    </row>
    <row r="45" spans="2:22" x14ac:dyDescent="0.3">
      <c r="B45" s="70">
        <v>45410</v>
      </c>
      <c r="C45">
        <v>5.67</v>
      </c>
      <c r="D45" s="74">
        <f t="shared" si="1"/>
        <v>-8.7412587412587107E-3</v>
      </c>
      <c r="G45" s="71">
        <f>'Beta-China Eastern Airlines '!G45</f>
        <v>3104.82</v>
      </c>
      <c r="H45" s="74">
        <f t="shared" si="0"/>
        <v>5.2385515955243383E-3</v>
      </c>
    </row>
    <row r="46" spans="2:22" x14ac:dyDescent="0.3">
      <c r="B46" s="70">
        <v>45417</v>
      </c>
      <c r="C46">
        <v>5.66</v>
      </c>
      <c r="D46" s="74">
        <f t="shared" si="1"/>
        <v>-1.7636684303350594E-3</v>
      </c>
      <c r="G46" s="71">
        <f>'Beta-China Eastern Airlines '!G46</f>
        <v>3154.55</v>
      </c>
      <c r="H46" s="74">
        <f t="shared" si="0"/>
        <v>1.6017031583151362E-2</v>
      </c>
    </row>
    <row r="47" spans="2:22" x14ac:dyDescent="0.3">
      <c r="B47" s="70">
        <v>45424</v>
      </c>
      <c r="C47">
        <v>5.72</v>
      </c>
      <c r="D47" s="74">
        <f t="shared" si="1"/>
        <v>1.060070671378085E-2</v>
      </c>
      <c r="G47" s="71">
        <f>'Beta-China Eastern Airlines '!G47</f>
        <v>3154.03</v>
      </c>
      <c r="H47" s="74">
        <f t="shared" si="0"/>
        <v>-1.6484126103564114E-4</v>
      </c>
    </row>
    <row r="48" spans="2:22" x14ac:dyDescent="0.3">
      <c r="B48" s="70">
        <v>45431</v>
      </c>
      <c r="C48">
        <v>5.94</v>
      </c>
      <c r="D48" s="74">
        <f>(C48-C47)/C47</f>
        <v>3.8461538461538575E-2</v>
      </c>
      <c r="G48" s="71">
        <f>'Beta-China Eastern Airlines '!G48</f>
        <v>3088.87</v>
      </c>
      <c r="H48" s="74">
        <f t="shared" si="0"/>
        <v>-2.0659283519814428E-2</v>
      </c>
    </row>
    <row r="49" spans="2:8" x14ac:dyDescent="0.3">
      <c r="B49" s="70">
        <v>45438</v>
      </c>
      <c r="C49">
        <v>5.88</v>
      </c>
      <c r="D49" s="74">
        <f t="shared" si="1"/>
        <v>-1.0101010101010183E-2</v>
      </c>
      <c r="G49" s="71">
        <f>'Beta-China Eastern Airlines '!G49</f>
        <v>3086.81</v>
      </c>
      <c r="H49" s="74">
        <f t="shared" si="0"/>
        <v>-6.669105530501269E-4</v>
      </c>
    </row>
    <row r="50" spans="2:8" x14ac:dyDescent="0.3">
      <c r="B50" s="70">
        <v>45445</v>
      </c>
      <c r="C50">
        <v>5.87</v>
      </c>
      <c r="D50" s="74">
        <f t="shared" si="1"/>
        <v>-1.7006802721088073E-3</v>
      </c>
      <c r="G50" s="71">
        <f>'Beta-China Eastern Airlines '!G50</f>
        <v>3051.28</v>
      </c>
      <c r="H50" s="74">
        <f t="shared" si="0"/>
        <v>-1.1510264642138565E-2</v>
      </c>
    </row>
    <row r="51" spans="2:8" x14ac:dyDescent="0.3">
      <c r="B51" s="70">
        <v>45452</v>
      </c>
      <c r="C51">
        <v>5.78</v>
      </c>
      <c r="D51" s="74">
        <f t="shared" si="1"/>
        <v>-1.5332197614991458E-2</v>
      </c>
      <c r="G51" s="71">
        <f>'Beta-China Eastern Airlines '!G51</f>
        <v>3032.63</v>
      </c>
      <c r="H51" s="74">
        <f t="shared" si="0"/>
        <v>-6.1121889829842194E-3</v>
      </c>
    </row>
    <row r="52" spans="2:8" x14ac:dyDescent="0.3">
      <c r="B52" s="70">
        <v>45459</v>
      </c>
      <c r="C52">
        <v>5.78</v>
      </c>
      <c r="D52" s="74">
        <f t="shared" si="1"/>
        <v>0</v>
      </c>
      <c r="G52" s="71">
        <f>'Beta-China Eastern Airlines '!G52</f>
        <v>2998.14</v>
      </c>
      <c r="H52" s="74">
        <f t="shared" si="0"/>
        <v>-1.1372966698872014E-2</v>
      </c>
    </row>
    <row r="53" spans="2:8" x14ac:dyDescent="0.3">
      <c r="B53" s="70">
        <v>45466</v>
      </c>
      <c r="C53">
        <v>5.89</v>
      </c>
      <c r="D53" s="74">
        <f t="shared" si="1"/>
        <v>1.903114186851201E-2</v>
      </c>
      <c r="G53" s="71">
        <f>'Beta-China Eastern Airlines '!G53</f>
        <v>2967.4</v>
      </c>
      <c r="H53" s="74">
        <f t="shared" si="0"/>
        <v>-1.0253023541262177E-2</v>
      </c>
    </row>
    <row r="54" spans="2:8" x14ac:dyDescent="0.3">
      <c r="B54" s="70">
        <v>45473</v>
      </c>
      <c r="C54">
        <v>5.81</v>
      </c>
      <c r="D54" s="74">
        <f t="shared" si="1"/>
        <v>-1.3582342954159604E-2</v>
      </c>
      <c r="G54" s="71">
        <f>'Beta-China Eastern Airlines '!G54</f>
        <v>2949.93</v>
      </c>
      <c r="H54" s="74">
        <f t="shared" si="0"/>
        <v>-5.8873087551392644E-3</v>
      </c>
    </row>
    <row r="55" spans="2:8" x14ac:dyDescent="0.3">
      <c r="B55" s="70">
        <v>45480</v>
      </c>
      <c r="C55">
        <v>5.86</v>
      </c>
      <c r="D55" s="74">
        <f t="shared" si="1"/>
        <v>8.6058519793460776E-3</v>
      </c>
      <c r="G55" s="71">
        <f>'Beta-China Eastern Airlines '!G55</f>
        <v>2971.29</v>
      </c>
      <c r="H55" s="74">
        <f t="shared" si="0"/>
        <v>7.2408497828762471E-3</v>
      </c>
    </row>
    <row r="56" spans="2:8" x14ac:dyDescent="0.3">
      <c r="B56" s="70">
        <v>45487</v>
      </c>
      <c r="C56">
        <v>5.95</v>
      </c>
      <c r="D56" s="74">
        <f t="shared" si="1"/>
        <v>1.5358361774744003E-2</v>
      </c>
      <c r="G56" s="71">
        <f>'Beta-China Eastern Airlines '!G56</f>
        <v>2982.31</v>
      </c>
      <c r="H56" s="74">
        <f t="shared" si="0"/>
        <v>3.7088268058654596E-3</v>
      </c>
    </row>
    <row r="57" spans="2:8" x14ac:dyDescent="0.3">
      <c r="B57" s="70">
        <v>45494</v>
      </c>
      <c r="C57">
        <v>5.84</v>
      </c>
      <c r="D57" s="74">
        <f t="shared" si="1"/>
        <v>-1.8487394957983246E-2</v>
      </c>
      <c r="G57" s="71">
        <f>'Beta-China Eastern Airlines '!G57</f>
        <v>2890.9</v>
      </c>
      <c r="H57" s="74">
        <f t="shared" si="0"/>
        <v>-3.0650737180239432E-2</v>
      </c>
    </row>
    <row r="58" spans="2:8" x14ac:dyDescent="0.3">
      <c r="B58" s="70">
        <v>45501</v>
      </c>
      <c r="C58">
        <v>5.9</v>
      </c>
      <c r="D58" s="74">
        <f t="shared" si="1"/>
        <v>1.0273972602739812E-2</v>
      </c>
      <c r="G58" s="71">
        <f>'Beta-China Eastern Airlines '!G58</f>
        <v>2905.34</v>
      </c>
      <c r="H58" s="74">
        <f t="shared" si="0"/>
        <v>4.9949842609568144E-3</v>
      </c>
    </row>
    <row r="59" spans="2:8" x14ac:dyDescent="0.3">
      <c r="B59" s="70">
        <v>45508</v>
      </c>
      <c r="C59">
        <v>5.8</v>
      </c>
      <c r="D59" s="74">
        <f t="shared" si="1"/>
        <v>-1.6949152542372972E-2</v>
      </c>
      <c r="G59" s="71">
        <f>'Beta-China Eastern Airlines '!G59</f>
        <v>2862.19</v>
      </c>
      <c r="H59" s="74">
        <f t="shared" si="0"/>
        <v>-1.4851962248824608E-2</v>
      </c>
    </row>
    <row r="60" spans="2:8" x14ac:dyDescent="0.3">
      <c r="B60" s="70">
        <v>45515</v>
      </c>
      <c r="C60">
        <v>5.68</v>
      </c>
      <c r="D60" s="74">
        <f t="shared" si="1"/>
        <v>-2.0689655172413814E-2</v>
      </c>
      <c r="G60" s="71">
        <f>'Beta-China Eastern Airlines '!G60</f>
        <v>2879.43</v>
      </c>
      <c r="H60" s="74">
        <f t="shared" si="0"/>
        <v>6.0233597350279966E-3</v>
      </c>
    </row>
    <row r="61" spans="2:8" x14ac:dyDescent="0.3">
      <c r="B61" s="70">
        <v>45522</v>
      </c>
      <c r="C61">
        <v>5.64</v>
      </c>
      <c r="D61" s="74">
        <f t="shared" si="1"/>
        <v>-7.0422535211267668E-3</v>
      </c>
      <c r="G61" s="71">
        <f>'Beta-China Eastern Airlines '!G61</f>
        <v>2854.37</v>
      </c>
      <c r="H61" s="74">
        <f t="shared" si="0"/>
        <v>-8.7031113796827656E-3</v>
      </c>
    </row>
    <row r="62" spans="2:8" x14ac:dyDescent="0.3">
      <c r="B62" s="70">
        <v>45529</v>
      </c>
      <c r="C62">
        <v>5.7</v>
      </c>
      <c r="D62" s="74">
        <f t="shared" si="1"/>
        <v>1.0638297872340514E-2</v>
      </c>
      <c r="G62" s="71">
        <f>'Beta-China Eastern Airlines '!G62</f>
        <v>2842.21</v>
      </c>
      <c r="H62" s="74">
        <f t="shared" si="0"/>
        <v>-4.2601344604938588E-3</v>
      </c>
    </row>
    <row r="63" spans="2:8" x14ac:dyDescent="0.3">
      <c r="B63" s="70">
        <v>45536</v>
      </c>
      <c r="C63">
        <v>5.61</v>
      </c>
      <c r="D63" s="74">
        <f t="shared" si="1"/>
        <v>-1.5789473684210503E-2</v>
      </c>
      <c r="G63" s="71">
        <f>'Beta-China Eastern Airlines '!G63</f>
        <v>2765.81</v>
      </c>
      <c r="H63" s="74">
        <f t="shared" si="0"/>
        <v>-2.688049088561369E-2</v>
      </c>
    </row>
    <row r="64" spans="2:8" x14ac:dyDescent="0.3">
      <c r="B64" s="70">
        <v>45543</v>
      </c>
      <c r="C64">
        <v>5.41</v>
      </c>
      <c r="D64" s="74">
        <f t="shared" si="1"/>
        <v>-3.5650623885918033E-2</v>
      </c>
      <c r="G64" s="71">
        <f>'Beta-China Eastern Airlines '!G64</f>
        <v>2704.09</v>
      </c>
      <c r="H64" s="74">
        <f t="shared" si="0"/>
        <v>-2.2315343425614847E-2</v>
      </c>
    </row>
    <row r="65" spans="2:8" x14ac:dyDescent="0.3">
      <c r="B65" s="70">
        <v>45550</v>
      </c>
      <c r="C65">
        <v>5.39</v>
      </c>
      <c r="D65" s="74">
        <f t="shared" si="1"/>
        <v>-3.6968576709797527E-3</v>
      </c>
      <c r="G65" s="71">
        <f>'Beta-China Eastern Airlines '!G65</f>
        <v>2736.81</v>
      </c>
      <c r="H65" s="74">
        <f t="shared" si="0"/>
        <v>1.2100188973000085E-2</v>
      </c>
    </row>
    <row r="66" spans="2:8" x14ac:dyDescent="0.3">
      <c r="B66" s="70">
        <v>45557</v>
      </c>
      <c r="C66">
        <v>6.15</v>
      </c>
      <c r="D66" s="74">
        <f t="shared" si="1"/>
        <v>0.1410018552875697</v>
      </c>
      <c r="G66" s="71">
        <f>'Beta-China Eastern Airlines '!G66</f>
        <v>3087.53</v>
      </c>
      <c r="H66" s="74">
        <f t="shared" si="0"/>
        <v>0.12814919559633306</v>
      </c>
    </row>
    <row r="67" spans="2:8" x14ac:dyDescent="0.3">
      <c r="B67" s="70">
        <v>45564</v>
      </c>
      <c r="C67">
        <v>6.54</v>
      </c>
      <c r="D67" s="74">
        <f t="shared" si="1"/>
        <v>6.3414634146341409E-2</v>
      </c>
      <c r="G67" s="71">
        <f>'Beta-China Eastern Airlines '!G67</f>
        <v>3336.5</v>
      </c>
      <c r="H67" s="74">
        <f t="shared" si="0"/>
        <v>8.0637273160098777E-2</v>
      </c>
    </row>
    <row r="68" spans="2:8" x14ac:dyDescent="0.3">
      <c r="B68" s="70">
        <v>45571</v>
      </c>
      <c r="C68">
        <v>5.8</v>
      </c>
      <c r="D68" s="74">
        <f t="shared" si="1"/>
        <v>-0.11314984709480126</v>
      </c>
      <c r="G68" s="71">
        <f>'Beta-China Eastern Airlines '!G68</f>
        <v>3217.74</v>
      </c>
      <c r="H68" s="74">
        <f t="shared" si="0"/>
        <v>-3.55941855237525E-2</v>
      </c>
    </row>
    <row r="69" spans="2:8" x14ac:dyDescent="0.3">
      <c r="B69" s="70">
        <v>45578</v>
      </c>
      <c r="C69">
        <v>5.86</v>
      </c>
      <c r="D69" s="74">
        <f t="shared" si="1"/>
        <v>1.0344827586206983E-2</v>
      </c>
      <c r="G69" s="71">
        <f>'Beta-China Eastern Airlines '!G69</f>
        <v>3261.56</v>
      </c>
      <c r="H69" s="74">
        <f t="shared" si="0"/>
        <v>1.3618253805466E-2</v>
      </c>
    </row>
    <row r="70" spans="2:8" x14ac:dyDescent="0.3">
      <c r="B70" s="70">
        <v>45585</v>
      </c>
      <c r="C70">
        <v>5.88</v>
      </c>
      <c r="D70" s="74">
        <f t="shared" si="1"/>
        <v>3.4129692832763777E-3</v>
      </c>
      <c r="G70" s="71">
        <f>'Beta-China Eastern Airlines '!G70</f>
        <v>3299.7</v>
      </c>
      <c r="H70" s="74">
        <f t="shared" si="0"/>
        <v>1.1693790701382122E-2</v>
      </c>
    </row>
    <row r="71" spans="2:8" x14ac:dyDescent="0.3">
      <c r="B71" s="70">
        <v>45592</v>
      </c>
      <c r="C71">
        <v>6.1</v>
      </c>
      <c r="D71" s="74">
        <f t="shared" si="1"/>
        <v>3.7414965986394516E-2</v>
      </c>
      <c r="G71" s="71">
        <f>'Beta-China Eastern Airlines '!G71</f>
        <v>3272.01</v>
      </c>
      <c r="H71" s="74">
        <f t="shared" si="0"/>
        <v>-8.3916719701789856E-3</v>
      </c>
    </row>
    <row r="72" spans="2:8" x14ac:dyDescent="0.3">
      <c r="B72" s="70">
        <v>45599</v>
      </c>
      <c r="C72">
        <v>6.22</v>
      </c>
      <c r="D72" s="74">
        <f t="shared" si="1"/>
        <v>1.9672131147541003E-2</v>
      </c>
      <c r="G72" s="71">
        <f>'Beta-China Eastern Airlines '!G72</f>
        <v>3384.76</v>
      </c>
      <c r="H72" s="74">
        <f t="shared" ref="H72" si="2">(G72-G71)/G71</f>
        <v>3.4458941140155436E-2</v>
      </c>
    </row>
    <row r="74" spans="2:8" x14ac:dyDescent="0.3">
      <c r="B74" s="330" t="s">
        <v>41</v>
      </c>
    </row>
    <row r="75" spans="2:8" x14ac:dyDescent="0.3">
      <c r="B75" s="379" t="s">
        <v>357</v>
      </c>
      <c r="C75" s="379"/>
      <c r="D75" s="379"/>
      <c r="E75" s="379"/>
      <c r="F75" s="379"/>
      <c r="G75" s="379"/>
      <c r="H75" s="379"/>
    </row>
    <row r="76" spans="2:8" x14ac:dyDescent="0.3">
      <c r="B76" s="379"/>
      <c r="C76" s="379"/>
      <c r="D76" s="379"/>
      <c r="E76" s="379"/>
      <c r="F76" s="379"/>
      <c r="G76" s="379"/>
      <c r="H76" s="379"/>
    </row>
    <row r="77" spans="2:8" x14ac:dyDescent="0.3">
      <c r="B77" s="379"/>
      <c r="C77" s="379"/>
      <c r="D77" s="379"/>
      <c r="E77" s="379"/>
      <c r="F77" s="379"/>
      <c r="G77" s="379"/>
      <c r="H77" s="379"/>
    </row>
    <row r="78" spans="2:8" x14ac:dyDescent="0.3">
      <c r="B78" s="379"/>
      <c r="C78" s="379"/>
      <c r="D78" s="379"/>
      <c r="E78" s="379"/>
      <c r="F78" s="379"/>
      <c r="G78" s="379"/>
      <c r="H78" s="379"/>
    </row>
    <row r="81" spans="2:8" ht="16.2" x14ac:dyDescent="0.3">
      <c r="B81" s="328" t="s">
        <v>359</v>
      </c>
      <c r="C81" s="329"/>
      <c r="D81" s="329"/>
      <c r="E81" s="329"/>
      <c r="F81" s="329"/>
    </row>
    <row r="82" spans="2:8" x14ac:dyDescent="0.3">
      <c r="B82" s="379" t="s">
        <v>358</v>
      </c>
      <c r="C82" s="379"/>
      <c r="D82" s="379"/>
      <c r="E82" s="379"/>
      <c r="F82" s="379"/>
      <c r="G82" s="379"/>
      <c r="H82" s="379"/>
    </row>
    <row r="83" spans="2:8" x14ac:dyDescent="0.3">
      <c r="B83" s="379"/>
      <c r="C83" s="379"/>
      <c r="D83" s="379"/>
      <c r="E83" s="379"/>
      <c r="F83" s="379"/>
      <c r="G83" s="379"/>
      <c r="H83" s="379"/>
    </row>
    <row r="84" spans="2:8" x14ac:dyDescent="0.3">
      <c r="B84" s="379"/>
      <c r="C84" s="379"/>
      <c r="D84" s="379"/>
      <c r="E84" s="379"/>
      <c r="F84" s="379"/>
      <c r="G84" s="379"/>
      <c r="H84" s="379"/>
    </row>
    <row r="85" spans="2:8" x14ac:dyDescent="0.3">
      <c r="B85" s="379"/>
      <c r="C85" s="379"/>
      <c r="D85" s="379"/>
      <c r="E85" s="379"/>
      <c r="F85" s="379"/>
      <c r="G85" s="379"/>
      <c r="H85" s="379"/>
    </row>
    <row r="86" spans="2:8" x14ac:dyDescent="0.3">
      <c r="B86" s="379"/>
      <c r="C86" s="379"/>
      <c r="D86" s="379"/>
      <c r="E86" s="379"/>
      <c r="F86" s="379"/>
      <c r="G86" s="379"/>
      <c r="H86" s="379"/>
    </row>
    <row r="87" spans="2:8" x14ac:dyDescent="0.3">
      <c r="B87" s="379"/>
      <c r="C87" s="379"/>
      <c r="D87" s="379"/>
      <c r="E87" s="379"/>
      <c r="F87" s="379"/>
      <c r="G87" s="379"/>
      <c r="H87" s="379"/>
    </row>
    <row r="88" spans="2:8" x14ac:dyDescent="0.3">
      <c r="B88" s="379"/>
      <c r="C88" s="379"/>
      <c r="D88" s="379"/>
      <c r="E88" s="379"/>
      <c r="F88" s="379"/>
      <c r="G88" s="379"/>
      <c r="H88" s="379"/>
    </row>
    <row r="89" spans="2:8" x14ac:dyDescent="0.3">
      <c r="B89" s="379"/>
      <c r="C89" s="379"/>
      <c r="D89" s="379"/>
      <c r="E89" s="379"/>
      <c r="F89" s="379"/>
      <c r="G89" s="379"/>
      <c r="H89" s="379"/>
    </row>
    <row r="90" spans="2:8" x14ac:dyDescent="0.3">
      <c r="B90" s="379"/>
      <c r="C90" s="379"/>
      <c r="D90" s="379"/>
      <c r="E90" s="379"/>
      <c r="F90" s="379"/>
      <c r="G90" s="379"/>
      <c r="H90" s="379"/>
    </row>
    <row r="91" spans="2:8" x14ac:dyDescent="0.3">
      <c r="B91" s="379"/>
      <c r="C91" s="379"/>
      <c r="D91" s="379"/>
      <c r="E91" s="379"/>
      <c r="F91" s="379"/>
      <c r="G91" s="379"/>
      <c r="H91" s="379"/>
    </row>
    <row r="92" spans="2:8" x14ac:dyDescent="0.3">
      <c r="B92" s="379"/>
      <c r="C92" s="379"/>
      <c r="D92" s="379"/>
      <c r="E92" s="379"/>
      <c r="F92" s="379"/>
      <c r="G92" s="379"/>
      <c r="H92" s="379"/>
    </row>
    <row r="93" spans="2:8" x14ac:dyDescent="0.3">
      <c r="B93" s="379"/>
      <c r="C93" s="379"/>
      <c r="D93" s="379"/>
      <c r="E93" s="379"/>
      <c r="F93" s="379"/>
      <c r="G93" s="379"/>
      <c r="H93" s="379"/>
    </row>
    <row r="94" spans="2:8" x14ac:dyDescent="0.3">
      <c r="B94" s="379"/>
      <c r="C94" s="379"/>
      <c r="D94" s="379"/>
      <c r="E94" s="379"/>
      <c r="F94" s="379"/>
      <c r="G94" s="379"/>
      <c r="H94" s="379"/>
    </row>
    <row r="95" spans="2:8" x14ac:dyDescent="0.3">
      <c r="B95" s="379"/>
      <c r="C95" s="379"/>
      <c r="D95" s="379"/>
      <c r="E95" s="379"/>
      <c r="F95" s="379"/>
      <c r="G95" s="379"/>
      <c r="H95" s="379"/>
    </row>
    <row r="96" spans="2:8" x14ac:dyDescent="0.3">
      <c r="B96" s="379"/>
      <c r="C96" s="379"/>
      <c r="D96" s="379"/>
      <c r="E96" s="379"/>
      <c r="F96" s="379"/>
      <c r="G96" s="379"/>
      <c r="H96" s="379"/>
    </row>
    <row r="97" spans="2:8" x14ac:dyDescent="0.3">
      <c r="B97" s="379"/>
      <c r="C97" s="379"/>
      <c r="D97" s="379"/>
      <c r="E97" s="379"/>
      <c r="F97" s="379"/>
      <c r="G97" s="379"/>
      <c r="H97" s="379"/>
    </row>
  </sheetData>
  <mergeCells count="8">
    <mergeCell ref="B75:H78"/>
    <mergeCell ref="B82:H97"/>
    <mergeCell ref="P10:S10"/>
    <mergeCell ref="B2:D2"/>
    <mergeCell ref="B4:E4"/>
    <mergeCell ref="G4:H4"/>
    <mergeCell ref="J4:K4"/>
    <mergeCell ref="P8:S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DAB77-6E21-4FFD-937D-4FD4A0B0099D}">
  <dimension ref="B1:M76"/>
  <sheetViews>
    <sheetView showGridLines="0" topLeftCell="A52" workbookViewId="0">
      <selection activeCell="B78" sqref="B78"/>
    </sheetView>
  </sheetViews>
  <sheetFormatPr defaultRowHeight="14.4" x14ac:dyDescent="0.3"/>
  <cols>
    <col min="2" max="2" width="47.21875" customWidth="1"/>
    <col min="3" max="7" width="18.77734375" style="3" customWidth="1"/>
    <col min="10" max="10" width="15.44140625" customWidth="1"/>
  </cols>
  <sheetData>
    <row r="1" spans="2:10" x14ac:dyDescent="0.3">
      <c r="C1"/>
      <c r="D1"/>
      <c r="E1"/>
      <c r="F1"/>
      <c r="G1"/>
    </row>
    <row r="2" spans="2:10" x14ac:dyDescent="0.3">
      <c r="B2" s="363" t="str">
        <f>"Raw Balance Sheet"&amp;" - "&amp;WACC!$B$12</f>
        <v>Raw Balance Sheet - Pakistan International Airlines</v>
      </c>
      <c r="C2" s="363"/>
      <c r="D2" s="53"/>
      <c r="E2" s="53"/>
      <c r="F2" s="53"/>
      <c r="G2" s="53"/>
      <c r="H2" s="53"/>
      <c r="I2" s="53"/>
    </row>
    <row r="3" spans="2:10" x14ac:dyDescent="0.3">
      <c r="C3" s="388" t="s">
        <v>299</v>
      </c>
      <c r="D3" s="388"/>
      <c r="E3" s="388"/>
      <c r="F3" s="388"/>
      <c r="G3" s="388"/>
      <c r="J3" s="172" t="s">
        <v>370</v>
      </c>
    </row>
    <row r="4" spans="2:10" x14ac:dyDescent="0.3">
      <c r="C4" s="303">
        <v>45107</v>
      </c>
      <c r="D4" s="303">
        <v>44926</v>
      </c>
      <c r="E4" s="303">
        <f>D4-365</f>
        <v>44561</v>
      </c>
      <c r="F4" s="303">
        <f t="shared" ref="F4" si="0">E4-365</f>
        <v>44196</v>
      </c>
      <c r="G4" s="303">
        <f>F4-366</f>
        <v>43830</v>
      </c>
      <c r="J4" s="303">
        <v>45107</v>
      </c>
    </row>
    <row r="5" spans="2:10" x14ac:dyDescent="0.3">
      <c r="C5"/>
      <c r="D5"/>
      <c r="E5"/>
      <c r="F5"/>
      <c r="G5"/>
    </row>
    <row r="6" spans="2:10" x14ac:dyDescent="0.3">
      <c r="B6" s="16" t="s">
        <v>292</v>
      </c>
      <c r="C6"/>
      <c r="D6"/>
      <c r="E6"/>
      <c r="F6"/>
      <c r="G6"/>
    </row>
    <row r="7" spans="2:10" x14ac:dyDescent="0.3">
      <c r="B7" s="16" t="s">
        <v>107</v>
      </c>
      <c r="C7"/>
      <c r="D7"/>
      <c r="E7"/>
      <c r="F7"/>
      <c r="G7"/>
    </row>
    <row r="8" spans="2:10" x14ac:dyDescent="0.3">
      <c r="C8"/>
      <c r="D8"/>
      <c r="E8"/>
      <c r="F8"/>
      <c r="G8"/>
    </row>
    <row r="9" spans="2:10" x14ac:dyDescent="0.3">
      <c r="B9" t="s">
        <v>293</v>
      </c>
      <c r="C9" s="3">
        <v>90731597</v>
      </c>
      <c r="D9" s="3">
        <v>92599437</v>
      </c>
      <c r="E9" s="3">
        <v>91030118</v>
      </c>
      <c r="F9" s="3">
        <v>90629224</v>
      </c>
      <c r="G9" s="3">
        <v>99028223</v>
      </c>
    </row>
    <row r="10" spans="2:10" x14ac:dyDescent="0.3">
      <c r="B10" t="s">
        <v>295</v>
      </c>
      <c r="C10" s="3">
        <v>2727582</v>
      </c>
      <c r="D10" s="3">
        <v>2727582</v>
      </c>
      <c r="E10" s="3">
        <v>244471</v>
      </c>
      <c r="F10" s="3">
        <v>0</v>
      </c>
      <c r="G10" s="3">
        <v>0</v>
      </c>
    </row>
    <row r="11" spans="2:10" x14ac:dyDescent="0.3">
      <c r="B11" t="s">
        <v>294</v>
      </c>
      <c r="C11" s="3">
        <v>270646</v>
      </c>
      <c r="D11" s="3">
        <v>283552</v>
      </c>
      <c r="E11" s="3">
        <v>272027</v>
      </c>
      <c r="F11" s="3">
        <v>317264</v>
      </c>
      <c r="G11" s="3">
        <v>390359</v>
      </c>
    </row>
    <row r="12" spans="2:10" x14ac:dyDescent="0.3">
      <c r="B12" t="s">
        <v>296</v>
      </c>
      <c r="C12" s="3">
        <v>4550487</v>
      </c>
      <c r="D12" s="3">
        <v>4704590</v>
      </c>
      <c r="E12" s="3">
        <v>4675332</v>
      </c>
      <c r="F12" s="3">
        <v>4580748</v>
      </c>
      <c r="G12" s="3">
        <v>4589394</v>
      </c>
    </row>
    <row r="13" spans="2:10" x14ac:dyDescent="0.3">
      <c r="B13" t="s">
        <v>298</v>
      </c>
      <c r="C13" s="3">
        <v>3983359</v>
      </c>
      <c r="D13" s="3">
        <v>2993549</v>
      </c>
      <c r="E13" s="3">
        <v>779343</v>
      </c>
      <c r="F13" s="3">
        <v>0</v>
      </c>
      <c r="G13" s="3">
        <v>0</v>
      </c>
    </row>
    <row r="14" spans="2:10" ht="15" thickBot="1" x14ac:dyDescent="0.35">
      <c r="B14" t="s">
        <v>297</v>
      </c>
      <c r="C14" s="3">
        <v>4429540</v>
      </c>
      <c r="D14" s="3">
        <v>2299607</v>
      </c>
      <c r="E14" s="3">
        <v>4271235</v>
      </c>
      <c r="F14" s="3">
        <v>2974491</v>
      </c>
      <c r="G14" s="3">
        <v>4632644</v>
      </c>
    </row>
    <row r="15" spans="2:10" x14ac:dyDescent="0.3">
      <c r="C15" s="304">
        <f>SUM(C9:C14)</f>
        <v>106693211</v>
      </c>
      <c r="D15" s="304">
        <f t="shared" ref="D15:G15" si="1">SUM(D9:D14)</f>
        <v>105608317</v>
      </c>
      <c r="E15" s="304">
        <f t="shared" si="1"/>
        <v>101272526</v>
      </c>
      <c r="F15" s="304">
        <f t="shared" si="1"/>
        <v>98501727</v>
      </c>
      <c r="G15" s="304">
        <f t="shared" si="1"/>
        <v>108640620</v>
      </c>
    </row>
    <row r="17" spans="2:7" x14ac:dyDescent="0.3">
      <c r="B17" s="311" t="s">
        <v>93</v>
      </c>
    </row>
    <row r="18" spans="2:7" x14ac:dyDescent="0.3">
      <c r="B18" s="310" t="s">
        <v>234</v>
      </c>
      <c r="C18" s="312">
        <v>3867627</v>
      </c>
      <c r="D18" s="312">
        <v>3535580</v>
      </c>
      <c r="E18" s="312">
        <v>2915991</v>
      </c>
      <c r="F18" s="312">
        <v>2948964</v>
      </c>
      <c r="G18" s="312">
        <v>3530263</v>
      </c>
    </row>
    <row r="19" spans="2:7" x14ac:dyDescent="0.3">
      <c r="B19" s="310" t="s">
        <v>236</v>
      </c>
      <c r="C19" s="308">
        <v>24307977</v>
      </c>
      <c r="D19" s="308">
        <v>20527778</v>
      </c>
      <c r="E19" s="308">
        <v>14925824</v>
      </c>
      <c r="F19" s="308">
        <v>9976294</v>
      </c>
      <c r="G19" s="308">
        <v>18607089</v>
      </c>
    </row>
    <row r="20" spans="2:7" x14ac:dyDescent="0.3">
      <c r="B20" s="310" t="s">
        <v>303</v>
      </c>
      <c r="C20" s="308">
        <v>7319934</v>
      </c>
      <c r="D20" s="308">
        <v>5451648</v>
      </c>
      <c r="E20" s="308">
        <v>3051709</v>
      </c>
      <c r="F20" s="308">
        <v>3652243</v>
      </c>
      <c r="G20" s="308">
        <v>3796197</v>
      </c>
    </row>
    <row r="21" spans="2:7" ht="12.6" customHeight="1" x14ac:dyDescent="0.3">
      <c r="B21" s="309" t="s">
        <v>300</v>
      </c>
      <c r="C21" s="308">
        <v>2649493</v>
      </c>
      <c r="D21" s="308">
        <v>3021415</v>
      </c>
      <c r="E21" s="308">
        <v>4444401</v>
      </c>
      <c r="F21" s="308">
        <v>3300925</v>
      </c>
      <c r="G21" s="308">
        <v>5286408</v>
      </c>
    </row>
    <row r="22" spans="2:7" x14ac:dyDescent="0.3">
      <c r="B22" s="310" t="s">
        <v>240</v>
      </c>
      <c r="C22" s="308">
        <v>10376743</v>
      </c>
      <c r="D22" s="308">
        <v>7421066</v>
      </c>
      <c r="E22" s="308">
        <v>7240000</v>
      </c>
      <c r="F22" s="308">
        <v>16854091</v>
      </c>
      <c r="G22" s="308">
        <v>8623137</v>
      </c>
    </row>
    <row r="23" spans="2:7" x14ac:dyDescent="0.3">
      <c r="B23" s="310" t="s">
        <v>302</v>
      </c>
      <c r="C23" s="308">
        <v>0</v>
      </c>
      <c r="D23" s="308">
        <v>0</v>
      </c>
      <c r="E23" s="308">
        <v>19220</v>
      </c>
      <c r="F23" s="308">
        <v>19220</v>
      </c>
      <c r="G23" s="308">
        <v>6216620</v>
      </c>
    </row>
    <row r="24" spans="2:7" x14ac:dyDescent="0.3">
      <c r="B24" s="310" t="s">
        <v>304</v>
      </c>
      <c r="C24" s="307">
        <v>5168597</v>
      </c>
      <c r="D24" s="307">
        <v>9408610</v>
      </c>
      <c r="E24" s="307">
        <v>12496332</v>
      </c>
      <c r="F24" s="307">
        <v>5739761</v>
      </c>
      <c r="G24" s="307">
        <v>6857322</v>
      </c>
    </row>
    <row r="25" spans="2:7" x14ac:dyDescent="0.3">
      <c r="C25" s="3">
        <f>SUM(C18:C24)</f>
        <v>53690371</v>
      </c>
      <c r="D25" s="3">
        <f t="shared" ref="D25:G25" si="2">SUM(D18:D24)</f>
        <v>49366097</v>
      </c>
      <c r="E25" s="3">
        <f t="shared" si="2"/>
        <v>45093477</v>
      </c>
      <c r="F25" s="3">
        <f t="shared" si="2"/>
        <v>42491498</v>
      </c>
      <c r="G25" s="3">
        <f t="shared" si="2"/>
        <v>52917036</v>
      </c>
    </row>
    <row r="26" spans="2:7" ht="15" thickBot="1" x14ac:dyDescent="0.35"/>
    <row r="27" spans="2:7" ht="15" thickBot="1" x14ac:dyDescent="0.35">
      <c r="B27" s="16" t="s">
        <v>305</v>
      </c>
      <c r="C27" s="305">
        <f>C15+C25</f>
        <v>160383582</v>
      </c>
      <c r="D27" s="305">
        <f t="shared" ref="D27:G27" si="3">D15+D25</f>
        <v>154974414</v>
      </c>
      <c r="E27" s="305">
        <f t="shared" si="3"/>
        <v>146366003</v>
      </c>
      <c r="F27" s="305">
        <f t="shared" si="3"/>
        <v>140993225</v>
      </c>
      <c r="G27" s="305">
        <f t="shared" si="3"/>
        <v>161557656</v>
      </c>
    </row>
    <row r="30" spans="2:7" x14ac:dyDescent="0.3">
      <c r="B30" s="311" t="s">
        <v>306</v>
      </c>
    </row>
    <row r="31" spans="2:7" x14ac:dyDescent="0.3">
      <c r="B31" s="310"/>
    </row>
    <row r="32" spans="2:7" x14ac:dyDescent="0.3">
      <c r="B32" s="311" t="s">
        <v>307</v>
      </c>
    </row>
    <row r="33" spans="2:10" x14ac:dyDescent="0.3">
      <c r="B33" t="s">
        <v>308</v>
      </c>
      <c r="C33" s="3">
        <v>52345110</v>
      </c>
      <c r="D33" s="3">
        <v>52345110</v>
      </c>
      <c r="E33" s="3">
        <v>52345110</v>
      </c>
      <c r="F33" s="3">
        <v>52345110</v>
      </c>
      <c r="G33" s="3">
        <v>52345110</v>
      </c>
      <c r="J33" s="3">
        <v>183031</v>
      </c>
    </row>
    <row r="34" spans="2:10" x14ac:dyDescent="0.3">
      <c r="B34" t="s">
        <v>309</v>
      </c>
      <c r="C34" s="3">
        <v>-712887952</v>
      </c>
      <c r="D34" s="3">
        <v>-651151053</v>
      </c>
      <c r="E34" s="3">
        <v>-560770551</v>
      </c>
      <c r="F34" s="3">
        <v>4443786</v>
      </c>
      <c r="G34" s="3">
        <v>4452342</v>
      </c>
      <c r="J34" s="3">
        <v>-2492698</v>
      </c>
    </row>
    <row r="35" spans="2:10" x14ac:dyDescent="0.3">
      <c r="B35" t="s">
        <v>310</v>
      </c>
      <c r="C35" s="3">
        <v>11096287</v>
      </c>
      <c r="D35" s="3">
        <v>11132055</v>
      </c>
      <c r="E35" s="3">
        <v>10961836</v>
      </c>
      <c r="F35" s="3">
        <v>11039369</v>
      </c>
      <c r="G35" s="3">
        <v>9664111</v>
      </c>
      <c r="J35" s="3">
        <v>38799</v>
      </c>
    </row>
    <row r="36" spans="2:10" ht="15" thickBot="1" x14ac:dyDescent="0.35">
      <c r="B36" t="s">
        <v>343</v>
      </c>
      <c r="C36" s="3">
        <v>0</v>
      </c>
      <c r="D36" s="3">
        <v>0</v>
      </c>
      <c r="E36" s="3">
        <v>0</v>
      </c>
      <c r="F36" s="3">
        <v>-516595078</v>
      </c>
      <c r="G36" s="3">
        <v>-482871287</v>
      </c>
      <c r="J36" s="3">
        <v>0</v>
      </c>
    </row>
    <row r="37" spans="2:10" x14ac:dyDescent="0.3">
      <c r="C37" s="304">
        <f>SUM(C33:C36)</f>
        <v>-649446555</v>
      </c>
      <c r="D37" s="304">
        <f>SUM(D33:D36)</f>
        <v>-587673888</v>
      </c>
      <c r="E37" s="304">
        <f>SUM(E33:E36)</f>
        <v>-497463605</v>
      </c>
      <c r="F37" s="304">
        <f>SUM(F33:F36)</f>
        <v>-448766813</v>
      </c>
      <c r="G37" s="304">
        <f>SUM(G33:G36)</f>
        <v>-416409724</v>
      </c>
      <c r="J37" s="304">
        <f>SUM(J33:J36)</f>
        <v>-2270868</v>
      </c>
    </row>
    <row r="39" spans="2:10" x14ac:dyDescent="0.3">
      <c r="B39" s="16" t="s">
        <v>311</v>
      </c>
    </row>
    <row r="40" spans="2:10" x14ac:dyDescent="0.3">
      <c r="B40" t="s">
        <v>312</v>
      </c>
      <c r="C40" s="312">
        <v>277926348</v>
      </c>
      <c r="D40" s="312">
        <v>289391056</v>
      </c>
      <c r="E40" s="312">
        <v>272685376</v>
      </c>
      <c r="F40" s="312">
        <v>214644605</v>
      </c>
      <c r="G40" s="312">
        <v>191517237</v>
      </c>
      <c r="J40" s="332">
        <v>971803</v>
      </c>
    </row>
    <row r="41" spans="2:10" x14ac:dyDescent="0.3">
      <c r="B41" t="s">
        <v>313</v>
      </c>
      <c r="C41" s="308">
        <v>21799471</v>
      </c>
      <c r="D41" s="308">
        <v>16326395</v>
      </c>
      <c r="E41" s="308">
        <v>10348383</v>
      </c>
      <c r="F41" s="308">
        <v>8316074</v>
      </c>
      <c r="G41" s="308">
        <v>15533339</v>
      </c>
      <c r="J41" s="333">
        <v>76224</v>
      </c>
    </row>
    <row r="42" spans="2:10" x14ac:dyDescent="0.3">
      <c r="B42" t="s">
        <v>314</v>
      </c>
      <c r="C42" s="308">
        <v>11653289</v>
      </c>
      <c r="D42" s="308">
        <v>9262852</v>
      </c>
      <c r="E42" s="308">
        <v>7259407</v>
      </c>
      <c r="F42" s="308">
        <v>6589987</v>
      </c>
      <c r="G42" s="308">
        <v>6393348</v>
      </c>
      <c r="J42" s="333">
        <v>40747</v>
      </c>
    </row>
    <row r="43" spans="2:10" x14ac:dyDescent="0.3">
      <c r="B43" t="s">
        <v>315</v>
      </c>
      <c r="C43" s="307">
        <v>50516827</v>
      </c>
      <c r="D43" s="307">
        <v>47074376</v>
      </c>
      <c r="E43" s="307">
        <v>39821428</v>
      </c>
      <c r="F43" s="307">
        <v>37956494</v>
      </c>
      <c r="G43" s="307">
        <v>39878166</v>
      </c>
      <c r="J43" s="334">
        <v>176638</v>
      </c>
    </row>
    <row r="44" spans="2:10" x14ac:dyDescent="0.3">
      <c r="C44" s="3">
        <f>SUM(C40:C43)</f>
        <v>361895935</v>
      </c>
      <c r="D44" s="3">
        <f t="shared" ref="D44:G44" si="4">SUM(D40:D43)</f>
        <v>362054679</v>
      </c>
      <c r="E44" s="3">
        <f t="shared" si="4"/>
        <v>330114594</v>
      </c>
      <c r="F44" s="3">
        <f t="shared" si="4"/>
        <v>267507160</v>
      </c>
      <c r="G44" s="3">
        <f t="shared" si="4"/>
        <v>253322090</v>
      </c>
      <c r="J44" s="3">
        <f t="shared" ref="J44" si="5">SUM(J40:J43)</f>
        <v>1265412</v>
      </c>
    </row>
    <row r="46" spans="2:10" x14ac:dyDescent="0.3">
      <c r="B46" s="16" t="s">
        <v>316</v>
      </c>
    </row>
    <row r="47" spans="2:10" x14ac:dyDescent="0.3">
      <c r="B47" s="315" t="s">
        <v>241</v>
      </c>
      <c r="C47" s="312">
        <v>269018532</v>
      </c>
      <c r="D47" s="312">
        <v>230195252</v>
      </c>
      <c r="E47" s="312">
        <v>192089706</v>
      </c>
      <c r="F47" s="312">
        <v>193602208</v>
      </c>
      <c r="G47" s="312">
        <v>189210795</v>
      </c>
      <c r="J47" s="332">
        <v>940655</v>
      </c>
    </row>
    <row r="48" spans="2:10" x14ac:dyDescent="0.3">
      <c r="B48" s="315" t="s">
        <v>317</v>
      </c>
      <c r="C48" s="308">
        <v>3297</v>
      </c>
      <c r="D48" s="308">
        <v>3297</v>
      </c>
      <c r="E48" s="308">
        <v>3297</v>
      </c>
      <c r="F48" s="308">
        <v>3297</v>
      </c>
      <c r="G48" s="308">
        <v>3297</v>
      </c>
      <c r="J48" s="333">
        <v>12</v>
      </c>
    </row>
    <row r="49" spans="2:13" x14ac:dyDescent="0.3">
      <c r="B49" t="s">
        <v>318</v>
      </c>
      <c r="C49" s="308">
        <v>66936998</v>
      </c>
      <c r="D49" s="308">
        <v>50002025</v>
      </c>
      <c r="E49" s="308">
        <v>32378420</v>
      </c>
      <c r="F49" s="308">
        <v>25804384</v>
      </c>
      <c r="G49" s="308">
        <v>22255402</v>
      </c>
      <c r="J49" s="333">
        <v>234053</v>
      </c>
    </row>
    <row r="50" spans="2:13" x14ac:dyDescent="0.3">
      <c r="B50" t="s">
        <v>301</v>
      </c>
      <c r="C50" s="308">
        <v>3513750</v>
      </c>
      <c r="D50" s="308">
        <v>2629942</v>
      </c>
      <c r="E50" s="308">
        <v>1182288</v>
      </c>
      <c r="F50" s="308">
        <v>655598</v>
      </c>
      <c r="G50" s="308">
        <v>717719</v>
      </c>
      <c r="J50" s="333">
        <v>12286</v>
      </c>
    </row>
    <row r="51" spans="2:13" x14ac:dyDescent="0.3">
      <c r="B51" t="s">
        <v>319</v>
      </c>
      <c r="C51" s="308">
        <v>30880733</v>
      </c>
      <c r="D51" s="308">
        <v>30388449</v>
      </c>
      <c r="E51" s="308">
        <v>30580489</v>
      </c>
      <c r="F51" s="308">
        <v>30576613</v>
      </c>
      <c r="G51" s="308">
        <v>31580219</v>
      </c>
      <c r="J51" s="333">
        <v>107978</v>
      </c>
    </row>
    <row r="52" spans="2:13" x14ac:dyDescent="0.3">
      <c r="B52" t="s">
        <v>320</v>
      </c>
      <c r="C52" s="307">
        <v>77580888</v>
      </c>
      <c r="D52" s="307">
        <v>67374659</v>
      </c>
      <c r="E52" s="307">
        <v>57480844</v>
      </c>
      <c r="F52" s="307">
        <v>71610778</v>
      </c>
      <c r="G52" s="307">
        <v>80877768</v>
      </c>
      <c r="J52" s="334">
        <v>271271</v>
      </c>
    </row>
    <row r="53" spans="2:13" x14ac:dyDescent="0.3">
      <c r="C53" s="3">
        <f>SUM(C47:C52)</f>
        <v>447934198</v>
      </c>
      <c r="D53" s="3">
        <f t="shared" ref="D53:G53" si="6">SUM(D47:D52)</f>
        <v>380593624</v>
      </c>
      <c r="E53" s="3">
        <f t="shared" si="6"/>
        <v>313715044</v>
      </c>
      <c r="F53" s="3">
        <f t="shared" si="6"/>
        <v>322252878</v>
      </c>
      <c r="G53" s="3">
        <f t="shared" si="6"/>
        <v>324645200</v>
      </c>
      <c r="J53" s="3">
        <f>SUM(J47:J52)</f>
        <v>1566255</v>
      </c>
    </row>
    <row r="54" spans="2:13" ht="15" thickBot="1" x14ac:dyDescent="0.35"/>
    <row r="55" spans="2:13" ht="15" thickBot="1" x14ac:dyDescent="0.35">
      <c r="B55" t="s">
        <v>321</v>
      </c>
      <c r="C55" s="305">
        <f>C44+C53+C37</f>
        <v>160383578</v>
      </c>
      <c r="D55" s="305">
        <f t="shared" ref="D55:G55" si="7">D44+D53+D37</f>
        <v>154974415</v>
      </c>
      <c r="E55" s="305">
        <f t="shared" si="7"/>
        <v>146366033</v>
      </c>
      <c r="F55" s="305">
        <f t="shared" si="7"/>
        <v>140993225</v>
      </c>
      <c r="G55" s="305">
        <f t="shared" si="7"/>
        <v>161557566</v>
      </c>
    </row>
    <row r="57" spans="2:13" ht="16.2" x14ac:dyDescent="0.3">
      <c r="B57" t="s">
        <v>371</v>
      </c>
      <c r="C57" s="123">
        <f>C40+C41+C51+C52+C49</f>
        <v>475124438</v>
      </c>
      <c r="J57" s="123">
        <f>J40+J41+J51+J52</f>
        <v>1427276</v>
      </c>
      <c r="M57" s="38"/>
    </row>
    <row r="59" spans="2:13" x14ac:dyDescent="0.3">
      <c r="B59" t="s">
        <v>8</v>
      </c>
      <c r="J59" s="123">
        <f>J37</f>
        <v>-2270868</v>
      </c>
    </row>
    <row r="61" spans="2:13" x14ac:dyDescent="0.3">
      <c r="B61" s="60" t="s">
        <v>41</v>
      </c>
    </row>
    <row r="62" spans="2:13" x14ac:dyDescent="0.3">
      <c r="B62" s="379" t="s">
        <v>372</v>
      </c>
      <c r="C62" s="379"/>
      <c r="D62" s="379"/>
      <c r="E62" s="379"/>
      <c r="F62" s="379"/>
    </row>
    <row r="63" spans="2:13" x14ac:dyDescent="0.3">
      <c r="B63" s="379"/>
      <c r="C63" s="379"/>
      <c r="D63" s="379"/>
      <c r="E63" s="379"/>
      <c r="F63" s="379"/>
    </row>
    <row r="64" spans="2:13" x14ac:dyDescent="0.3">
      <c r="B64" s="379"/>
      <c r="C64" s="379"/>
      <c r="D64" s="379"/>
      <c r="E64" s="379"/>
      <c r="F64" s="379"/>
    </row>
    <row r="65" spans="2:6" x14ac:dyDescent="0.3">
      <c r="B65" s="379"/>
      <c r="C65" s="379"/>
      <c r="D65" s="379"/>
      <c r="E65" s="379"/>
      <c r="F65" s="379"/>
    </row>
    <row r="66" spans="2:6" x14ac:dyDescent="0.3">
      <c r="B66" s="379"/>
      <c r="C66" s="379"/>
      <c r="D66" s="379"/>
      <c r="E66" s="379"/>
      <c r="F66" s="379"/>
    </row>
    <row r="67" spans="2:6" x14ac:dyDescent="0.3">
      <c r="B67" s="379"/>
      <c r="C67" s="379"/>
      <c r="D67" s="379"/>
      <c r="E67" s="379"/>
      <c r="F67" s="379"/>
    </row>
    <row r="68" spans="2:6" x14ac:dyDescent="0.3">
      <c r="B68" s="379"/>
      <c r="C68" s="379"/>
      <c r="D68" s="379"/>
      <c r="E68" s="379"/>
      <c r="F68" s="379"/>
    </row>
    <row r="69" spans="2:6" x14ac:dyDescent="0.3">
      <c r="B69" s="379"/>
      <c r="C69" s="379"/>
      <c r="D69" s="379"/>
      <c r="E69" s="379"/>
      <c r="F69" s="379"/>
    </row>
    <row r="70" spans="2:6" x14ac:dyDescent="0.3">
      <c r="B70" s="379"/>
      <c r="C70" s="379"/>
      <c r="D70" s="379"/>
      <c r="E70" s="379"/>
      <c r="F70" s="379"/>
    </row>
    <row r="71" spans="2:6" x14ac:dyDescent="0.3">
      <c r="B71" s="379"/>
      <c r="C71" s="379"/>
      <c r="D71" s="379"/>
      <c r="E71" s="379"/>
      <c r="F71" s="379"/>
    </row>
    <row r="72" spans="2:6" x14ac:dyDescent="0.3">
      <c r="B72" s="379"/>
      <c r="C72" s="379"/>
      <c r="D72" s="379"/>
      <c r="E72" s="379"/>
      <c r="F72" s="379"/>
    </row>
    <row r="73" spans="2:6" x14ac:dyDescent="0.3">
      <c r="B73" s="379"/>
      <c r="C73" s="379"/>
      <c r="D73" s="379"/>
      <c r="E73" s="379"/>
      <c r="F73" s="379"/>
    </row>
    <row r="74" spans="2:6" x14ac:dyDescent="0.3">
      <c r="B74" s="379"/>
      <c r="C74" s="379"/>
      <c r="D74" s="379"/>
      <c r="E74" s="379"/>
      <c r="F74" s="379"/>
    </row>
    <row r="75" spans="2:6" x14ac:dyDescent="0.3">
      <c r="B75" s="379"/>
      <c r="C75" s="379"/>
      <c r="D75" s="379"/>
      <c r="E75" s="379"/>
      <c r="F75" s="379"/>
    </row>
    <row r="76" spans="2:6" x14ac:dyDescent="0.3">
      <c r="B76" s="379"/>
      <c r="C76" s="379"/>
      <c r="D76" s="379"/>
      <c r="E76" s="379"/>
      <c r="F76" s="379"/>
    </row>
  </sheetData>
  <mergeCells count="3">
    <mergeCell ref="C3:G3"/>
    <mergeCell ref="B2:C2"/>
    <mergeCell ref="B62:F7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16A23-5780-48F5-AEC1-BFC5FDCC46C6}">
  <dimension ref="B1:Q102"/>
  <sheetViews>
    <sheetView showGridLines="0" workbookViewId="0">
      <pane ySplit="1" topLeftCell="A83" activePane="bottomLeft" state="frozen"/>
      <selection activeCell="C26" activeCellId="1" sqref="B1 C26"/>
      <selection pane="bottomLeft" activeCell="C107" sqref="C107"/>
    </sheetView>
  </sheetViews>
  <sheetFormatPr defaultRowHeight="14.4" outlineLevelRow="1" x14ac:dyDescent="0.3"/>
  <cols>
    <col min="1" max="1" width="4" style="184" customWidth="1"/>
    <col min="2" max="2" width="72.109375" style="318" customWidth="1"/>
    <col min="3" max="3" width="18.21875" style="318" customWidth="1"/>
    <col min="4" max="4" width="18" style="318" customWidth="1"/>
    <col min="5" max="5" width="21.44140625" style="318" customWidth="1"/>
    <col min="6" max="6" width="17.21875" style="318" customWidth="1"/>
    <col min="7" max="7" width="19.5546875" style="318" customWidth="1"/>
    <col min="8" max="16384" width="8.88671875" style="184"/>
  </cols>
  <sheetData>
    <row r="1" spans="2:9" x14ac:dyDescent="0.3">
      <c r="B1" s="184"/>
      <c r="C1" s="184"/>
      <c r="D1" s="184"/>
      <c r="E1" s="184"/>
      <c r="F1" s="184"/>
      <c r="G1" s="184"/>
    </row>
    <row r="2" spans="2:9" x14ac:dyDescent="0.3">
      <c r="B2" s="363" t="str">
        <f>"Raw Cashflow Statement"&amp;" - "&amp;WACC!$B$12</f>
        <v>Raw Cashflow Statement - Pakistan International Airlines</v>
      </c>
      <c r="C2" s="363"/>
      <c r="D2" s="53"/>
      <c r="E2" s="53"/>
      <c r="F2" s="53"/>
      <c r="G2" s="53"/>
      <c r="H2" s="53"/>
      <c r="I2" s="53"/>
    </row>
    <row r="3" spans="2:9" x14ac:dyDescent="0.3">
      <c r="B3" s="184"/>
      <c r="C3" s="184"/>
      <c r="D3" s="184"/>
      <c r="E3" s="184"/>
      <c r="F3" s="184"/>
      <c r="G3" s="184"/>
    </row>
    <row r="4" spans="2:9" ht="13.5" hidden="1" customHeight="1" outlineLevel="1" x14ac:dyDescent="0.3">
      <c r="B4" s="185" t="s">
        <v>222</v>
      </c>
      <c r="C4" s="186">
        <v>2023</v>
      </c>
      <c r="D4" s="186">
        <f>C4-1</f>
        <v>2022</v>
      </c>
      <c r="E4" s="184"/>
      <c r="F4" s="184"/>
      <c r="G4" s="184"/>
    </row>
    <row r="5" spans="2:9" ht="16.2" hidden="1" customHeight="1" outlineLevel="1" x14ac:dyDescent="0.3">
      <c r="B5" s="187" t="s">
        <v>223</v>
      </c>
      <c r="C5" s="188">
        <v>10353100</v>
      </c>
      <c r="D5" s="188">
        <v>8366367</v>
      </c>
      <c r="E5" s="184"/>
      <c r="F5" s="184"/>
      <c r="G5" s="184"/>
    </row>
    <row r="6" spans="2:9" ht="16.2" hidden="1" customHeight="1" outlineLevel="1" x14ac:dyDescent="0.3">
      <c r="B6" s="187"/>
      <c r="C6" s="188"/>
      <c r="D6" s="188"/>
      <c r="E6" s="184"/>
      <c r="F6" s="184"/>
      <c r="G6" s="184"/>
    </row>
    <row r="7" spans="2:9" ht="19.2" hidden="1" customHeight="1" outlineLevel="1" x14ac:dyDescent="0.3">
      <c r="B7" s="189" t="s">
        <v>224</v>
      </c>
      <c r="C7" s="190"/>
      <c r="D7" s="191"/>
      <c r="E7" s="184"/>
      <c r="F7" s="184"/>
      <c r="G7" s="184"/>
    </row>
    <row r="8" spans="2:9" ht="14.7" hidden="1" customHeight="1" outlineLevel="1" x14ac:dyDescent="0.3">
      <c r="B8" s="187" t="s">
        <v>225</v>
      </c>
      <c r="C8" s="192"/>
      <c r="D8" s="193"/>
      <c r="E8" s="184"/>
      <c r="F8" s="184"/>
      <c r="G8" s="184"/>
    </row>
    <row r="9" spans="2:9" ht="15.45" hidden="1" customHeight="1" outlineLevel="1" x14ac:dyDescent="0.3">
      <c r="B9" s="187" t="s">
        <v>226</v>
      </c>
      <c r="C9" s="194"/>
      <c r="D9" s="195"/>
      <c r="E9" s="184"/>
      <c r="F9" s="184"/>
      <c r="G9" s="184"/>
    </row>
    <row r="10" spans="2:9" ht="15.45" hidden="1" customHeight="1" outlineLevel="1" x14ac:dyDescent="0.3">
      <c r="B10" s="187" t="s">
        <v>227</v>
      </c>
      <c r="C10" s="196"/>
      <c r="D10" s="195"/>
      <c r="E10" s="184"/>
      <c r="F10" s="184"/>
      <c r="G10" s="184"/>
    </row>
    <row r="11" spans="2:9" ht="15.3" hidden="1" customHeight="1" outlineLevel="1" x14ac:dyDescent="0.3">
      <c r="B11" s="187" t="s">
        <v>228</v>
      </c>
      <c r="C11" s="194"/>
      <c r="D11" s="195"/>
      <c r="E11" s="184"/>
      <c r="F11" s="184"/>
      <c r="G11" s="184"/>
    </row>
    <row r="12" spans="2:9" ht="15.45" hidden="1" customHeight="1" outlineLevel="1" x14ac:dyDescent="0.3">
      <c r="B12" s="187" t="s">
        <v>229</v>
      </c>
      <c r="C12" s="196"/>
      <c r="D12" s="195"/>
      <c r="E12" s="184"/>
      <c r="F12" s="184"/>
      <c r="G12" s="184"/>
    </row>
    <row r="13" spans="2:9" ht="15.45" hidden="1" customHeight="1" outlineLevel="1" x14ac:dyDescent="0.3">
      <c r="B13" s="187" t="s">
        <v>230</v>
      </c>
      <c r="C13" s="194"/>
      <c r="D13" s="195"/>
      <c r="E13" s="184"/>
      <c r="F13" s="184"/>
      <c r="G13" s="184"/>
    </row>
    <row r="14" spans="2:9" ht="15.45" hidden="1" customHeight="1" outlineLevel="1" x14ac:dyDescent="0.3">
      <c r="B14" s="187" t="s">
        <v>231</v>
      </c>
      <c r="C14" s="197"/>
      <c r="D14" s="195"/>
      <c r="E14" s="184"/>
      <c r="F14" s="184"/>
      <c r="G14" s="184"/>
    </row>
    <row r="15" spans="2:9" ht="16.2" hidden="1" customHeight="1" outlineLevel="1" x14ac:dyDescent="0.3">
      <c r="B15" s="187" t="s">
        <v>232</v>
      </c>
      <c r="C15" s="198"/>
      <c r="D15" s="199"/>
      <c r="E15" s="184"/>
      <c r="F15" s="184"/>
      <c r="G15" s="184"/>
    </row>
    <row r="16" spans="2:9" ht="14.25" hidden="1" customHeight="1" outlineLevel="1" x14ac:dyDescent="0.3">
      <c r="B16" s="200"/>
      <c r="C16" s="201"/>
      <c r="D16" s="201"/>
      <c r="E16" s="184"/>
      <c r="F16" s="184"/>
      <c r="G16" s="184"/>
    </row>
    <row r="17" spans="2:7" ht="16.05" hidden="1" customHeight="1" outlineLevel="1" x14ac:dyDescent="0.3">
      <c r="B17" s="200"/>
      <c r="C17" s="202"/>
      <c r="D17" s="202"/>
      <c r="E17" s="184"/>
      <c r="F17" s="184"/>
      <c r="G17" s="184"/>
    </row>
    <row r="18" spans="2:7" ht="17.55" hidden="1" customHeight="1" outlineLevel="1" x14ac:dyDescent="0.3">
      <c r="B18" s="189" t="s">
        <v>233</v>
      </c>
      <c r="C18" s="203"/>
      <c r="D18" s="204"/>
      <c r="E18" s="184"/>
      <c r="F18" s="184"/>
      <c r="G18" s="184"/>
    </row>
    <row r="19" spans="2:7" ht="13.5" hidden="1" customHeight="1" outlineLevel="1" x14ac:dyDescent="0.3">
      <c r="B19" s="187" t="s">
        <v>234</v>
      </c>
      <c r="C19" s="205"/>
      <c r="D19" s="206"/>
      <c r="E19" s="184"/>
      <c r="F19" s="184"/>
      <c r="G19" s="184"/>
    </row>
    <row r="20" spans="2:7" ht="16.05" hidden="1" customHeight="1" outlineLevel="1" x14ac:dyDescent="0.3">
      <c r="B20" s="187" t="s">
        <v>235</v>
      </c>
      <c r="C20" s="207"/>
      <c r="D20" s="208"/>
      <c r="E20" s="184"/>
      <c r="F20" s="184"/>
      <c r="G20" s="184"/>
    </row>
    <row r="21" spans="2:7" ht="15" hidden="1" customHeight="1" outlineLevel="1" x14ac:dyDescent="0.3">
      <c r="B21" s="187" t="s">
        <v>236</v>
      </c>
      <c r="C21" s="207"/>
      <c r="D21" s="208"/>
      <c r="E21" s="184"/>
      <c r="F21" s="184"/>
      <c r="G21" s="184"/>
    </row>
    <row r="22" spans="2:7" ht="15.45" hidden="1" customHeight="1" outlineLevel="1" x14ac:dyDescent="0.3">
      <c r="B22" s="187" t="s">
        <v>237</v>
      </c>
      <c r="C22" s="207"/>
      <c r="D22" s="208"/>
      <c r="E22" s="184"/>
      <c r="F22" s="184"/>
      <c r="G22" s="184"/>
    </row>
    <row r="23" spans="2:7" ht="15.45" hidden="1" customHeight="1" outlineLevel="1" x14ac:dyDescent="0.3">
      <c r="B23" s="187" t="s">
        <v>238</v>
      </c>
      <c r="C23" s="209"/>
      <c r="D23" s="208"/>
      <c r="E23" s="184"/>
      <c r="F23" s="184"/>
      <c r="G23" s="184"/>
    </row>
    <row r="24" spans="2:7" ht="15.3" hidden="1" customHeight="1" outlineLevel="1" x14ac:dyDescent="0.3">
      <c r="B24" s="187" t="s">
        <v>239</v>
      </c>
      <c r="C24" s="207"/>
      <c r="D24" s="208"/>
      <c r="E24" s="184"/>
      <c r="F24" s="184"/>
      <c r="G24" s="184"/>
    </row>
    <row r="25" spans="2:7" ht="15.45" hidden="1" customHeight="1" outlineLevel="1" x14ac:dyDescent="0.3">
      <c r="B25" s="187" t="s">
        <v>240</v>
      </c>
      <c r="C25" s="209"/>
      <c r="D25" s="208"/>
      <c r="E25" s="184"/>
      <c r="F25" s="184"/>
      <c r="G25" s="184"/>
    </row>
    <row r="26" spans="2:7" ht="15.75" hidden="1" customHeight="1" outlineLevel="1" x14ac:dyDescent="0.3">
      <c r="B26" s="187" t="s">
        <v>241</v>
      </c>
      <c r="C26" s="209"/>
      <c r="D26" s="208"/>
      <c r="E26" s="184"/>
      <c r="F26" s="184"/>
      <c r="G26" s="184"/>
    </row>
    <row r="27" spans="2:7" ht="16.5" hidden="1" customHeight="1" outlineLevel="1" x14ac:dyDescent="0.3">
      <c r="B27" s="187" t="s">
        <v>242</v>
      </c>
      <c r="C27" s="210"/>
      <c r="D27" s="211"/>
      <c r="E27" s="184"/>
      <c r="F27" s="184"/>
      <c r="G27" s="184"/>
    </row>
    <row r="28" spans="2:7" ht="14.25" hidden="1" customHeight="1" outlineLevel="1" x14ac:dyDescent="0.3">
      <c r="B28" s="200"/>
      <c r="C28" s="212"/>
      <c r="D28" s="212"/>
      <c r="E28" s="184"/>
      <c r="F28" s="184"/>
      <c r="G28" s="184"/>
    </row>
    <row r="29" spans="2:7" ht="13.5" hidden="1" customHeight="1" outlineLevel="1" x14ac:dyDescent="0.3">
      <c r="B29" s="185" t="s">
        <v>243</v>
      </c>
      <c r="C29" s="213">
        <f>C28+C17</f>
        <v>0</v>
      </c>
      <c r="D29" s="213">
        <f>D28+D17</f>
        <v>0</v>
      </c>
      <c r="E29" s="184"/>
      <c r="F29" s="184"/>
      <c r="G29" s="184"/>
    </row>
    <row r="30" spans="2:7" hidden="1" outlineLevel="1" x14ac:dyDescent="0.3">
      <c r="B30" s="184"/>
      <c r="C30" s="214"/>
      <c r="D30" s="214"/>
      <c r="E30" s="184"/>
      <c r="F30" s="184"/>
      <c r="G30" s="184"/>
    </row>
    <row r="31" spans="2:7" hidden="1" outlineLevel="1" x14ac:dyDescent="0.3">
      <c r="B31" s="184"/>
      <c r="C31" s="214"/>
      <c r="D31" s="214"/>
      <c r="E31" s="184"/>
      <c r="F31" s="184"/>
      <c r="G31" s="184"/>
    </row>
    <row r="32" spans="2:7" hidden="1" outlineLevel="1" x14ac:dyDescent="0.3">
      <c r="B32" s="215" t="s">
        <v>244</v>
      </c>
      <c r="C32" s="216">
        <f>C29</f>
        <v>0</v>
      </c>
      <c r="D32" s="216">
        <f>D29</f>
        <v>0</v>
      </c>
      <c r="E32" s="184"/>
      <c r="F32" s="184"/>
      <c r="G32" s="184"/>
    </row>
    <row r="33" spans="2:17" hidden="1" outlineLevel="1" x14ac:dyDescent="0.3">
      <c r="B33" s="217"/>
      <c r="C33" s="218"/>
      <c r="D33" s="218"/>
      <c r="E33" s="184"/>
      <c r="F33" s="184"/>
      <c r="G33" s="184"/>
    </row>
    <row r="34" spans="2:17" hidden="1" outlineLevel="1" x14ac:dyDescent="0.3">
      <c r="B34" s="217"/>
      <c r="C34" s="218"/>
      <c r="D34" s="218"/>
      <c r="E34" s="184"/>
      <c r="F34" s="184"/>
      <c r="G34" s="184"/>
    </row>
    <row r="35" spans="2:17" hidden="1" outlineLevel="1" x14ac:dyDescent="0.3">
      <c r="B35" s="217" t="s">
        <v>245</v>
      </c>
      <c r="C35" s="219"/>
      <c r="D35" s="220"/>
      <c r="E35" s="184"/>
      <c r="F35" s="184"/>
      <c r="G35" s="184"/>
    </row>
    <row r="36" spans="2:17" hidden="1" outlineLevel="1" x14ac:dyDescent="0.3">
      <c r="B36" s="217" t="s">
        <v>246</v>
      </c>
      <c r="C36" s="221"/>
      <c r="D36" s="222"/>
      <c r="E36" s="184"/>
      <c r="F36" s="184"/>
      <c r="G36" s="184"/>
    </row>
    <row r="37" spans="2:17" hidden="1" outlineLevel="1" x14ac:dyDescent="0.3">
      <c r="B37" s="217" t="s">
        <v>247</v>
      </c>
      <c r="C37" s="223"/>
      <c r="D37" s="222"/>
      <c r="E37" s="184"/>
      <c r="F37" s="184"/>
      <c r="G37" s="184"/>
    </row>
    <row r="38" spans="2:17" hidden="1" outlineLevel="1" x14ac:dyDescent="0.3">
      <c r="B38" s="215" t="s">
        <v>248</v>
      </c>
      <c r="C38" s="224">
        <f>SUM(C32:C37)</f>
        <v>0</v>
      </c>
      <c r="D38" s="224">
        <f>SUM(D32:D37)</f>
        <v>0</v>
      </c>
      <c r="E38" s="184"/>
      <c r="F38" s="184"/>
      <c r="G38" s="184"/>
    </row>
    <row r="39" spans="2:17" collapsed="1" x14ac:dyDescent="0.3">
      <c r="B39" s="217"/>
      <c r="C39" s="390" t="str">
        <f>C60</f>
        <v>Rs 000</v>
      </c>
      <c r="D39" s="390"/>
      <c r="E39" s="390"/>
      <c r="F39" s="390"/>
      <c r="G39" s="390"/>
    </row>
    <row r="40" spans="2:17" x14ac:dyDescent="0.3">
      <c r="B40" s="217"/>
      <c r="C40" s="303">
        <v>45107</v>
      </c>
      <c r="D40" s="303">
        <v>44926</v>
      </c>
      <c r="E40" s="303">
        <f>D40-365</f>
        <v>44561</v>
      </c>
      <c r="F40" s="303">
        <f t="shared" ref="F40" si="0">E40-365</f>
        <v>44196</v>
      </c>
      <c r="G40" s="303">
        <f>F40-366</f>
        <v>43830</v>
      </c>
    </row>
    <row r="41" spans="2:17" outlineLevel="1" x14ac:dyDescent="0.3">
      <c r="B41" s="215" t="s">
        <v>249</v>
      </c>
      <c r="C41" s="184"/>
      <c r="D41" s="184"/>
      <c r="E41" s="184"/>
      <c r="F41" s="184"/>
      <c r="G41" s="184"/>
    </row>
    <row r="42" spans="2:17" ht="3.6" customHeight="1" outlineLevel="1" x14ac:dyDescent="0.3">
      <c r="B42" s="215"/>
      <c r="C42" s="184"/>
      <c r="D42" s="184"/>
      <c r="E42" s="184"/>
      <c r="F42" s="184"/>
      <c r="G42" s="184"/>
    </row>
    <row r="43" spans="2:17" outlineLevel="1" x14ac:dyDescent="0.3">
      <c r="B43" s="217" t="s">
        <v>250</v>
      </c>
      <c r="C43" s="247">
        <v>-437354</v>
      </c>
      <c r="D43" s="247">
        <v>-3887559</v>
      </c>
      <c r="E43" s="247">
        <v>-1816805</v>
      </c>
      <c r="F43" s="247">
        <v>-3008178</v>
      </c>
      <c r="G43" s="247">
        <v>-12707393</v>
      </c>
      <c r="H43" s="225" t="s">
        <v>47</v>
      </c>
      <c r="I43" s="226"/>
      <c r="J43" s="226"/>
      <c r="K43" s="226"/>
      <c r="L43" s="226"/>
      <c r="M43" s="226"/>
      <c r="N43" s="226"/>
      <c r="O43" s="226"/>
      <c r="P43" s="226"/>
      <c r="Q43" s="226"/>
    </row>
    <row r="44" spans="2:17" ht="14.4" customHeight="1" outlineLevel="1" x14ac:dyDescent="0.3">
      <c r="B44" s="217" t="s">
        <v>251</v>
      </c>
      <c r="C44" s="248">
        <v>-28</v>
      </c>
      <c r="D44" s="248">
        <v>11777</v>
      </c>
      <c r="E44" s="248">
        <v>23215</v>
      </c>
      <c r="F44" s="248">
        <v>1663708</v>
      </c>
      <c r="G44" s="248">
        <v>0</v>
      </c>
      <c r="H44" s="389" t="s">
        <v>261</v>
      </c>
      <c r="I44" s="389"/>
      <c r="J44" s="389"/>
      <c r="K44" s="389"/>
      <c r="L44" s="389"/>
      <c r="M44" s="389"/>
      <c r="N44" s="389"/>
      <c r="O44" s="389"/>
      <c r="P44" s="389"/>
      <c r="Q44" s="389"/>
    </row>
    <row r="45" spans="2:17" ht="15" outlineLevel="1" thickBot="1" x14ac:dyDescent="0.35">
      <c r="B45" s="215" t="s">
        <v>262</v>
      </c>
      <c r="C45" s="227">
        <f>SUM(C43:C44)</f>
        <v>-437382</v>
      </c>
      <c r="D45" s="227">
        <f>SUM(D43:D44)</f>
        <v>-3875782</v>
      </c>
      <c r="E45" s="227">
        <f t="shared" ref="E45:G45" si="1">SUM(E43:E44)</f>
        <v>-1793590</v>
      </c>
      <c r="F45" s="227">
        <f t="shared" si="1"/>
        <v>-1344470</v>
      </c>
      <c r="G45" s="227">
        <f t="shared" si="1"/>
        <v>-12707393</v>
      </c>
      <c r="H45" s="389"/>
      <c r="I45" s="389"/>
      <c r="J45" s="389"/>
      <c r="K45" s="389"/>
      <c r="L45" s="389"/>
      <c r="M45" s="389"/>
      <c r="N45" s="389"/>
      <c r="O45" s="389"/>
      <c r="P45" s="389"/>
      <c r="Q45" s="389"/>
    </row>
    <row r="46" spans="2:17" ht="15" thickTop="1" x14ac:dyDescent="0.3">
      <c r="B46" s="184"/>
      <c r="C46" s="228"/>
      <c r="D46" s="229"/>
      <c r="E46" s="184"/>
      <c r="F46" s="184"/>
      <c r="G46" s="184"/>
    </row>
    <row r="47" spans="2:17" hidden="1" outlineLevel="1" x14ac:dyDescent="0.3">
      <c r="B47" s="230" t="s">
        <v>252</v>
      </c>
      <c r="C47" s="218"/>
      <c r="D47" s="218"/>
      <c r="E47" s="184"/>
      <c r="F47" s="184"/>
      <c r="G47" s="184"/>
    </row>
    <row r="48" spans="2:17" hidden="1" outlineLevel="1" x14ac:dyDescent="0.3">
      <c r="B48" s="230"/>
      <c r="C48" s="218"/>
      <c r="D48" s="218"/>
      <c r="E48" s="184"/>
      <c r="F48" s="184"/>
      <c r="G48" s="184"/>
    </row>
    <row r="49" spans="2:7" hidden="1" outlineLevel="1" x14ac:dyDescent="0.3">
      <c r="B49" s="217" t="s">
        <v>253</v>
      </c>
      <c r="C49" s="231"/>
      <c r="D49" s="220"/>
      <c r="E49" s="184"/>
      <c r="F49" s="184"/>
      <c r="G49" s="184"/>
    </row>
    <row r="50" spans="2:7" hidden="1" outlineLevel="1" x14ac:dyDescent="0.3">
      <c r="B50" s="217" t="s">
        <v>254</v>
      </c>
      <c r="C50" s="221"/>
      <c r="D50" s="222"/>
      <c r="E50" s="184"/>
      <c r="F50" s="184"/>
      <c r="G50" s="184"/>
    </row>
    <row r="51" spans="2:7" hidden="1" outlineLevel="1" x14ac:dyDescent="0.3">
      <c r="B51" s="217" t="s">
        <v>255</v>
      </c>
      <c r="C51" s="223"/>
      <c r="D51" s="232"/>
      <c r="E51" s="184"/>
      <c r="F51" s="184"/>
      <c r="G51" s="184"/>
    </row>
    <row r="52" spans="2:7" hidden="1" outlineLevel="1" x14ac:dyDescent="0.3">
      <c r="B52" s="217" t="s">
        <v>256</v>
      </c>
      <c r="C52" s="233"/>
      <c r="D52" s="234"/>
      <c r="E52" s="184"/>
      <c r="F52" s="184"/>
      <c r="G52" s="184"/>
    </row>
    <row r="53" spans="2:7" hidden="1" outlineLevel="1" x14ac:dyDescent="0.3">
      <c r="B53" s="215" t="s">
        <v>257</v>
      </c>
      <c r="C53" s="228"/>
      <c r="D53" s="228"/>
      <c r="E53" s="184"/>
      <c r="F53" s="184"/>
      <c r="G53" s="184"/>
    </row>
    <row r="54" spans="2:7" hidden="1" outlineLevel="1" x14ac:dyDescent="0.3">
      <c r="B54" s="215"/>
      <c r="C54" s="228"/>
      <c r="D54" s="228"/>
      <c r="E54" s="184"/>
      <c r="F54" s="184"/>
      <c r="G54" s="184"/>
    </row>
    <row r="55" spans="2:7" hidden="1" outlineLevel="1" x14ac:dyDescent="0.3">
      <c r="B55" s="217" t="s">
        <v>258</v>
      </c>
      <c r="C55" s="235"/>
      <c r="D55" s="236"/>
      <c r="E55" s="184"/>
      <c r="F55" s="184"/>
      <c r="G55" s="184"/>
    </row>
    <row r="56" spans="2:7" hidden="1" outlineLevel="1" x14ac:dyDescent="0.3">
      <c r="B56" s="217" t="s">
        <v>259</v>
      </c>
      <c r="C56" s="237"/>
      <c r="D56" s="234"/>
      <c r="E56" s="184"/>
      <c r="F56" s="184"/>
      <c r="G56" s="184"/>
    </row>
    <row r="57" spans="2:7" ht="15" hidden="1" outlineLevel="1" thickBot="1" x14ac:dyDescent="0.35">
      <c r="B57" s="215" t="s">
        <v>260</v>
      </c>
      <c r="C57" s="238">
        <f>SUM(C55:C56)</f>
        <v>0</v>
      </c>
      <c r="D57" s="238">
        <f>SUM(D55:D56)</f>
        <v>0</v>
      </c>
      <c r="E57" s="184"/>
      <c r="F57" s="184"/>
      <c r="G57" s="184"/>
    </row>
    <row r="58" spans="2:7" collapsed="1" x14ac:dyDescent="0.3">
      <c r="B58" s="363" t="str">
        <f>"Raw Profit and Loss Statement"&amp;" - "&amp;WACC!$B$12</f>
        <v>Raw Profit and Loss Statement - Pakistan International Airlines</v>
      </c>
      <c r="C58" s="363"/>
      <c r="D58" s="53"/>
      <c r="E58" s="184"/>
      <c r="F58" s="184"/>
      <c r="G58" s="184"/>
    </row>
    <row r="59" spans="2:7" x14ac:dyDescent="0.3">
      <c r="B59" s="239"/>
      <c r="C59" s="240"/>
      <c r="D59" s="241"/>
      <c r="E59" s="184"/>
      <c r="F59" s="184"/>
      <c r="G59" s="184"/>
    </row>
    <row r="60" spans="2:7" x14ac:dyDescent="0.3">
      <c r="B60" s="184"/>
      <c r="C60" s="390" t="s">
        <v>299</v>
      </c>
      <c r="D60" s="390"/>
      <c r="E60" s="390"/>
      <c r="F60" s="390"/>
      <c r="G60" s="390"/>
    </row>
    <row r="61" spans="2:7" x14ac:dyDescent="0.3">
      <c r="B61" s="242"/>
      <c r="C61" s="303">
        <v>45107</v>
      </c>
      <c r="D61" s="303">
        <v>44926</v>
      </c>
      <c r="E61" s="303">
        <f>D61-365</f>
        <v>44561</v>
      </c>
      <c r="F61" s="303">
        <f t="shared" ref="F61" si="2">E61-365</f>
        <v>44196</v>
      </c>
      <c r="G61" s="303">
        <f>F61-366</f>
        <v>43830</v>
      </c>
    </row>
    <row r="62" spans="2:7" x14ac:dyDescent="0.3">
      <c r="B62" s="244"/>
      <c r="C62" s="243"/>
      <c r="D62" s="243"/>
      <c r="E62" s="184"/>
      <c r="F62" s="184"/>
      <c r="G62" s="184"/>
    </row>
    <row r="63" spans="2:7" x14ac:dyDescent="0.3">
      <c r="B63" s="318" t="s">
        <v>187</v>
      </c>
      <c r="C63" s="243">
        <v>120278451</v>
      </c>
      <c r="D63" s="243">
        <v>172038132</v>
      </c>
      <c r="E63" s="319">
        <v>86185394</v>
      </c>
      <c r="F63" s="319">
        <v>94989391</v>
      </c>
      <c r="G63" s="319">
        <v>147500129</v>
      </c>
    </row>
    <row r="64" spans="2:7" x14ac:dyDescent="0.3">
      <c r="B64" s="317"/>
      <c r="C64" s="245"/>
      <c r="D64" s="245"/>
    </row>
    <row r="65" spans="2:7" x14ac:dyDescent="0.3">
      <c r="B65" s="316" t="s">
        <v>322</v>
      </c>
      <c r="C65" s="243"/>
      <c r="D65" s="243"/>
      <c r="E65" s="319"/>
      <c r="F65" s="319"/>
      <c r="G65" s="319"/>
    </row>
    <row r="66" spans="2:7" x14ac:dyDescent="0.3">
      <c r="B66" s="318" t="s">
        <v>323</v>
      </c>
      <c r="C66" s="306">
        <v>-48348780</v>
      </c>
      <c r="D66" s="306">
        <v>-79690851</v>
      </c>
      <c r="E66" s="306">
        <v>-22856726</v>
      </c>
      <c r="F66" s="306">
        <v>-21153507</v>
      </c>
      <c r="G66" s="306">
        <v>-50059329</v>
      </c>
    </row>
    <row r="67" spans="2:7" x14ac:dyDescent="0.3">
      <c r="B67" s="318" t="s">
        <v>324</v>
      </c>
      <c r="C67" s="314">
        <v>-60677308</v>
      </c>
      <c r="D67" s="314">
        <v>-96480187</v>
      </c>
      <c r="E67" s="314">
        <v>-71791416</v>
      </c>
      <c r="F67" s="314">
        <v>-71374844</v>
      </c>
      <c r="G67" s="314">
        <v>-89924422</v>
      </c>
    </row>
    <row r="68" spans="2:7" x14ac:dyDescent="0.3">
      <c r="C68" s="313">
        <f>SUM(C66:C67)</f>
        <v>-109026088</v>
      </c>
      <c r="D68" s="313">
        <f t="shared" ref="D68:G68" si="3">SUM(D66:D67)</f>
        <v>-176171038</v>
      </c>
      <c r="E68" s="313">
        <f t="shared" si="3"/>
        <v>-94648142</v>
      </c>
      <c r="F68" s="313">
        <f t="shared" si="3"/>
        <v>-92528351</v>
      </c>
      <c r="G68" s="313">
        <f t="shared" si="3"/>
        <v>-139983751</v>
      </c>
    </row>
    <row r="69" spans="2:7" ht="15" thickBot="1" x14ac:dyDescent="0.35"/>
    <row r="70" spans="2:7" x14ac:dyDescent="0.3">
      <c r="B70" s="244" t="s">
        <v>325</v>
      </c>
      <c r="C70" s="323">
        <f>C63+C68</f>
        <v>11252363</v>
      </c>
      <c r="D70" s="323">
        <f>D63+D68</f>
        <v>-4132906</v>
      </c>
      <c r="E70" s="323">
        <f t="shared" ref="E70:G70" si="4">E63+E68</f>
        <v>-8462748</v>
      </c>
      <c r="F70" s="323">
        <f t="shared" si="4"/>
        <v>2461040</v>
      </c>
      <c r="G70" s="323">
        <f t="shared" si="4"/>
        <v>7516378</v>
      </c>
    </row>
    <row r="72" spans="2:7" x14ac:dyDescent="0.3">
      <c r="B72" s="324" t="s">
        <v>328</v>
      </c>
      <c r="C72" s="320">
        <v>-4332538</v>
      </c>
      <c r="D72" s="320">
        <v>-6144688</v>
      </c>
      <c r="E72" s="320">
        <v>-5112990</v>
      </c>
      <c r="F72" s="320">
        <v>-4740309</v>
      </c>
      <c r="G72" s="320">
        <v>-6220924</v>
      </c>
    </row>
    <row r="73" spans="2:7" x14ac:dyDescent="0.3">
      <c r="B73" s="324" t="s">
        <v>326</v>
      </c>
      <c r="C73" s="321">
        <v>-3766274</v>
      </c>
      <c r="D73" s="321">
        <v>-6357230</v>
      </c>
      <c r="E73" s="321">
        <v>-5677187</v>
      </c>
      <c r="F73" s="321">
        <v>-5706290</v>
      </c>
      <c r="G73" s="321">
        <v>-6945667</v>
      </c>
    </row>
    <row r="74" spans="2:7" x14ac:dyDescent="0.3">
      <c r="B74" s="324" t="s">
        <v>329</v>
      </c>
      <c r="C74" s="321">
        <v>-1260581</v>
      </c>
      <c r="D74" s="321">
        <v>-956914</v>
      </c>
      <c r="E74" s="321">
        <v>-2322895</v>
      </c>
      <c r="F74" s="321">
        <v>-3929910</v>
      </c>
      <c r="G74" s="321">
        <v>-2582578</v>
      </c>
    </row>
    <row r="75" spans="2:7" x14ac:dyDescent="0.3">
      <c r="B75" s="324" t="s">
        <v>327</v>
      </c>
      <c r="C75" s="322">
        <v>1679904</v>
      </c>
      <c r="D75" s="322">
        <v>6275627</v>
      </c>
      <c r="E75" s="322">
        <v>6548795</v>
      </c>
      <c r="F75" s="322">
        <v>11235155</v>
      </c>
      <c r="G75" s="322">
        <v>2102303</v>
      </c>
    </row>
    <row r="76" spans="2:7" x14ac:dyDescent="0.3">
      <c r="C76" s="313">
        <f>SUM(C72:C75)</f>
        <v>-7679489</v>
      </c>
      <c r="D76" s="313">
        <f t="shared" ref="D76:G76" si="5">SUM(D72:D75)</f>
        <v>-7183205</v>
      </c>
      <c r="E76" s="313">
        <f t="shared" si="5"/>
        <v>-6564277</v>
      </c>
      <c r="F76" s="313">
        <f t="shared" si="5"/>
        <v>-3141354</v>
      </c>
      <c r="G76" s="313">
        <f t="shared" si="5"/>
        <v>-13646866</v>
      </c>
    </row>
    <row r="77" spans="2:7" ht="15" thickBot="1" x14ac:dyDescent="0.35">
      <c r="C77" s="319"/>
      <c r="D77" s="319"/>
      <c r="E77" s="319"/>
      <c r="F77" s="319"/>
      <c r="G77" s="319"/>
    </row>
    <row r="78" spans="2:7" x14ac:dyDescent="0.3">
      <c r="B78" s="318" t="s">
        <v>330</v>
      </c>
      <c r="C78" s="325">
        <f>C70+C76</f>
        <v>3572874</v>
      </c>
      <c r="D78" s="325">
        <f>D70+D76</f>
        <v>-11316111</v>
      </c>
      <c r="E78" s="325">
        <f t="shared" ref="E78:G78" si="6">E70+E76</f>
        <v>-15027025</v>
      </c>
      <c r="F78" s="325">
        <f t="shared" si="6"/>
        <v>-680314</v>
      </c>
      <c r="G78" s="325">
        <f t="shared" si="6"/>
        <v>-6130488</v>
      </c>
    </row>
    <row r="79" spans="2:7" x14ac:dyDescent="0.3">
      <c r="C79" s="319"/>
      <c r="D79" s="319"/>
      <c r="E79" s="319"/>
      <c r="F79" s="319"/>
      <c r="G79" s="319"/>
    </row>
    <row r="80" spans="2:7" x14ac:dyDescent="0.3">
      <c r="B80" s="318" t="s">
        <v>331</v>
      </c>
      <c r="C80" s="319">
        <v>-27465338</v>
      </c>
      <c r="D80" s="319">
        <v>-25229810</v>
      </c>
      <c r="E80" s="319">
        <v>-7346434</v>
      </c>
      <c r="F80" s="319">
        <v>-4948847</v>
      </c>
      <c r="G80" s="319">
        <v>-11693549</v>
      </c>
    </row>
    <row r="81" spans="2:8" ht="15" thickBot="1" x14ac:dyDescent="0.35">
      <c r="C81" s="319"/>
      <c r="D81" s="319"/>
      <c r="E81" s="319"/>
      <c r="F81" s="319"/>
      <c r="G81" s="319"/>
    </row>
    <row r="82" spans="2:8" x14ac:dyDescent="0.3">
      <c r="B82" s="318" t="s">
        <v>332</v>
      </c>
      <c r="C82" s="325">
        <f>C78+C80</f>
        <v>-23892464</v>
      </c>
      <c r="D82" s="325">
        <f>D78+D80</f>
        <v>-36545921</v>
      </c>
      <c r="E82" s="325">
        <f>E78+E80</f>
        <v>-22373459</v>
      </c>
      <c r="F82" s="325">
        <f t="shared" ref="F82:G82" si="7">F78+F80</f>
        <v>-5629161</v>
      </c>
      <c r="G82" s="325">
        <f t="shared" si="7"/>
        <v>-17824037</v>
      </c>
    </row>
    <row r="83" spans="2:8" x14ac:dyDescent="0.3">
      <c r="C83" s="319"/>
      <c r="D83" s="319"/>
      <c r="E83" s="319"/>
      <c r="F83" s="319"/>
      <c r="G83" s="319"/>
    </row>
    <row r="84" spans="2:8" x14ac:dyDescent="0.3">
      <c r="B84" s="318" t="s">
        <v>333</v>
      </c>
      <c r="C84" s="319">
        <v>-36822891</v>
      </c>
      <c r="D84" s="319">
        <v>-49971137</v>
      </c>
      <c r="E84" s="319">
        <v>-27390283</v>
      </c>
      <c r="F84" s="319">
        <v>-29724512</v>
      </c>
      <c r="G84" s="319">
        <v>-35537349</v>
      </c>
    </row>
    <row r="85" spans="2:8" ht="15" thickBot="1" x14ac:dyDescent="0.35">
      <c r="C85" s="319"/>
      <c r="D85" s="319"/>
      <c r="E85" s="319"/>
      <c r="F85" s="319"/>
      <c r="G85" s="319"/>
    </row>
    <row r="86" spans="2:8" x14ac:dyDescent="0.3">
      <c r="B86" s="318" t="s">
        <v>334</v>
      </c>
      <c r="C86" s="325">
        <f>C82+C84</f>
        <v>-60715355</v>
      </c>
      <c r="D86" s="325">
        <f>D82+D84</f>
        <v>-86517058</v>
      </c>
      <c r="E86" s="325">
        <f>E82+E84</f>
        <v>-49763742</v>
      </c>
      <c r="F86" s="325">
        <f t="shared" ref="F86:G86" si="8">F82+F84</f>
        <v>-35353673</v>
      </c>
      <c r="G86" s="325">
        <f t="shared" si="8"/>
        <v>-53361386</v>
      </c>
    </row>
    <row r="87" spans="2:8" x14ac:dyDescent="0.3">
      <c r="C87" s="319"/>
      <c r="D87" s="319"/>
      <c r="E87" s="319"/>
      <c r="F87" s="319"/>
      <c r="G87" s="319"/>
    </row>
    <row r="88" spans="2:8" x14ac:dyDescent="0.3">
      <c r="B88" s="318" t="s">
        <v>335</v>
      </c>
      <c r="C88" s="319">
        <v>-902088</v>
      </c>
      <c r="D88" s="319">
        <v>-1491359</v>
      </c>
      <c r="E88" s="319">
        <v>-337743</v>
      </c>
      <c r="F88" s="319">
        <v>710862</v>
      </c>
      <c r="G88" s="319">
        <v>759776</v>
      </c>
    </row>
    <row r="89" spans="2:8" ht="15" thickBot="1" x14ac:dyDescent="0.35">
      <c r="C89" s="319"/>
      <c r="D89" s="319"/>
      <c r="E89" s="319"/>
      <c r="F89" s="319"/>
      <c r="G89" s="319"/>
    </row>
    <row r="90" spans="2:8" ht="15" thickBot="1" x14ac:dyDescent="0.35">
      <c r="B90" s="318" t="s">
        <v>336</v>
      </c>
      <c r="C90" s="326">
        <f>C86+C88</f>
        <v>-61617443</v>
      </c>
      <c r="D90" s="326">
        <f t="shared" ref="D90:G90" si="9">D86+D88</f>
        <v>-88008417</v>
      </c>
      <c r="E90" s="326">
        <f t="shared" si="9"/>
        <v>-50101485</v>
      </c>
      <c r="F90" s="326">
        <f t="shared" si="9"/>
        <v>-34642811</v>
      </c>
      <c r="G90" s="326">
        <f t="shared" si="9"/>
        <v>-52601610</v>
      </c>
    </row>
    <row r="92" spans="2:8" x14ac:dyDescent="0.3">
      <c r="B92" s="318" t="s">
        <v>341</v>
      </c>
      <c r="C92" s="246">
        <f>5235261117*(1/1000)</f>
        <v>5235261.1170000006</v>
      </c>
      <c r="D92" s="246">
        <f>5235261117*(1/1000)</f>
        <v>5235261.1170000006</v>
      </c>
      <c r="E92" s="246">
        <f>5235261117*(1/1000)</f>
        <v>5235261.1170000006</v>
      </c>
      <c r="F92" s="246">
        <f>5235261117*(1/1000)</f>
        <v>5235261.1170000006</v>
      </c>
      <c r="G92" s="246">
        <f>5235261117*(1/1000)</f>
        <v>5235261.1170000006</v>
      </c>
      <c r="H92" s="184">
        <f>1/1000</f>
        <v>1E-3</v>
      </c>
    </row>
    <row r="93" spans="2:8" x14ac:dyDescent="0.3">
      <c r="B93" s="318" t="s">
        <v>342</v>
      </c>
      <c r="C93" s="313">
        <v>10479156.972789116</v>
      </c>
      <c r="D93" s="313">
        <v>10479156.972789116</v>
      </c>
      <c r="E93" s="313">
        <v>10479156.972789116</v>
      </c>
      <c r="F93" s="313">
        <v>10479156.972789116</v>
      </c>
      <c r="G93" s="313">
        <v>10479156.972789116</v>
      </c>
    </row>
    <row r="95" spans="2:8" x14ac:dyDescent="0.3">
      <c r="B95" s="244" t="s">
        <v>338</v>
      </c>
    </row>
    <row r="96" spans="2:8" x14ac:dyDescent="0.3">
      <c r="B96" s="318" t="s">
        <v>337</v>
      </c>
    </row>
    <row r="97" spans="2:7" x14ac:dyDescent="0.3">
      <c r="B97" s="318" t="s">
        <v>339</v>
      </c>
      <c r="C97" s="319">
        <f>C90/C92</f>
        <v>-11.769698134046289</v>
      </c>
      <c r="D97" s="319">
        <f>D90/D92</f>
        <v>-16.810702471786563</v>
      </c>
      <c r="E97" s="319">
        <f t="shared" ref="E97:G97" si="10">E90/E92</f>
        <v>-9.5700068975184216</v>
      </c>
      <c r="F97" s="319">
        <f t="shared" si="10"/>
        <v>-6.6172078575999702</v>
      </c>
      <c r="G97" s="319">
        <f t="shared" si="10"/>
        <v>-10.047561874075669</v>
      </c>
    </row>
    <row r="98" spans="2:7" x14ac:dyDescent="0.3">
      <c r="B98" s="318" t="s">
        <v>340</v>
      </c>
      <c r="C98" s="319">
        <f>C90/C93</f>
        <v>-5.88</v>
      </c>
      <c r="D98" s="319">
        <f t="shared" ref="D98:G98" si="11">D90/D93</f>
        <v>-8.3984252959020065</v>
      </c>
      <c r="E98" s="319">
        <f t="shared" si="11"/>
        <v>-4.7810606454409346</v>
      </c>
      <c r="F98" s="319">
        <f t="shared" si="11"/>
        <v>-3.3058776664912886</v>
      </c>
      <c r="G98" s="319">
        <f t="shared" si="11"/>
        <v>-5.0196413830414865</v>
      </c>
    </row>
    <row r="101" spans="2:7" x14ac:dyDescent="0.3">
      <c r="B101" s="16" t="s">
        <v>401</v>
      </c>
      <c r="C101" s="346">
        <f>C78/C63</f>
        <v>2.9705021724963851E-2</v>
      </c>
      <c r="D101" s="346">
        <f t="shared" ref="D101:G101" si="12">D78/D63</f>
        <v>-6.5776760468429174E-2</v>
      </c>
      <c r="E101" s="346">
        <f t="shared" si="12"/>
        <v>-0.17435697979172665</v>
      </c>
      <c r="F101" s="346">
        <f t="shared" si="12"/>
        <v>-7.1619998069047518E-3</v>
      </c>
      <c r="G101" s="346">
        <f t="shared" si="12"/>
        <v>-4.1562594158815955E-2</v>
      </c>
    </row>
    <row r="102" spans="2:7" x14ac:dyDescent="0.3">
      <c r="C102" s="184"/>
    </row>
  </sheetData>
  <mergeCells count="5">
    <mergeCell ref="H44:Q45"/>
    <mergeCell ref="C39:G39"/>
    <mergeCell ref="C60:G60"/>
    <mergeCell ref="B2:C2"/>
    <mergeCell ref="B58:C5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F3EE3-E553-4A46-9FA6-914222192822}">
  <dimension ref="A2:T81"/>
  <sheetViews>
    <sheetView showGridLines="0" topLeftCell="A59" workbookViewId="0">
      <selection activeCell="M67" sqref="M67"/>
    </sheetView>
  </sheetViews>
  <sheetFormatPr defaultRowHeight="14.4" x14ac:dyDescent="0.3"/>
  <cols>
    <col min="8" max="8" width="14.6640625" bestFit="1" customWidth="1"/>
    <col min="9" max="12" width="14.33203125" customWidth="1"/>
    <col min="13" max="13" width="18.21875" customWidth="1"/>
    <col min="14" max="14" width="16.109375" customWidth="1"/>
    <col min="15" max="15" width="13.33203125" bestFit="1" customWidth="1"/>
  </cols>
  <sheetData>
    <row r="2" spans="1:20" x14ac:dyDescent="0.3">
      <c r="B2" s="363" t="str">
        <f>"Intrinsic Growth Rate"&amp;" - "&amp;WACC!$B$12</f>
        <v>Intrinsic Growth Rate - Pakistan International Airlines</v>
      </c>
      <c r="C2" s="363"/>
      <c r="D2" s="363"/>
      <c r="E2" s="363"/>
      <c r="F2" s="363"/>
      <c r="G2" s="363"/>
      <c r="H2" s="363"/>
      <c r="I2" s="363"/>
      <c r="J2" s="52"/>
      <c r="K2" s="52"/>
      <c r="L2" s="52"/>
    </row>
    <row r="4" spans="1:20" x14ac:dyDescent="0.3">
      <c r="B4" s="60" t="s">
        <v>213</v>
      </c>
      <c r="H4" s="80"/>
      <c r="I4" s="80"/>
      <c r="J4" s="80"/>
      <c r="K4" s="80"/>
      <c r="L4" s="80"/>
    </row>
    <row r="5" spans="1:20" ht="16.8" customHeight="1" thickBot="1" x14ac:dyDescent="0.35">
      <c r="A5" s="16" t="s">
        <v>89</v>
      </c>
      <c r="B5" s="391" t="s">
        <v>90</v>
      </c>
      <c r="C5" s="391"/>
      <c r="D5" s="391"/>
      <c r="E5" s="391"/>
      <c r="F5" s="81"/>
      <c r="G5" s="81"/>
      <c r="H5" s="303">
        <v>45107</v>
      </c>
      <c r="I5" s="303">
        <v>44926</v>
      </c>
      <c r="J5" s="303">
        <f>I5-365</f>
        <v>44561</v>
      </c>
      <c r="K5" s="303">
        <f t="shared" ref="K5" si="0">J5-365</f>
        <v>44196</v>
      </c>
      <c r="L5" s="303">
        <f>K5-366</f>
        <v>43830</v>
      </c>
      <c r="N5" s="386" t="s">
        <v>91</v>
      </c>
      <c r="O5" s="386"/>
      <c r="P5" s="386"/>
      <c r="Q5" s="386"/>
      <c r="R5" s="386"/>
      <c r="S5" s="386"/>
      <c r="T5" s="386"/>
    </row>
    <row r="6" spans="1:20" x14ac:dyDescent="0.3">
      <c r="N6" s="82" t="s">
        <v>92</v>
      </c>
      <c r="O6" s="83"/>
      <c r="P6" s="83"/>
      <c r="Q6" s="83"/>
      <c r="R6" s="83"/>
      <c r="S6" s="83"/>
      <c r="T6" s="84"/>
    </row>
    <row r="7" spans="1:20" x14ac:dyDescent="0.3">
      <c r="B7" s="16" t="s">
        <v>93</v>
      </c>
      <c r="I7" s="3"/>
      <c r="J7" s="3"/>
      <c r="K7" s="3"/>
      <c r="L7" s="3"/>
      <c r="N7" s="85" t="s">
        <v>94</v>
      </c>
      <c r="T7" s="86"/>
    </row>
    <row r="8" spans="1:20" x14ac:dyDescent="0.3">
      <c r="B8" s="63" t="s">
        <v>95</v>
      </c>
      <c r="H8" s="3">
        <f>'Raw BS'!C24</f>
        <v>5168597</v>
      </c>
      <c r="I8" s="3">
        <f>'Raw BS'!D24</f>
        <v>9408610</v>
      </c>
      <c r="J8" s="3">
        <f>'Raw BS'!E24</f>
        <v>12496332</v>
      </c>
      <c r="K8" s="3">
        <f>'Raw BS'!F24</f>
        <v>5739761</v>
      </c>
      <c r="L8" s="3">
        <f>'Raw BS'!G24</f>
        <v>6857322</v>
      </c>
      <c r="N8" s="85"/>
      <c r="T8" s="86"/>
    </row>
    <row r="9" spans="1:20" x14ac:dyDescent="0.3">
      <c r="B9" s="63" t="s">
        <v>96</v>
      </c>
      <c r="H9" s="3">
        <f>'Raw BS'!C23</f>
        <v>0</v>
      </c>
      <c r="I9" s="3">
        <f>'Raw BS'!D23</f>
        <v>0</v>
      </c>
      <c r="J9" s="3">
        <f>'Raw BS'!E23</f>
        <v>19220</v>
      </c>
      <c r="K9" s="3">
        <f>'Raw BS'!F23</f>
        <v>19220</v>
      </c>
      <c r="L9" s="3">
        <f>'Raw BS'!G23</f>
        <v>6216620</v>
      </c>
      <c r="N9" s="85" t="s">
        <v>97</v>
      </c>
      <c r="T9" s="86"/>
    </row>
    <row r="10" spans="1:20" x14ac:dyDescent="0.3">
      <c r="B10" s="181" t="s">
        <v>215</v>
      </c>
      <c r="H10" s="179">
        <f>H8+H9</f>
        <v>5168597</v>
      </c>
      <c r="I10" s="179">
        <f t="shared" ref="I10:L10" si="1">I8+I9</f>
        <v>9408610</v>
      </c>
      <c r="J10" s="179">
        <f t="shared" si="1"/>
        <v>12515552</v>
      </c>
      <c r="K10" s="179">
        <f t="shared" si="1"/>
        <v>5758981</v>
      </c>
      <c r="L10" s="179">
        <f t="shared" si="1"/>
        <v>13073942</v>
      </c>
      <c r="N10" s="85"/>
      <c r="T10" s="86"/>
    </row>
    <row r="11" spans="1:20" x14ac:dyDescent="0.3">
      <c r="B11" s="63"/>
      <c r="H11" s="180"/>
      <c r="I11" s="180"/>
      <c r="J11" s="180"/>
      <c r="K11" s="180"/>
      <c r="L11" s="180"/>
      <c r="N11" s="85"/>
      <c r="T11" s="86"/>
    </row>
    <row r="12" spans="1:20" x14ac:dyDescent="0.3">
      <c r="B12" s="63" t="s">
        <v>234</v>
      </c>
      <c r="H12" s="3">
        <f>'Raw BS'!C18</f>
        <v>3867627</v>
      </c>
      <c r="I12" s="3">
        <f>'Raw BS'!D18</f>
        <v>3535580</v>
      </c>
      <c r="J12" s="3">
        <f>'Raw BS'!E18</f>
        <v>2915991</v>
      </c>
      <c r="K12" s="3">
        <f>'Raw BS'!F18</f>
        <v>2948964</v>
      </c>
      <c r="L12" s="3">
        <f>'Raw BS'!G18</f>
        <v>3530263</v>
      </c>
      <c r="N12" s="85" t="s">
        <v>98</v>
      </c>
      <c r="T12" s="86"/>
    </row>
    <row r="13" spans="1:20" x14ac:dyDescent="0.3">
      <c r="B13" s="63" t="s">
        <v>236</v>
      </c>
      <c r="H13" s="3">
        <f>'Raw BS'!C19</f>
        <v>24307977</v>
      </c>
      <c r="I13" s="3">
        <f>'Raw BS'!D19</f>
        <v>20527778</v>
      </c>
      <c r="J13" s="3">
        <f>'Raw BS'!E19</f>
        <v>14925824</v>
      </c>
      <c r="K13" s="3">
        <f>'Raw BS'!F19</f>
        <v>9976294</v>
      </c>
      <c r="L13" s="3">
        <f>'Raw BS'!G19</f>
        <v>18607089</v>
      </c>
      <c r="N13" s="85" t="s">
        <v>99</v>
      </c>
      <c r="T13" s="86"/>
    </row>
    <row r="14" spans="1:20" x14ac:dyDescent="0.3">
      <c r="B14" s="63" t="s">
        <v>303</v>
      </c>
      <c r="H14" s="3">
        <f>'Raw BS'!C20</f>
        <v>7319934</v>
      </c>
      <c r="I14" s="3">
        <f>'Raw BS'!D20</f>
        <v>5451648</v>
      </c>
      <c r="J14" s="3">
        <f>'Raw BS'!E20</f>
        <v>3051709</v>
      </c>
      <c r="K14" s="3">
        <f>'Raw BS'!F20</f>
        <v>3652243</v>
      </c>
      <c r="L14" s="3">
        <f>'Raw BS'!G20</f>
        <v>3796197</v>
      </c>
      <c r="N14" s="85"/>
      <c r="T14" s="86"/>
    </row>
    <row r="15" spans="1:20" x14ac:dyDescent="0.3">
      <c r="B15" s="63" t="s">
        <v>300</v>
      </c>
      <c r="H15" s="3">
        <f>'Raw BS'!C21</f>
        <v>2649493</v>
      </c>
      <c r="I15" s="3">
        <f>'Raw BS'!D21</f>
        <v>3021415</v>
      </c>
      <c r="J15" s="3">
        <f>'Raw BS'!E21</f>
        <v>4444401</v>
      </c>
      <c r="K15" s="3">
        <f>'Raw BS'!F21</f>
        <v>3300925</v>
      </c>
      <c r="L15" s="3">
        <f>'Raw BS'!G21</f>
        <v>5286408</v>
      </c>
      <c r="N15" s="85"/>
      <c r="T15" s="86"/>
    </row>
    <row r="16" spans="1:20" x14ac:dyDescent="0.3">
      <c r="B16" t="s">
        <v>240</v>
      </c>
      <c r="H16" s="3">
        <f>'Raw BS'!C22</f>
        <v>10376743</v>
      </c>
      <c r="I16" s="3">
        <f>'Raw BS'!D22</f>
        <v>7421066</v>
      </c>
      <c r="J16" s="3">
        <f>'Raw BS'!E22</f>
        <v>7240000</v>
      </c>
      <c r="K16" s="3">
        <f>'Raw BS'!F22</f>
        <v>16854091</v>
      </c>
      <c r="L16" s="3">
        <f>'Raw BS'!G22</f>
        <v>8623137</v>
      </c>
      <c r="N16" s="85"/>
      <c r="T16" s="86"/>
    </row>
    <row r="17" spans="1:20" ht="15" thickBot="1" x14ac:dyDescent="0.35">
      <c r="H17" s="3"/>
      <c r="I17" s="3"/>
      <c r="J17" s="3"/>
      <c r="K17" s="3"/>
      <c r="L17" s="3"/>
      <c r="N17" s="85"/>
      <c r="T17" s="86"/>
    </row>
    <row r="18" spans="1:20" ht="15" thickTop="1" x14ac:dyDescent="0.3">
      <c r="A18" s="16" t="s">
        <v>89</v>
      </c>
      <c r="B18" s="16" t="s">
        <v>103</v>
      </c>
      <c r="H18" s="89">
        <f>SUM(H12:H16)</f>
        <v>48521774</v>
      </c>
      <c r="I18" s="89">
        <f t="shared" ref="I18:L18" si="2">SUM(I12:I16)</f>
        <v>39957487</v>
      </c>
      <c r="J18" s="89">
        <f t="shared" si="2"/>
        <v>32577925</v>
      </c>
      <c r="K18" s="89">
        <f t="shared" si="2"/>
        <v>36732517</v>
      </c>
      <c r="L18" s="89">
        <f t="shared" si="2"/>
        <v>39843094</v>
      </c>
      <c r="N18" s="85" t="s">
        <v>100</v>
      </c>
      <c r="T18" s="86"/>
    </row>
    <row r="19" spans="1:20" x14ac:dyDescent="0.3">
      <c r="N19" s="85" t="s">
        <v>101</v>
      </c>
      <c r="T19" s="86"/>
    </row>
    <row r="20" spans="1:20" ht="15" thickBot="1" x14ac:dyDescent="0.35">
      <c r="B20" s="63"/>
      <c r="H20" s="3"/>
      <c r="I20" s="3"/>
      <c r="J20" s="3"/>
      <c r="K20" s="3"/>
      <c r="L20" s="3"/>
      <c r="N20" s="87" t="s">
        <v>102</v>
      </c>
      <c r="O20" s="78"/>
      <c r="P20" s="78"/>
      <c r="Q20" s="78"/>
      <c r="R20" s="78"/>
      <c r="S20" s="78"/>
      <c r="T20" s="88"/>
    </row>
    <row r="21" spans="1:20" x14ac:dyDescent="0.3">
      <c r="J21" s="94"/>
      <c r="K21" s="94"/>
      <c r="L21" s="94"/>
    </row>
    <row r="22" spans="1:20" x14ac:dyDescent="0.3">
      <c r="A22" s="16" t="s">
        <v>89</v>
      </c>
      <c r="B22" s="16" t="s">
        <v>104</v>
      </c>
    </row>
    <row r="23" spans="1:20" x14ac:dyDescent="0.3">
      <c r="B23" t="s">
        <v>241</v>
      </c>
      <c r="C23" s="73"/>
      <c r="H23" s="3">
        <f>'Raw BS'!C47</f>
        <v>269018532</v>
      </c>
      <c r="I23" s="3">
        <f>'Raw BS'!D47</f>
        <v>230195252</v>
      </c>
      <c r="J23" s="3">
        <f>'Raw BS'!E47</f>
        <v>192089706</v>
      </c>
      <c r="K23" s="3">
        <f>'Raw BS'!F47</f>
        <v>193602208</v>
      </c>
      <c r="L23" s="3">
        <f>'Raw BS'!G47</f>
        <v>189210795</v>
      </c>
    </row>
    <row r="24" spans="1:20" x14ac:dyDescent="0.3">
      <c r="B24" t="s">
        <v>317</v>
      </c>
      <c r="H24" s="3">
        <f>'Raw BS'!C48</f>
        <v>3297</v>
      </c>
      <c r="I24" s="3">
        <f>'Raw BS'!D48</f>
        <v>3297</v>
      </c>
      <c r="J24" s="3">
        <f>'Raw BS'!E48</f>
        <v>3297</v>
      </c>
      <c r="K24" s="3">
        <f>'Raw BS'!F48</f>
        <v>3297</v>
      </c>
      <c r="L24" s="3">
        <f>'Raw BS'!G48</f>
        <v>3297</v>
      </c>
      <c r="N24" s="60" t="s">
        <v>41</v>
      </c>
    </row>
    <row r="25" spans="1:20" x14ac:dyDescent="0.3">
      <c r="B25" t="s">
        <v>318</v>
      </c>
      <c r="H25" s="3">
        <f>'Raw BS'!C49</f>
        <v>66936998</v>
      </c>
      <c r="I25" s="3">
        <f>'Raw BS'!D49</f>
        <v>50002025</v>
      </c>
      <c r="J25" s="3">
        <f>'Raw BS'!E49</f>
        <v>32378420</v>
      </c>
      <c r="K25" s="3">
        <f>'Raw BS'!F49</f>
        <v>25804384</v>
      </c>
      <c r="L25" s="3">
        <f>'Raw BS'!G49</f>
        <v>22255402</v>
      </c>
      <c r="N25" s="60"/>
    </row>
    <row r="26" spans="1:20" x14ac:dyDescent="0.3">
      <c r="B26" t="s">
        <v>301</v>
      </c>
      <c r="H26" s="3">
        <f>'Raw BS'!C50</f>
        <v>3513750</v>
      </c>
      <c r="I26" s="3">
        <f>'Raw BS'!D50</f>
        <v>2629942</v>
      </c>
      <c r="J26" s="3">
        <f>'Raw BS'!E50</f>
        <v>1182288</v>
      </c>
      <c r="K26" s="3">
        <f>'Raw BS'!F50</f>
        <v>655598</v>
      </c>
      <c r="L26" s="3">
        <f>'Raw BS'!G50</f>
        <v>717719</v>
      </c>
      <c r="N26" s="60"/>
    </row>
    <row r="27" spans="1:20" ht="14.4" customHeight="1" x14ac:dyDescent="0.3">
      <c r="B27" t="s">
        <v>319</v>
      </c>
      <c r="H27" s="3">
        <f>'Raw BS'!C51</f>
        <v>30880733</v>
      </c>
      <c r="I27" s="3">
        <f>'Raw BS'!D51</f>
        <v>30388449</v>
      </c>
      <c r="J27" s="3">
        <f>'Raw BS'!E51</f>
        <v>30580489</v>
      </c>
      <c r="K27" s="3">
        <f>'Raw BS'!F51</f>
        <v>30576613</v>
      </c>
      <c r="L27" s="3">
        <f>'Raw BS'!G51</f>
        <v>31580219</v>
      </c>
      <c r="N27" s="379" t="s">
        <v>285</v>
      </c>
      <c r="O27" s="379"/>
      <c r="P27" s="379"/>
      <c r="Q27" s="379"/>
      <c r="R27" s="379"/>
      <c r="S27" s="379"/>
      <c r="T27" s="379"/>
    </row>
    <row r="28" spans="1:20" x14ac:dyDescent="0.3">
      <c r="B28" t="s">
        <v>320</v>
      </c>
      <c r="H28" s="3">
        <f>'Raw BS'!C52</f>
        <v>77580888</v>
      </c>
      <c r="I28" s="3">
        <f>'Raw BS'!D52</f>
        <v>67374659</v>
      </c>
      <c r="J28" s="3">
        <f>'Raw BS'!E52</f>
        <v>57480844</v>
      </c>
      <c r="K28" s="3">
        <f>'Raw BS'!F52</f>
        <v>71610778</v>
      </c>
      <c r="L28" s="3">
        <f>'Raw BS'!G52</f>
        <v>80877768</v>
      </c>
      <c r="N28" s="379"/>
      <c r="O28" s="379"/>
      <c r="P28" s="379"/>
      <c r="Q28" s="379"/>
      <c r="R28" s="379"/>
      <c r="S28" s="379"/>
      <c r="T28" s="379"/>
    </row>
    <row r="29" spans="1:20" ht="15" thickBot="1" x14ac:dyDescent="0.35">
      <c r="N29" s="379"/>
      <c r="O29" s="379"/>
      <c r="P29" s="379"/>
      <c r="Q29" s="379"/>
      <c r="R29" s="379"/>
      <c r="S29" s="379"/>
      <c r="T29" s="379"/>
    </row>
    <row r="30" spans="1:20" ht="15" thickTop="1" x14ac:dyDescent="0.3">
      <c r="B30" s="16" t="s">
        <v>105</v>
      </c>
      <c r="H30" s="89">
        <f>SUM(H23:H28)</f>
        <v>447934198</v>
      </c>
      <c r="I30" s="89">
        <f t="shared" ref="I30:L30" si="3">SUM(I23:I28)</f>
        <v>380593624</v>
      </c>
      <c r="J30" s="89">
        <f t="shared" si="3"/>
        <v>313715044</v>
      </c>
      <c r="K30" s="89">
        <f t="shared" si="3"/>
        <v>322252878</v>
      </c>
      <c r="L30" s="89">
        <f t="shared" si="3"/>
        <v>324645200</v>
      </c>
      <c r="N30" s="379"/>
      <c r="O30" s="379"/>
      <c r="P30" s="379"/>
      <c r="Q30" s="379"/>
      <c r="R30" s="379"/>
      <c r="S30" s="379"/>
      <c r="T30" s="379"/>
    </row>
    <row r="31" spans="1:20" ht="15" thickBot="1" x14ac:dyDescent="0.35"/>
    <row r="32" spans="1:20" ht="15.6" thickTop="1" thickBot="1" x14ac:dyDescent="0.35">
      <c r="A32" s="16" t="s">
        <v>89</v>
      </c>
      <c r="B32" s="16" t="s">
        <v>106</v>
      </c>
      <c r="H32" s="91">
        <f>H18-H30</f>
        <v>-399412424</v>
      </c>
      <c r="I32" s="91">
        <f>I18-I30</f>
        <v>-340636137</v>
      </c>
      <c r="J32" s="91">
        <f>J18-J30</f>
        <v>-281137119</v>
      </c>
      <c r="K32" s="91">
        <f>K18-K30</f>
        <v>-285520361</v>
      </c>
      <c r="L32" s="91">
        <f>L18-L30</f>
        <v>-284802106</v>
      </c>
    </row>
    <row r="34" spans="1:15" x14ac:dyDescent="0.3">
      <c r="A34" s="16" t="s">
        <v>89</v>
      </c>
      <c r="B34" s="16" t="s">
        <v>107</v>
      </c>
    </row>
    <row r="35" spans="1:15" x14ac:dyDescent="0.3">
      <c r="B35" t="s">
        <v>293</v>
      </c>
      <c r="H35" s="43">
        <f>'Raw BS'!C9</f>
        <v>90731597</v>
      </c>
      <c r="I35" s="43">
        <f>'Raw BS'!D9</f>
        <v>92599437</v>
      </c>
      <c r="J35" s="43">
        <f>'Raw BS'!E9</f>
        <v>91030118</v>
      </c>
      <c r="K35" s="43">
        <f>'Raw BS'!F9</f>
        <v>90629224</v>
      </c>
      <c r="L35" s="43">
        <f>'Raw BS'!G9</f>
        <v>99028223</v>
      </c>
    </row>
    <row r="36" spans="1:15" x14ac:dyDescent="0.3">
      <c r="B36" t="s">
        <v>295</v>
      </c>
      <c r="H36" s="43">
        <f>'Raw BS'!C10</f>
        <v>2727582</v>
      </c>
      <c r="I36" s="43">
        <f>'Raw BS'!D10</f>
        <v>2727582</v>
      </c>
      <c r="J36" s="43">
        <f>'Raw BS'!E10</f>
        <v>244471</v>
      </c>
      <c r="K36" s="43">
        <f>'Raw BS'!F10</f>
        <v>0</v>
      </c>
      <c r="L36" s="43">
        <f>'Raw BS'!G10</f>
        <v>0</v>
      </c>
    </row>
    <row r="37" spans="1:15" x14ac:dyDescent="0.3">
      <c r="B37" t="s">
        <v>294</v>
      </c>
      <c r="H37" s="43">
        <f>'Raw BS'!C11</f>
        <v>270646</v>
      </c>
      <c r="I37" s="43">
        <f>'Raw BS'!D11</f>
        <v>283552</v>
      </c>
      <c r="J37" s="43">
        <f>'Raw BS'!E11</f>
        <v>272027</v>
      </c>
      <c r="K37" s="43">
        <f>'Raw BS'!F11</f>
        <v>317264</v>
      </c>
      <c r="L37" s="43">
        <f>'Raw BS'!G11</f>
        <v>390359</v>
      </c>
    </row>
    <row r="38" spans="1:15" x14ac:dyDescent="0.3">
      <c r="B38" t="s">
        <v>296</v>
      </c>
      <c r="H38" s="43">
        <f>'Raw BS'!C12</f>
        <v>4550487</v>
      </c>
      <c r="I38" s="43">
        <f>'Raw BS'!D12</f>
        <v>4704590</v>
      </c>
      <c r="J38" s="43">
        <f>'Raw BS'!E12</f>
        <v>4675332</v>
      </c>
      <c r="K38" s="43">
        <f>'Raw BS'!F12</f>
        <v>4580748</v>
      </c>
      <c r="L38" s="43">
        <f>'Raw BS'!G12</f>
        <v>4589394</v>
      </c>
    </row>
    <row r="39" spans="1:15" x14ac:dyDescent="0.3">
      <c r="B39" t="s">
        <v>298</v>
      </c>
      <c r="H39" s="43">
        <f>'Raw BS'!C13</f>
        <v>3983359</v>
      </c>
      <c r="I39" s="43">
        <f>'Raw BS'!D13</f>
        <v>2993549</v>
      </c>
      <c r="J39" s="43">
        <f>'Raw BS'!E13</f>
        <v>779343</v>
      </c>
      <c r="K39" s="43">
        <f>'Raw BS'!F13</f>
        <v>0</v>
      </c>
      <c r="L39" s="43">
        <f>'Raw BS'!G13</f>
        <v>0</v>
      </c>
    </row>
    <row r="40" spans="1:15" x14ac:dyDescent="0.3">
      <c r="B40" t="s">
        <v>297</v>
      </c>
      <c r="H40" s="43">
        <f>'Raw BS'!C14</f>
        <v>4429540</v>
      </c>
      <c r="I40" s="43">
        <f>'Raw BS'!D14</f>
        <v>2299607</v>
      </c>
      <c r="J40" s="43">
        <f>'Raw BS'!E14</f>
        <v>4271235</v>
      </c>
      <c r="K40" s="43">
        <f>'Raw BS'!F14</f>
        <v>2974491</v>
      </c>
      <c r="L40" s="43">
        <f>'Raw BS'!G14</f>
        <v>4632644</v>
      </c>
    </row>
    <row r="41" spans="1:15" ht="15" thickBot="1" x14ac:dyDescent="0.35">
      <c r="H41" s="43"/>
      <c r="I41" s="43"/>
      <c r="J41" s="43"/>
      <c r="K41" s="43"/>
      <c r="L41" s="43"/>
    </row>
    <row r="42" spans="1:15" ht="15" thickTop="1" x14ac:dyDescent="0.3">
      <c r="A42" s="16" t="s">
        <v>89</v>
      </c>
      <c r="B42" s="16" t="s">
        <v>108</v>
      </c>
      <c r="H42" s="89">
        <f>SUM(H35:H39)</f>
        <v>102263671</v>
      </c>
      <c r="I42" s="89">
        <f>SUM(I35:I39)</f>
        <v>103308710</v>
      </c>
      <c r="J42" s="89">
        <f>SUM(J35:J39)</f>
        <v>97001291</v>
      </c>
      <c r="K42" s="89">
        <f>SUM(K35:K39)</f>
        <v>95527236</v>
      </c>
      <c r="L42" s="89">
        <f>SUM(L35:L39)</f>
        <v>104007976</v>
      </c>
      <c r="N42" s="61"/>
      <c r="O42" s="61"/>
    </row>
    <row r="44" spans="1:15" ht="15" thickBot="1" x14ac:dyDescent="0.35"/>
    <row r="45" spans="1:15" ht="15.6" thickTop="1" thickBot="1" x14ac:dyDescent="0.35">
      <c r="A45" s="16" t="s">
        <v>89</v>
      </c>
      <c r="B45" s="16" t="s">
        <v>109</v>
      </c>
      <c r="H45" s="91">
        <f>H32+H42</f>
        <v>-297148753</v>
      </c>
      <c r="I45" s="91">
        <f>I32+I42</f>
        <v>-237327427</v>
      </c>
      <c r="J45" s="91">
        <f>J32+J42</f>
        <v>-184135828</v>
      </c>
      <c r="K45" s="91">
        <f>K32+K42</f>
        <v>-189993125</v>
      </c>
      <c r="L45" s="91">
        <f>L32+L42</f>
        <v>-180794130</v>
      </c>
    </row>
    <row r="47" spans="1:15" x14ac:dyDescent="0.3">
      <c r="A47" s="16" t="s">
        <v>89</v>
      </c>
      <c r="B47" s="16" t="s">
        <v>174</v>
      </c>
      <c r="H47" s="39">
        <f>'Raw CF and Pnl Stm'!C101</f>
        <v>2.9705021724963851E-2</v>
      </c>
      <c r="I47" s="39">
        <f>'Raw CF and Pnl Stm'!D101</f>
        <v>-6.5776760468429174E-2</v>
      </c>
      <c r="J47" s="39">
        <f>'Raw CF and Pnl Stm'!E101</f>
        <v>-0.17435697979172665</v>
      </c>
      <c r="K47" s="39">
        <f>'Raw CF and Pnl Stm'!F101</f>
        <v>-7.1619998069047518E-3</v>
      </c>
      <c r="L47" s="39">
        <f>'Raw CF and Pnl Stm'!G101</f>
        <v>-4.1562594158815955E-2</v>
      </c>
      <c r="M47" s="92"/>
    </row>
    <row r="49" spans="1:13" x14ac:dyDescent="0.3">
      <c r="A49" s="16" t="s">
        <v>89</v>
      </c>
      <c r="B49" s="16" t="s">
        <v>110</v>
      </c>
      <c r="H49" s="43">
        <f>'Raw CF and Pnl Stm'!C78</f>
        <v>3572874</v>
      </c>
      <c r="I49" s="43">
        <f>'Raw CF and Pnl Stm'!D78</f>
        <v>-11316111</v>
      </c>
      <c r="J49" s="43">
        <f>'Raw CF and Pnl Stm'!E78</f>
        <v>-15027025</v>
      </c>
      <c r="K49" s="43">
        <f>'Raw CF and Pnl Stm'!F78</f>
        <v>-680314</v>
      </c>
      <c r="L49" s="43">
        <f>'Raw CF and Pnl Stm'!G78</f>
        <v>-6130488</v>
      </c>
    </row>
    <row r="50" spans="1:13" ht="15" thickBot="1" x14ac:dyDescent="0.35"/>
    <row r="51" spans="1:13" ht="15.6" thickTop="1" thickBot="1" x14ac:dyDescent="0.35">
      <c r="A51" s="16" t="s">
        <v>89</v>
      </c>
      <c r="B51" s="16" t="s">
        <v>111</v>
      </c>
      <c r="H51" s="93">
        <f>H49/H45</f>
        <v>-1.2023856617025749E-2</v>
      </c>
      <c r="I51" s="93">
        <f t="shared" ref="I51:L51" si="4">I49/I45</f>
        <v>4.7681429588835512E-2</v>
      </c>
      <c r="J51" s="93">
        <f t="shared" si="4"/>
        <v>8.160837118564454E-2</v>
      </c>
      <c r="K51" s="93">
        <f t="shared" si="4"/>
        <v>3.5807295658724495E-3</v>
      </c>
      <c r="L51" s="93">
        <f t="shared" si="4"/>
        <v>3.3908667278080319E-2</v>
      </c>
    </row>
    <row r="53" spans="1:13" x14ac:dyDescent="0.3">
      <c r="B53" s="60"/>
    </row>
    <row r="54" spans="1:13" x14ac:dyDescent="0.3">
      <c r="B54" s="76"/>
      <c r="C54" s="76"/>
      <c r="D54" s="76"/>
      <c r="E54" s="76"/>
      <c r="F54" s="76"/>
      <c r="G54" s="76"/>
      <c r="H54" s="76"/>
      <c r="I54" s="76"/>
      <c r="J54" s="76"/>
      <c r="K54" s="76"/>
      <c r="L54" s="76"/>
    </row>
    <row r="56" spans="1:13" ht="14.4" customHeight="1" x14ac:dyDescent="0.3">
      <c r="A56" s="16" t="s">
        <v>89</v>
      </c>
      <c r="B56" s="391" t="s">
        <v>112</v>
      </c>
      <c r="C56" s="391"/>
      <c r="D56" s="391"/>
      <c r="E56" s="391"/>
      <c r="F56" s="81"/>
      <c r="G56" s="81"/>
      <c r="H56" s="303">
        <v>45107</v>
      </c>
      <c r="I56" s="303">
        <f>H56-365</f>
        <v>44742</v>
      </c>
      <c r="J56" s="303">
        <f t="shared" ref="J56:K56" si="5">I56-365</f>
        <v>44377</v>
      </c>
      <c r="K56" s="303">
        <f t="shared" si="5"/>
        <v>44012</v>
      </c>
      <c r="L56" s="303">
        <f>K56-366</f>
        <v>43646</v>
      </c>
    </row>
    <row r="58" spans="1:13" x14ac:dyDescent="0.3">
      <c r="B58" t="s">
        <v>113</v>
      </c>
      <c r="H58" s="3">
        <f>'Raw CF and Pnl Stm'!C45*-1</f>
        <v>437382</v>
      </c>
      <c r="I58" s="3">
        <f>'Raw CF and Pnl Stm'!D45*-1</f>
        <v>3875782</v>
      </c>
      <c r="J58" s="3">
        <f>'Raw CF and Pnl Stm'!E45*-1</f>
        <v>1793590</v>
      </c>
      <c r="K58" s="3">
        <f>'Raw CF and Pnl Stm'!F45*-1</f>
        <v>1344470</v>
      </c>
      <c r="L58" s="3">
        <f>'Raw CF and Pnl Stm'!G45*-1</f>
        <v>12707393</v>
      </c>
    </row>
    <row r="59" spans="1:13" x14ac:dyDescent="0.3">
      <c r="B59" t="s">
        <v>114</v>
      </c>
      <c r="H59" s="94">
        <f>(H32-I32)</f>
        <v>-58776287</v>
      </c>
      <c r="I59" s="94">
        <f>(I32-J32)</f>
        <v>-59499018</v>
      </c>
      <c r="J59" s="94">
        <f t="shared" ref="J59" si="6">(J32-K32)</f>
        <v>4383242</v>
      </c>
      <c r="K59" s="94">
        <f>(K32-L32)</f>
        <v>-718255</v>
      </c>
      <c r="L59" s="347" t="s">
        <v>171</v>
      </c>
      <c r="M59" s="95"/>
    </row>
    <row r="61" spans="1:13" x14ac:dyDescent="0.3">
      <c r="B61" t="s">
        <v>115</v>
      </c>
      <c r="H61" s="94">
        <f>H49</f>
        <v>3572874</v>
      </c>
      <c r="I61" s="94">
        <f t="shared" ref="I61:L61" si="7">I49</f>
        <v>-11316111</v>
      </c>
      <c r="J61" s="94">
        <f t="shared" si="7"/>
        <v>-15027025</v>
      </c>
      <c r="K61" s="94">
        <f t="shared" si="7"/>
        <v>-680314</v>
      </c>
      <c r="L61" s="94">
        <f t="shared" si="7"/>
        <v>-6130488</v>
      </c>
    </row>
    <row r="62" spans="1:13" x14ac:dyDescent="0.3">
      <c r="B62" t="s">
        <v>116</v>
      </c>
      <c r="H62" s="96">
        <v>0.25</v>
      </c>
      <c r="I62" s="96">
        <f>H62</f>
        <v>0.25</v>
      </c>
      <c r="J62" s="96">
        <f t="shared" ref="J62:L62" si="8">I62</f>
        <v>0.25</v>
      </c>
      <c r="K62" s="96">
        <f t="shared" si="8"/>
        <v>0.25</v>
      </c>
      <c r="L62" s="96">
        <f t="shared" si="8"/>
        <v>0.25</v>
      </c>
    </row>
    <row r="63" spans="1:13" x14ac:dyDescent="0.3">
      <c r="B63" t="s">
        <v>117</v>
      </c>
      <c r="H63" s="97">
        <f>H61*(1-H62)</f>
        <v>2679655.5</v>
      </c>
      <c r="I63" s="97">
        <f t="shared" ref="I63:L63" si="9">I61*(1-I62)</f>
        <v>-8487083.25</v>
      </c>
      <c r="J63" s="97">
        <f t="shared" si="9"/>
        <v>-11270268.75</v>
      </c>
      <c r="K63" s="97">
        <f t="shared" si="9"/>
        <v>-510235.5</v>
      </c>
      <c r="L63" s="97">
        <f t="shared" si="9"/>
        <v>-4597866</v>
      </c>
    </row>
    <row r="65" spans="1:15" x14ac:dyDescent="0.3">
      <c r="B65" t="s">
        <v>118</v>
      </c>
      <c r="H65" s="61">
        <f>SUM(H58:H59)</f>
        <v>-58338905</v>
      </c>
      <c r="I65" s="61">
        <f t="shared" ref="I65" si="10">SUM(I58:I59)</f>
        <v>-55623236</v>
      </c>
      <c r="J65" s="61">
        <f>SUM(J58:J59)</f>
        <v>6176832</v>
      </c>
      <c r="K65" s="61">
        <f>SUM(K58:K59)</f>
        <v>626215</v>
      </c>
      <c r="L65" s="61">
        <f>SUM(L58:L59)</f>
        <v>12707393</v>
      </c>
      <c r="N65" s="62" t="s">
        <v>263</v>
      </c>
      <c r="O65" s="62" t="s">
        <v>264</v>
      </c>
    </row>
    <row r="66" spans="1:15" x14ac:dyDescent="0.3">
      <c r="M66" s="90" t="s">
        <v>110</v>
      </c>
      <c r="N66" s="250">
        <f>AVERAGE(H61:L61)</f>
        <v>-5916212.7999999998</v>
      </c>
      <c r="O66" s="250">
        <f>MEDIAN(H61:L61)</f>
        <v>-6130488</v>
      </c>
    </row>
    <row r="67" spans="1:15" x14ac:dyDescent="0.3">
      <c r="B67" t="s">
        <v>119</v>
      </c>
      <c r="H67" s="98">
        <f>H65/H63</f>
        <v>-21.771046688650834</v>
      </c>
      <c r="I67" s="38">
        <f>I65/I63</f>
        <v>6.5538694933857284</v>
      </c>
      <c r="J67" s="38">
        <f>J65/J63</f>
        <v>-0.54806430414536478</v>
      </c>
      <c r="K67" s="38">
        <f t="shared" ref="K67" si="11">K65/K63</f>
        <v>-1.22730582250745</v>
      </c>
      <c r="L67" s="38">
        <f>L65/L63</f>
        <v>-2.7637588829252526</v>
      </c>
      <c r="M67" s="90" t="s">
        <v>119</v>
      </c>
      <c r="N67" s="27">
        <f>AVERAGE(H67:L67)</f>
        <v>-3.9512612409686341</v>
      </c>
      <c r="O67" s="27">
        <f>MEDIAN(H67:L67)</f>
        <v>-1.22730582250745</v>
      </c>
    </row>
    <row r="68" spans="1:15" x14ac:dyDescent="0.3">
      <c r="M68" s="90" t="s">
        <v>265</v>
      </c>
      <c r="N68" s="350">
        <f>AVERAGE(H78:L78)</f>
        <v>8.6286628952186278E-2</v>
      </c>
      <c r="O68" s="27">
        <f>MEDIAN(H78:L78)</f>
        <v>-4.3946502450198308E-3</v>
      </c>
    </row>
    <row r="70" spans="1:15" x14ac:dyDescent="0.3">
      <c r="M70" s="65"/>
      <c r="N70" s="249"/>
    </row>
    <row r="73" spans="1:15" ht="14.4" customHeight="1" x14ac:dyDescent="0.3">
      <c r="A73" s="16" t="s">
        <v>89</v>
      </c>
      <c r="B73" s="391" t="s">
        <v>120</v>
      </c>
      <c r="C73" s="391"/>
      <c r="D73" s="391"/>
      <c r="E73" s="391"/>
      <c r="F73" s="81"/>
      <c r="G73" s="81"/>
      <c r="H73" s="303">
        <f>H56</f>
        <v>45107</v>
      </c>
      <c r="I73" s="303">
        <f t="shared" ref="I73:L73" si="12">I56</f>
        <v>44742</v>
      </c>
      <c r="J73" s="303">
        <f t="shared" si="12"/>
        <v>44377</v>
      </c>
      <c r="K73" s="303">
        <f t="shared" si="12"/>
        <v>44012</v>
      </c>
      <c r="L73" s="303">
        <f t="shared" si="12"/>
        <v>43646</v>
      </c>
    </row>
    <row r="75" spans="1:15" x14ac:dyDescent="0.3">
      <c r="B75" t="str">
        <f>B67</f>
        <v>Reinvestment Rate</v>
      </c>
      <c r="H75" s="39">
        <f>H67</f>
        <v>-21.771046688650834</v>
      </c>
      <c r="I75" s="39">
        <f>I67</f>
        <v>6.5538694933857284</v>
      </c>
      <c r="J75" s="39">
        <f t="shared" ref="J75:L75" si="13">J67</f>
        <v>-0.54806430414536478</v>
      </c>
      <c r="K75" s="39">
        <f t="shared" si="13"/>
        <v>-1.22730582250745</v>
      </c>
      <c r="L75" s="39">
        <f t="shared" si="13"/>
        <v>-2.7637588829252526</v>
      </c>
    </row>
    <row r="76" spans="1:15" x14ac:dyDescent="0.3">
      <c r="B76" t="str">
        <f>B51</f>
        <v>Return on Invested Capital (ROIC)</v>
      </c>
      <c r="H76" s="39">
        <f>H51</f>
        <v>-1.2023856617025749E-2</v>
      </c>
      <c r="I76" s="39">
        <f>I51</f>
        <v>4.7681429588835512E-2</v>
      </c>
      <c r="J76" s="39">
        <f t="shared" ref="J76:L76" si="14">J51</f>
        <v>8.160837118564454E-2</v>
      </c>
      <c r="K76" s="39">
        <f t="shared" si="14"/>
        <v>3.5807295658724495E-3</v>
      </c>
      <c r="L76" s="39">
        <f t="shared" si="14"/>
        <v>3.3908667278080319E-2</v>
      </c>
    </row>
    <row r="77" spans="1:15" ht="15" thickBot="1" x14ac:dyDescent="0.35"/>
    <row r="78" spans="1:15" ht="15.6" thickTop="1" thickBot="1" x14ac:dyDescent="0.35">
      <c r="B78" s="73" t="s">
        <v>121</v>
      </c>
      <c r="C78" s="73"/>
      <c r="D78" s="73"/>
      <c r="E78" s="73"/>
      <c r="F78" s="73"/>
      <c r="G78" s="73"/>
      <c r="H78" s="93">
        <f>H75*H76</f>
        <v>0.26177194378691088</v>
      </c>
      <c r="I78" s="93">
        <f t="shared" ref="I78:L78" si="15">I75*I76</f>
        <v>0.31249786678328867</v>
      </c>
      <c r="J78" s="93">
        <f t="shared" si="15"/>
        <v>-4.4726635166296914E-2</v>
      </c>
      <c r="K78" s="93">
        <f t="shared" si="15"/>
        <v>-4.3946502450198308E-3</v>
      </c>
      <c r="L78" s="93">
        <f t="shared" si="15"/>
        <v>-9.3715380397951326E-2</v>
      </c>
    </row>
    <row r="80" spans="1:15" x14ac:dyDescent="0.3">
      <c r="M80" s="69" t="s">
        <v>263</v>
      </c>
      <c r="N80" s="99">
        <f>AVERAGE(H78:L78)</f>
        <v>8.6286628952186278E-2</v>
      </c>
    </row>
    <row r="81" spans="13:14" x14ac:dyDescent="0.3">
      <c r="M81" s="69" t="s">
        <v>264</v>
      </c>
      <c r="N81" s="99">
        <f>MEDIAN(H78:L78)</f>
        <v>-4.3946502450198308E-3</v>
      </c>
    </row>
  </sheetData>
  <mergeCells count="6">
    <mergeCell ref="B73:E73"/>
    <mergeCell ref="B56:E56"/>
    <mergeCell ref="N27:T30"/>
    <mergeCell ref="B2:I2"/>
    <mergeCell ref="B5:E5"/>
    <mergeCell ref="N5:T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35E45-0F73-4AB7-9EE5-0859164004C1}">
  <dimension ref="A2:P68"/>
  <sheetViews>
    <sheetView showGridLines="0" topLeftCell="D7" workbookViewId="0">
      <selection activeCell="J15" sqref="J15"/>
    </sheetView>
  </sheetViews>
  <sheetFormatPr defaultRowHeight="14.4" outlineLevelRow="1" x14ac:dyDescent="0.3"/>
  <cols>
    <col min="1" max="1" width="3.88671875" customWidth="1"/>
    <col min="2" max="2" width="44.88671875" bestFit="1" customWidth="1"/>
    <col min="5" max="5" width="23.77734375" customWidth="1"/>
    <col min="6" max="6" width="9.109375" bestFit="1" customWidth="1"/>
    <col min="7" max="7" width="10.109375" bestFit="1" customWidth="1"/>
    <col min="8" max="8" width="19.6640625" bestFit="1" customWidth="1"/>
    <col min="9" max="9" width="12.5546875" bestFit="1" customWidth="1"/>
    <col min="10" max="10" width="13.6640625" bestFit="1" customWidth="1"/>
    <col min="11" max="11" width="19.88671875" customWidth="1"/>
    <col min="12" max="12" width="18.44140625" customWidth="1"/>
    <col min="13" max="13" width="15" customWidth="1"/>
    <col min="14" max="14" width="17.88671875" customWidth="1"/>
    <col min="15" max="15" width="15.33203125" bestFit="1" customWidth="1"/>
    <col min="16" max="16" width="13.44140625" customWidth="1"/>
  </cols>
  <sheetData>
    <row r="2" spans="1:16" x14ac:dyDescent="0.3">
      <c r="B2" s="363" t="str">
        <f>"DCF Calculation and Sensitivity Analysis"&amp;" - "&amp;WACC!$B$12</f>
        <v>DCF Calculation and Sensitivity Analysis - Pakistan International Airlines</v>
      </c>
      <c r="C2" s="363"/>
      <c r="D2" s="363"/>
      <c r="E2" s="363"/>
      <c r="F2" s="363"/>
      <c r="G2" s="363"/>
      <c r="H2" s="363"/>
    </row>
    <row r="3" spans="1:16" ht="16.2" x14ac:dyDescent="0.3">
      <c r="I3" s="100" t="s">
        <v>266</v>
      </c>
      <c r="J3" s="390" t="s">
        <v>299</v>
      </c>
      <c r="K3" s="390"/>
      <c r="L3" s="390"/>
      <c r="M3" s="390"/>
      <c r="N3" s="390"/>
      <c r="O3" s="390"/>
      <c r="P3" s="390"/>
    </row>
    <row r="4" spans="1:16" ht="14.4" customHeight="1" x14ac:dyDescent="0.3">
      <c r="A4" s="16" t="s">
        <v>89</v>
      </c>
      <c r="B4" s="391" t="s">
        <v>123</v>
      </c>
      <c r="C4" s="391"/>
      <c r="D4" s="391"/>
      <c r="E4" s="391"/>
      <c r="F4" s="391"/>
      <c r="G4" s="391"/>
      <c r="H4" s="81"/>
      <c r="I4" s="62">
        <v>2023</v>
      </c>
      <c r="J4" s="62">
        <f>I4+1</f>
        <v>2024</v>
      </c>
      <c r="K4" s="62">
        <f t="shared" ref="K4:N4" si="0">J4+1</f>
        <v>2025</v>
      </c>
      <c r="L4" s="62">
        <f t="shared" si="0"/>
        <v>2026</v>
      </c>
      <c r="M4" s="62">
        <f t="shared" si="0"/>
        <v>2027</v>
      </c>
      <c r="N4" s="62">
        <f t="shared" si="0"/>
        <v>2028</v>
      </c>
      <c r="O4" s="62">
        <f t="shared" ref="O4" si="1">N4+1</f>
        <v>2029</v>
      </c>
      <c r="P4" s="62">
        <f t="shared" ref="P4" si="2">O4+1</f>
        <v>2030</v>
      </c>
    </row>
    <row r="6" spans="1:16" x14ac:dyDescent="0.3">
      <c r="B6" t="s">
        <v>115</v>
      </c>
      <c r="I6" s="101">
        <f>'Intrinsic Growth Rate-PKR data'!H61</f>
        <v>3572874</v>
      </c>
      <c r="J6" s="61">
        <f>I6*(1+$E$21)</f>
        <v>3881165.2531309132</v>
      </c>
      <c r="K6" s="61">
        <f t="shared" ref="K6:N6" si="3">J6*(1+$E$21)</f>
        <v>4216057.9192299377</v>
      </c>
      <c r="L6" s="61">
        <f t="shared" si="3"/>
        <v>4579847.344547458</v>
      </c>
      <c r="M6" s="61">
        <f t="shared" si="3"/>
        <v>4975026.9330240795</v>
      </c>
      <c r="N6" s="61">
        <f t="shared" si="3"/>
        <v>5404305.2360210614</v>
      </c>
      <c r="O6" s="61">
        <f>N6*(1+$E$21)</f>
        <v>5870624.5166659681</v>
      </c>
      <c r="P6" s="61">
        <f t="shared" ref="P6" si="4">O6*(1+$E$21)</f>
        <v>6377180.9160531322</v>
      </c>
    </row>
    <row r="7" spans="1:16" x14ac:dyDescent="0.3">
      <c r="I7" s="102"/>
    </row>
    <row r="8" spans="1:16" x14ac:dyDescent="0.3">
      <c r="B8" t="s">
        <v>124</v>
      </c>
      <c r="I8" s="103">
        <v>0.3</v>
      </c>
      <c r="J8" s="42">
        <f>I8</f>
        <v>0.3</v>
      </c>
      <c r="K8" s="42">
        <f t="shared" ref="K8:N8" si="5">J8</f>
        <v>0.3</v>
      </c>
      <c r="L8" s="42">
        <f t="shared" si="5"/>
        <v>0.3</v>
      </c>
      <c r="M8" s="42">
        <f t="shared" si="5"/>
        <v>0.3</v>
      </c>
      <c r="N8" s="42">
        <f t="shared" si="5"/>
        <v>0.3</v>
      </c>
      <c r="O8" s="42">
        <f t="shared" ref="O8" si="6">N8</f>
        <v>0.3</v>
      </c>
      <c r="P8" s="42">
        <f t="shared" ref="P8" si="7">O8</f>
        <v>0.3</v>
      </c>
    </row>
    <row r="9" spans="1:16" x14ac:dyDescent="0.3">
      <c r="I9" s="102"/>
    </row>
    <row r="10" spans="1:16" x14ac:dyDescent="0.3">
      <c r="B10" t="s">
        <v>117</v>
      </c>
      <c r="I10" s="104">
        <f>I6*(1-I8)</f>
        <v>2501011.7999999998</v>
      </c>
      <c r="J10" s="43">
        <f t="shared" ref="J10:P10" si="8">J6*(1-J8)</f>
        <v>2716815.6771916393</v>
      </c>
      <c r="K10" s="43">
        <f t="shared" si="8"/>
        <v>2951240.5434609563</v>
      </c>
      <c r="L10" s="43">
        <f t="shared" si="8"/>
        <v>3205893.1411832203</v>
      </c>
      <c r="M10" s="43">
        <f t="shared" si="8"/>
        <v>3482518.8531168555</v>
      </c>
      <c r="N10" s="43">
        <f t="shared" si="8"/>
        <v>3783013.6652147425</v>
      </c>
      <c r="O10" s="43">
        <f t="shared" si="8"/>
        <v>4109437.1616661772</v>
      </c>
      <c r="P10" s="43">
        <f t="shared" si="8"/>
        <v>4464026.6412371919</v>
      </c>
    </row>
    <row r="11" spans="1:16" x14ac:dyDescent="0.3">
      <c r="I11" s="102"/>
    </row>
    <row r="12" spans="1:16" x14ac:dyDescent="0.3">
      <c r="B12" t="s">
        <v>125</v>
      </c>
      <c r="I12" s="32">
        <f>'Intrinsic Growth Rate-PKR data'!H67</f>
        <v>-21.771046688650834</v>
      </c>
      <c r="J12" s="39">
        <f>I12</f>
        <v>-21.771046688650834</v>
      </c>
      <c r="K12" s="39">
        <f t="shared" ref="K12:N12" si="9">J12</f>
        <v>-21.771046688650834</v>
      </c>
      <c r="L12" s="39">
        <f t="shared" si="9"/>
        <v>-21.771046688650834</v>
      </c>
      <c r="M12" s="39">
        <f t="shared" si="9"/>
        <v>-21.771046688650834</v>
      </c>
      <c r="N12" s="39">
        <f t="shared" si="9"/>
        <v>-21.771046688650834</v>
      </c>
      <c r="O12" s="39">
        <f t="shared" ref="O12" si="10">N12</f>
        <v>-21.771046688650834</v>
      </c>
      <c r="P12" s="39">
        <f t="shared" ref="P12" si="11">O12</f>
        <v>-21.771046688650834</v>
      </c>
    </row>
    <row r="13" spans="1:16" x14ac:dyDescent="0.3">
      <c r="I13" s="102"/>
    </row>
    <row r="14" spans="1:16" x14ac:dyDescent="0.3">
      <c r="B14" t="s">
        <v>126</v>
      </c>
      <c r="I14" s="104">
        <f>I10*(1-I12)</f>
        <v>56950656.466666661</v>
      </c>
      <c r="J14" s="43">
        <f t="shared" ref="J14:P14" si="12">J10*(1-J12)</f>
        <v>61864736.629789352</v>
      </c>
      <c r="K14" s="43">
        <f t="shared" si="12"/>
        <v>67202836.204588696</v>
      </c>
      <c r="L14" s="43">
        <f t="shared" si="12"/>
        <v>73001542.396708593</v>
      </c>
      <c r="M14" s="43">
        <f t="shared" si="12"/>
        <v>79300599.398430675</v>
      </c>
      <c r="N14" s="43">
        <f t="shared" si="12"/>
        <v>86143180.794409022</v>
      </c>
      <c r="O14" s="43">
        <f t="shared" si="12"/>
        <v>93576185.472377285</v>
      </c>
      <c r="P14" s="43">
        <f t="shared" si="12"/>
        <v>101650559.06699327</v>
      </c>
    </row>
    <row r="15" spans="1:16" x14ac:dyDescent="0.3">
      <c r="I15" s="102"/>
    </row>
    <row r="16" spans="1:16" x14ac:dyDescent="0.3">
      <c r="B16" t="s">
        <v>127</v>
      </c>
      <c r="I16" s="102"/>
      <c r="J16">
        <v>0.5</v>
      </c>
      <c r="K16">
        <f>J16+1</f>
        <v>1.5</v>
      </c>
      <c r="L16">
        <f t="shared" ref="L16:N16" si="13">K16+1</f>
        <v>2.5</v>
      </c>
      <c r="M16">
        <f t="shared" si="13"/>
        <v>3.5</v>
      </c>
      <c r="N16">
        <f t="shared" si="13"/>
        <v>4.5</v>
      </c>
      <c r="O16">
        <f t="shared" ref="O16" si="14">N16+1</f>
        <v>5.5</v>
      </c>
      <c r="P16">
        <f t="shared" ref="P16" si="15">O16+1</f>
        <v>6.5</v>
      </c>
    </row>
    <row r="17" spans="1:16" x14ac:dyDescent="0.3">
      <c r="B17" t="s">
        <v>128</v>
      </c>
      <c r="I17" s="102"/>
      <c r="J17" s="68">
        <f>1/(1+$E$23)^J16</f>
        <v>0.93525856455697087</v>
      </c>
      <c r="K17" s="68">
        <f t="shared" ref="K17:P17" si="16">1/(1+$E$23)^K16</f>
        <v>0.81807869334678263</v>
      </c>
      <c r="L17" s="68">
        <f t="shared" si="16"/>
        <v>0.7155804542939439</v>
      </c>
      <c r="M17" s="68">
        <f t="shared" si="16"/>
        <v>0.62592436489537995</v>
      </c>
      <c r="N17" s="68">
        <f t="shared" si="16"/>
        <v>0.54750141401815056</v>
      </c>
      <c r="O17" s="68">
        <f t="shared" si="16"/>
        <v>0.47890418581481037</v>
      </c>
      <c r="P17" s="68">
        <f t="shared" si="16"/>
        <v>0.41890160156434436</v>
      </c>
    </row>
    <row r="18" spans="1:16" ht="15" thickBot="1" x14ac:dyDescent="0.35">
      <c r="I18" s="102"/>
    </row>
    <row r="19" spans="1:16" ht="15.6" thickTop="1" thickBot="1" x14ac:dyDescent="0.35">
      <c r="B19" t="s">
        <v>129</v>
      </c>
      <c r="I19" s="105"/>
      <c r="J19" s="91">
        <f>J14*J17</f>
        <v>57859524.777071849</v>
      </c>
      <c r="K19" s="91">
        <f t="shared" ref="K19:P19" si="17">K14*K17</f>
        <v>54977208.431447774</v>
      </c>
      <c r="L19" s="91">
        <f t="shared" si="17"/>
        <v>52238476.872395344</v>
      </c>
      <c r="M19" s="91">
        <f t="shared" si="17"/>
        <v>49636177.314285673</v>
      </c>
      <c r="N19" s="91">
        <f t="shared" si="17"/>
        <v>47163513.29296013</v>
      </c>
      <c r="O19" s="91">
        <f t="shared" si="17"/>
        <v>44814026.915304527</v>
      </c>
      <c r="P19" s="91">
        <f t="shared" si="17"/>
        <v>42581581.993074462</v>
      </c>
    </row>
    <row r="21" spans="1:16" outlineLevel="1" x14ac:dyDescent="0.3">
      <c r="B21" s="106" t="s">
        <v>130</v>
      </c>
      <c r="C21" s="106"/>
      <c r="D21" s="106"/>
      <c r="E21" s="107">
        <f>'Intrinsic Growth Rate-PKR data'!N68</f>
        <v>8.6286628952186278E-2</v>
      </c>
    </row>
    <row r="22" spans="1:16" ht="16.2" outlineLevel="1" x14ac:dyDescent="0.3">
      <c r="B22" s="106" t="s">
        <v>131</v>
      </c>
      <c r="C22" s="106"/>
      <c r="D22" s="106"/>
      <c r="E22" s="108">
        <v>0.02</v>
      </c>
    </row>
    <row r="23" spans="1:16" outlineLevel="1" x14ac:dyDescent="0.3">
      <c r="B23" s="106" t="s">
        <v>37</v>
      </c>
      <c r="C23" s="106"/>
      <c r="D23" s="106"/>
      <c r="E23" s="108">
        <f>WACC!L50</f>
        <v>0.14323789650455523</v>
      </c>
      <c r="I23" s="131" t="s">
        <v>43</v>
      </c>
    </row>
    <row r="24" spans="1:16" x14ac:dyDescent="0.3">
      <c r="I24" s="379" t="s">
        <v>405</v>
      </c>
      <c r="J24" s="379"/>
      <c r="K24" s="379"/>
      <c r="L24" s="379"/>
      <c r="M24" s="379"/>
      <c r="N24" s="379"/>
      <c r="O24" s="379"/>
    </row>
    <row r="25" spans="1:16" x14ac:dyDescent="0.3">
      <c r="I25" s="379"/>
      <c r="J25" s="379"/>
      <c r="K25" s="379"/>
      <c r="L25" s="379"/>
      <c r="M25" s="379"/>
      <c r="N25" s="379"/>
      <c r="O25" s="379"/>
    </row>
    <row r="26" spans="1:16" ht="16.2" x14ac:dyDescent="0.3">
      <c r="B26" s="16" t="s">
        <v>132</v>
      </c>
      <c r="I26" s="379"/>
      <c r="J26" s="379"/>
      <c r="K26" s="379"/>
      <c r="L26" s="379"/>
      <c r="M26" s="379"/>
      <c r="N26" s="379"/>
      <c r="O26" s="379"/>
    </row>
    <row r="27" spans="1:16" x14ac:dyDescent="0.3">
      <c r="B27" s="95" t="s">
        <v>402</v>
      </c>
    </row>
    <row r="29" spans="1:16" ht="14.4" customHeight="1" x14ac:dyDescent="0.3">
      <c r="A29" s="16" t="s">
        <v>89</v>
      </c>
      <c r="B29" s="391" t="s">
        <v>133</v>
      </c>
      <c r="C29" s="391"/>
      <c r="D29" s="391"/>
      <c r="E29" s="391"/>
      <c r="F29" s="109"/>
      <c r="G29" s="110"/>
      <c r="J29" s="401"/>
      <c r="K29" s="401"/>
      <c r="L29" s="401"/>
      <c r="M29" s="401"/>
      <c r="N29" s="401"/>
      <c r="O29" s="401"/>
    </row>
    <row r="30" spans="1:16" ht="20.399999999999999" customHeight="1" x14ac:dyDescent="0.3">
      <c r="G30" s="76"/>
      <c r="H30" s="76"/>
      <c r="I30" s="76"/>
      <c r="J30" s="111"/>
      <c r="K30" s="112"/>
      <c r="L30" s="112"/>
      <c r="M30" s="113"/>
      <c r="N30" s="112"/>
      <c r="O30" s="112"/>
    </row>
    <row r="31" spans="1:16" x14ac:dyDescent="0.3">
      <c r="B31" t="s">
        <v>134</v>
      </c>
      <c r="E31" s="61">
        <f>P14</f>
        <v>101650559.06699327</v>
      </c>
      <c r="G31" s="76"/>
      <c r="H31" s="76"/>
      <c r="I31" s="76"/>
      <c r="J31" s="112"/>
      <c r="K31" s="109"/>
      <c r="L31" s="109"/>
      <c r="M31" s="109"/>
      <c r="N31" s="109"/>
      <c r="O31" s="109"/>
      <c r="P31" s="109"/>
    </row>
    <row r="32" spans="1:16" x14ac:dyDescent="0.3">
      <c r="B32" t="s">
        <v>37</v>
      </c>
      <c r="E32" s="39">
        <f>E23</f>
        <v>0.14323789650455523</v>
      </c>
      <c r="G32" s="76"/>
      <c r="H32" s="76"/>
      <c r="I32" s="76"/>
      <c r="J32" s="112"/>
      <c r="K32" s="391" t="s">
        <v>135</v>
      </c>
      <c r="L32" s="391"/>
      <c r="M32" s="391"/>
      <c r="N32" s="391"/>
      <c r="O32" s="391"/>
      <c r="P32" s="391"/>
    </row>
    <row r="33" spans="1:16" x14ac:dyDescent="0.3">
      <c r="B33" t="s">
        <v>136</v>
      </c>
      <c r="E33" s="39">
        <f>E22</f>
        <v>0.02</v>
      </c>
      <c r="G33" s="76"/>
      <c r="H33" s="76"/>
      <c r="I33" s="76"/>
      <c r="J33" s="112"/>
      <c r="K33" s="111">
        <f>E54</f>
        <v>70.406669764427278</v>
      </c>
      <c r="L33" s="112">
        <v>0.06</v>
      </c>
      <c r="M33" s="112">
        <v>0.08</v>
      </c>
      <c r="N33" s="114">
        <v>0.13797911726327036</v>
      </c>
      <c r="O33" s="112">
        <v>0.13</v>
      </c>
      <c r="P33" s="112">
        <v>0.15</v>
      </c>
    </row>
    <row r="34" spans="1:16" ht="15" thickBot="1" x14ac:dyDescent="0.35">
      <c r="G34" s="76"/>
      <c r="H34" s="76"/>
      <c r="I34" s="76"/>
      <c r="J34" s="112"/>
      <c r="K34" s="112">
        <v>0.01</v>
      </c>
      <c r="L34" s="115">
        <f t="dataTable" ref="L34:P38" dt2D="1" dtr="1" r1="E23" r2="E22" ca="1"/>
        <v>329.22909269549342</v>
      </c>
      <c r="M34" s="115">
        <v>208.76148006961529</v>
      </c>
      <c r="N34" s="115">
        <v>69.927843580222074</v>
      </c>
      <c r="O34" s="115">
        <v>81.238007684841435</v>
      </c>
      <c r="P34" s="116">
        <v>55.261910206689379</v>
      </c>
    </row>
    <row r="35" spans="1:16" ht="17.399999999999999" thickTop="1" thickBot="1" x14ac:dyDescent="0.35">
      <c r="B35" s="16" t="s">
        <v>137</v>
      </c>
      <c r="C35" s="91"/>
      <c r="D35" s="91"/>
      <c r="E35" s="117">
        <f>E31/(E32-E33)</f>
        <v>824831987.1577487</v>
      </c>
      <c r="G35" s="76"/>
      <c r="H35" s="76"/>
      <c r="I35" s="76"/>
      <c r="J35" s="112"/>
      <c r="K35" s="112">
        <v>1.4999999999999999E-2</v>
      </c>
      <c r="L35" s="115">
        <v>366.20535475983996</v>
      </c>
      <c r="M35" s="115">
        <v>225.5713216899469</v>
      </c>
      <c r="N35" s="115">
        <v>73.768514702120214</v>
      </c>
      <c r="O35" s="115">
        <v>85.759167260709944</v>
      </c>
      <c r="P35" s="116">
        <v>58.312472038922358</v>
      </c>
    </row>
    <row r="36" spans="1:16" x14ac:dyDescent="0.3">
      <c r="J36" s="118"/>
      <c r="K36" s="114">
        <v>0.02</v>
      </c>
      <c r="L36" s="115">
        <v>412.42568234027317</v>
      </c>
      <c r="M36" s="115">
        <v>245.18280358033383</v>
      </c>
      <c r="N36" s="119">
        <v>77.934724038830367</v>
      </c>
      <c r="O36" s="115">
        <v>90.691341343475628</v>
      </c>
      <c r="P36" s="116">
        <v>61.597692473634787</v>
      </c>
    </row>
    <row r="37" spans="1:16" ht="15" thickBot="1" x14ac:dyDescent="0.35">
      <c r="B37" s="110" t="s">
        <v>42</v>
      </c>
      <c r="J37" s="120"/>
      <c r="K37" s="112">
        <v>2.5000000000000001E-2</v>
      </c>
      <c r="L37" s="115">
        <v>471.85181780083019</v>
      </c>
      <c r="M37" s="115">
        <v>268.36000945079115</v>
      </c>
      <c r="N37" s="115">
        <v>82.469692615091091</v>
      </c>
      <c r="O37" s="115">
        <v>96.093246291266581</v>
      </c>
      <c r="P37" s="116">
        <v>65.145730543124216</v>
      </c>
    </row>
    <row r="38" spans="1:16" ht="14.4" customHeight="1" x14ac:dyDescent="0.3">
      <c r="B38" s="392" t="s">
        <v>138</v>
      </c>
      <c r="C38" s="393"/>
      <c r="D38" s="393"/>
      <c r="E38" s="393"/>
      <c r="F38" s="393"/>
      <c r="G38" s="393"/>
      <c r="H38" s="394"/>
      <c r="I38" s="121"/>
      <c r="J38" s="95"/>
      <c r="K38" s="112">
        <v>0.03</v>
      </c>
      <c r="L38" s="115">
        <v>551.08666508157273</v>
      </c>
      <c r="M38" s="115">
        <v>296.17265649533982</v>
      </c>
      <c r="N38" s="115">
        <v>87.424646897032673</v>
      </c>
      <c r="O38" s="115">
        <v>102.03534173383665</v>
      </c>
      <c r="P38" s="116">
        <v>68.989438451737769</v>
      </c>
    </row>
    <row r="39" spans="1:16" x14ac:dyDescent="0.3">
      <c r="B39" s="395"/>
      <c r="C39" s="396"/>
      <c r="D39" s="396"/>
      <c r="E39" s="396"/>
      <c r="F39" s="396"/>
      <c r="G39" s="396"/>
      <c r="H39" s="397"/>
      <c r="I39" s="121"/>
      <c r="K39" s="120" t="s">
        <v>47</v>
      </c>
    </row>
    <row r="40" spans="1:16" x14ac:dyDescent="0.3">
      <c r="B40" s="395"/>
      <c r="C40" s="396"/>
      <c r="D40" s="396"/>
      <c r="E40" s="396"/>
      <c r="F40" s="396"/>
      <c r="G40" s="396"/>
      <c r="H40" s="397"/>
      <c r="I40" s="121"/>
      <c r="K40" s="95" t="s">
        <v>139</v>
      </c>
    </row>
    <row r="41" spans="1:16" x14ac:dyDescent="0.3">
      <c r="B41" s="395"/>
      <c r="C41" s="396"/>
      <c r="D41" s="396"/>
      <c r="E41" s="396"/>
      <c r="F41" s="396"/>
      <c r="G41" s="396"/>
      <c r="H41" s="397"/>
      <c r="I41" s="121"/>
      <c r="K41" s="95"/>
    </row>
    <row r="42" spans="1:16" ht="15" thickBot="1" x14ac:dyDescent="0.35">
      <c r="B42" s="398"/>
      <c r="C42" s="399"/>
      <c r="D42" s="399"/>
      <c r="E42" s="399"/>
      <c r="F42" s="399"/>
      <c r="G42" s="399"/>
      <c r="H42" s="400"/>
      <c r="I42" s="121"/>
    </row>
    <row r="43" spans="1:16" ht="25.2" customHeight="1" x14ac:dyDescent="0.3">
      <c r="B43" s="121"/>
      <c r="C43" s="121"/>
      <c r="D43" s="121"/>
      <c r="E43" s="121"/>
      <c r="F43" s="121"/>
      <c r="G43" s="121"/>
      <c r="H43" s="121"/>
      <c r="I43" s="121"/>
    </row>
    <row r="44" spans="1:16" ht="14.4" customHeight="1" x14ac:dyDescent="0.3">
      <c r="A44" s="16" t="s">
        <v>89</v>
      </c>
      <c r="B44" s="391" t="s">
        <v>140</v>
      </c>
      <c r="C44" s="391"/>
      <c r="D44" s="391"/>
      <c r="E44" s="391"/>
    </row>
    <row r="46" spans="1:16" x14ac:dyDescent="0.3">
      <c r="B46" t="s">
        <v>129</v>
      </c>
      <c r="E46" s="61">
        <f>SUM(J19:P19)</f>
        <v>349270509.5965398</v>
      </c>
    </row>
    <row r="47" spans="1:16" x14ac:dyDescent="0.3">
      <c r="B47" t="s">
        <v>141</v>
      </c>
      <c r="E47" s="3">
        <f>E35*N17</f>
        <v>451596679.2962684</v>
      </c>
      <c r="J47" s="73"/>
    </row>
    <row r="48" spans="1:16" x14ac:dyDescent="0.3">
      <c r="B48" s="73" t="s">
        <v>142</v>
      </c>
      <c r="C48" s="73"/>
      <c r="D48" s="73"/>
      <c r="E48" s="122">
        <f>E46+E47</f>
        <v>800867188.8928082</v>
      </c>
      <c r="L48" s="73"/>
    </row>
    <row r="49" spans="1:12" x14ac:dyDescent="0.3">
      <c r="B49" s="73"/>
      <c r="C49" s="73"/>
      <c r="D49" s="73"/>
      <c r="E49" s="123"/>
    </row>
    <row r="50" spans="1:12" x14ac:dyDescent="0.3">
      <c r="B50" s="124" t="s">
        <v>143</v>
      </c>
      <c r="C50" s="73"/>
      <c r="D50" s="73"/>
      <c r="E50" s="61">
        <f>'Raw BS'!C24</f>
        <v>5168597</v>
      </c>
    </row>
    <row r="51" spans="1:12" x14ac:dyDescent="0.3">
      <c r="B51" s="124" t="s">
        <v>144</v>
      </c>
      <c r="C51" s="73"/>
      <c r="D51" s="73"/>
      <c r="E51" s="61">
        <f>'Raw BS'!C57*-1</f>
        <v>-475124438</v>
      </c>
    </row>
    <row r="52" spans="1:12" x14ac:dyDescent="0.3">
      <c r="B52" s="125" t="s">
        <v>145</v>
      </c>
      <c r="C52" s="94"/>
      <c r="D52" s="94"/>
      <c r="E52" s="126">
        <f>E48+E50+E51</f>
        <v>330911347.8928082</v>
      </c>
      <c r="F52" s="61"/>
      <c r="H52" s="61"/>
      <c r="I52" s="61"/>
    </row>
    <row r="53" spans="1:12" ht="15" thickBot="1" x14ac:dyDescent="0.35">
      <c r="B53" s="124" t="s">
        <v>404</v>
      </c>
      <c r="E53" s="3">
        <f>(4.7*10^9)/1000</f>
        <v>4700000</v>
      </c>
      <c r="G53" s="61"/>
    </row>
    <row r="54" spans="1:12" ht="15.6" thickTop="1" thickBot="1" x14ac:dyDescent="0.35">
      <c r="A54" s="16" t="s">
        <v>89</v>
      </c>
      <c r="B54" s="117" t="s">
        <v>146</v>
      </c>
      <c r="C54" s="117"/>
      <c r="D54" s="117"/>
      <c r="E54" s="127">
        <f>E52/E53</f>
        <v>70.406669764427278</v>
      </c>
    </row>
    <row r="56" spans="1:12" x14ac:dyDescent="0.3">
      <c r="A56" s="16" t="s">
        <v>89</v>
      </c>
      <c r="B56" s="73" t="s">
        <v>412</v>
      </c>
      <c r="E56">
        <f>(85.3/60%)</f>
        <v>142.16666666666666</v>
      </c>
      <c r="F56" s="73" t="s">
        <v>403</v>
      </c>
    </row>
    <row r="58" spans="1:12" x14ac:dyDescent="0.3">
      <c r="B58" s="73" t="s">
        <v>425</v>
      </c>
      <c r="E58" s="358">
        <f>(E56*10^9)/(E53*1000)</f>
        <v>30.248226950354606</v>
      </c>
      <c r="F58" s="60" t="s">
        <v>447</v>
      </c>
    </row>
    <row r="59" spans="1:12" x14ac:dyDescent="0.3">
      <c r="B59" s="130"/>
      <c r="C59" s="130"/>
      <c r="D59" s="130"/>
      <c r="E59" s="130"/>
      <c r="F59" s="130"/>
      <c r="G59" s="130"/>
      <c r="H59" s="130"/>
      <c r="I59" s="130"/>
      <c r="J59" s="130"/>
      <c r="K59" s="130"/>
      <c r="L59" s="130"/>
    </row>
    <row r="60" spans="1:12" x14ac:dyDescent="0.3">
      <c r="B60" s="130"/>
      <c r="C60" s="130"/>
      <c r="D60" s="130"/>
      <c r="E60" s="130"/>
      <c r="F60" s="130"/>
      <c r="G60" s="130"/>
      <c r="H60" s="130"/>
      <c r="I60" s="130"/>
      <c r="J60" s="130"/>
      <c r="K60" s="130"/>
      <c r="L60" s="130"/>
    </row>
    <row r="61" spans="1:12" x14ac:dyDescent="0.3">
      <c r="B61" s="130"/>
      <c r="C61" s="130"/>
      <c r="D61" s="130"/>
      <c r="E61" s="130"/>
      <c r="F61" s="130"/>
      <c r="G61" s="130"/>
      <c r="H61" s="130"/>
      <c r="I61" s="130"/>
      <c r="J61" s="130"/>
      <c r="K61" s="130"/>
      <c r="L61" s="130"/>
    </row>
    <row r="62" spans="1:12" x14ac:dyDescent="0.3">
      <c r="B62" s="130"/>
      <c r="C62" s="130"/>
      <c r="D62" s="130"/>
      <c r="E62" s="130"/>
      <c r="F62" s="130"/>
      <c r="G62" s="130"/>
      <c r="H62" s="130"/>
      <c r="I62" s="130"/>
      <c r="J62" s="130"/>
      <c r="K62" s="130"/>
      <c r="L62" s="130"/>
    </row>
    <row r="63" spans="1:12" x14ac:dyDescent="0.3">
      <c r="B63" s="130"/>
      <c r="C63" s="130"/>
      <c r="D63" s="130"/>
      <c r="E63" s="130"/>
      <c r="F63" s="130"/>
      <c r="G63" s="130"/>
      <c r="H63" s="130"/>
      <c r="I63" s="130"/>
      <c r="J63" s="130"/>
      <c r="K63" s="130"/>
      <c r="L63" s="130"/>
    </row>
    <row r="64" spans="1:12" x14ac:dyDescent="0.3">
      <c r="B64" s="130"/>
      <c r="C64" s="130"/>
      <c r="D64" s="130"/>
      <c r="E64" s="130"/>
      <c r="F64" s="130"/>
      <c r="G64" s="130"/>
      <c r="H64" s="130"/>
      <c r="I64" s="130"/>
      <c r="J64" s="130"/>
      <c r="K64" s="130"/>
      <c r="L64" s="130"/>
    </row>
    <row r="65" spans="2:12" x14ac:dyDescent="0.3">
      <c r="B65" s="130"/>
      <c r="C65" s="130"/>
      <c r="D65" s="130"/>
      <c r="E65" s="130"/>
      <c r="F65" s="130"/>
      <c r="G65" s="130"/>
      <c r="H65" s="130"/>
      <c r="I65" s="130"/>
      <c r="J65" s="130"/>
      <c r="K65" s="130"/>
      <c r="L65" s="130"/>
    </row>
    <row r="66" spans="2:12" x14ac:dyDescent="0.3">
      <c r="B66" s="130"/>
      <c r="C66" s="130"/>
      <c r="D66" s="130"/>
      <c r="E66" s="130"/>
      <c r="F66" s="130"/>
      <c r="G66" s="130"/>
      <c r="H66" s="130"/>
      <c r="I66" s="130"/>
      <c r="J66" s="130"/>
      <c r="K66" s="130"/>
      <c r="L66" s="130"/>
    </row>
    <row r="67" spans="2:12" x14ac:dyDescent="0.3">
      <c r="B67" s="130"/>
      <c r="C67" s="130"/>
      <c r="D67" s="130"/>
      <c r="E67" s="130"/>
      <c r="F67" s="130"/>
      <c r="G67" s="130"/>
      <c r="H67" s="130"/>
      <c r="I67" s="130"/>
      <c r="J67" s="130"/>
      <c r="K67" s="130"/>
      <c r="L67" s="130"/>
    </row>
    <row r="68" spans="2:12" x14ac:dyDescent="0.3">
      <c r="B68" s="130"/>
      <c r="C68" s="130"/>
      <c r="D68" s="130"/>
      <c r="E68" s="130"/>
      <c r="F68" s="130"/>
      <c r="G68" s="130"/>
      <c r="H68" s="130"/>
      <c r="I68" s="130"/>
      <c r="J68" s="130"/>
      <c r="K68" s="130"/>
      <c r="L68" s="130"/>
    </row>
  </sheetData>
  <mergeCells count="9">
    <mergeCell ref="B38:H42"/>
    <mergeCell ref="B44:E44"/>
    <mergeCell ref="I24:O26"/>
    <mergeCell ref="B2:H2"/>
    <mergeCell ref="B4:G4"/>
    <mergeCell ref="B29:E29"/>
    <mergeCell ref="J29:O29"/>
    <mergeCell ref="K32:P32"/>
    <mergeCell ref="J3:P3"/>
  </mergeCell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0F393-2B45-400D-A681-EDFCFC2E0F58}">
  <dimension ref="A2:Q78"/>
  <sheetViews>
    <sheetView showGridLines="0" topLeftCell="A41" workbookViewId="0">
      <selection activeCell="B67" sqref="B67"/>
    </sheetView>
  </sheetViews>
  <sheetFormatPr defaultRowHeight="14.4" outlineLevelRow="1" x14ac:dyDescent="0.3"/>
  <cols>
    <col min="1" max="1" width="3.88671875" customWidth="1"/>
    <col min="2" max="2" width="21.44140625" customWidth="1"/>
    <col min="5" max="5" width="17.6640625" customWidth="1"/>
    <col min="10" max="10" width="12.5546875" bestFit="1" customWidth="1"/>
    <col min="11" max="11" width="13.6640625" bestFit="1" customWidth="1"/>
    <col min="12" max="12" width="19.88671875" customWidth="1"/>
    <col min="13" max="13" width="18.44140625" customWidth="1"/>
    <col min="14" max="14" width="15" customWidth="1"/>
    <col min="15" max="15" width="17.88671875" customWidth="1"/>
    <col min="16" max="17" width="14.77734375" customWidth="1"/>
  </cols>
  <sheetData>
    <row r="2" spans="1:17" x14ac:dyDescent="0.3">
      <c r="B2" s="363" t="str">
        <f>"Further Sensitivity Analysis"&amp;" - "&amp;WACC!$B$12</f>
        <v>Further Sensitivity Analysis - Pakistan International Airlines</v>
      </c>
      <c r="C2" s="363"/>
      <c r="D2" s="363"/>
      <c r="E2" s="363"/>
      <c r="F2" s="363"/>
      <c r="G2" s="363"/>
      <c r="H2" s="363"/>
      <c r="I2" s="363"/>
    </row>
    <row r="3" spans="1:17" x14ac:dyDescent="0.3">
      <c r="J3" s="100" t="s">
        <v>122</v>
      </c>
    </row>
    <row r="4" spans="1:17" ht="14.4" customHeight="1" x14ac:dyDescent="0.3">
      <c r="A4" s="16" t="s">
        <v>89</v>
      </c>
      <c r="B4" s="391" t="s">
        <v>123</v>
      </c>
      <c r="C4" s="391"/>
      <c r="D4" s="391"/>
      <c r="E4" s="391"/>
      <c r="F4" s="391"/>
      <c r="G4" s="391"/>
      <c r="H4" s="81"/>
      <c r="I4" s="81"/>
      <c r="J4" s="62">
        <f>'DCF &amp; Sensitivity Analysis'!I4</f>
        <v>2023</v>
      </c>
      <c r="K4" s="62">
        <f>J4+1</f>
        <v>2024</v>
      </c>
      <c r="L4" s="62">
        <f t="shared" ref="L4:O4" si="0">K4+1</f>
        <v>2025</v>
      </c>
      <c r="M4" s="62">
        <f t="shared" si="0"/>
        <v>2026</v>
      </c>
      <c r="N4" s="62">
        <f t="shared" si="0"/>
        <v>2027</v>
      </c>
      <c r="O4" s="62">
        <f t="shared" si="0"/>
        <v>2028</v>
      </c>
      <c r="P4" s="62">
        <f t="shared" ref="P4" si="1">O4+1</f>
        <v>2029</v>
      </c>
      <c r="Q4" s="62">
        <f t="shared" ref="Q4" si="2">P4+1</f>
        <v>2030</v>
      </c>
    </row>
    <row r="6" spans="1:17" x14ac:dyDescent="0.3">
      <c r="B6" t="s">
        <v>115</v>
      </c>
      <c r="J6" s="101">
        <f>'DCF &amp; Sensitivity Analysis'!I6</f>
        <v>3572874</v>
      </c>
      <c r="K6" s="61">
        <f>J6*(1+$E$21)</f>
        <v>3881165.2531309132</v>
      </c>
      <c r="L6" s="61">
        <f t="shared" ref="L6:O6" si="3">K6*(1+$E$21)</f>
        <v>4216057.9192299377</v>
      </c>
      <c r="M6" s="61">
        <f t="shared" si="3"/>
        <v>4579847.344547458</v>
      </c>
      <c r="N6" s="61">
        <f t="shared" si="3"/>
        <v>4975026.9330240795</v>
      </c>
      <c r="O6" s="61">
        <f t="shared" si="3"/>
        <v>5404305.2360210614</v>
      </c>
      <c r="P6" s="61">
        <f t="shared" ref="P6" si="4">O6*(1+$E$21)</f>
        <v>5870624.5166659681</v>
      </c>
      <c r="Q6" s="61">
        <f t="shared" ref="Q6" si="5">P6*(1+$E$21)</f>
        <v>6377180.9160531322</v>
      </c>
    </row>
    <row r="7" spans="1:17" x14ac:dyDescent="0.3">
      <c r="J7" s="102"/>
    </row>
    <row r="8" spans="1:17" x14ac:dyDescent="0.3">
      <c r="B8" t="s">
        <v>124</v>
      </c>
      <c r="J8" s="103">
        <f>'DCF &amp; Sensitivity Analysis'!I8</f>
        <v>0.3</v>
      </c>
      <c r="K8" s="42">
        <f>J8</f>
        <v>0.3</v>
      </c>
      <c r="L8" s="42">
        <f t="shared" ref="L8:O8" si="6">K8</f>
        <v>0.3</v>
      </c>
      <c r="M8" s="42">
        <f t="shared" si="6"/>
        <v>0.3</v>
      </c>
      <c r="N8" s="42">
        <f t="shared" si="6"/>
        <v>0.3</v>
      </c>
      <c r="O8" s="42">
        <f t="shared" si="6"/>
        <v>0.3</v>
      </c>
      <c r="P8" s="42">
        <f t="shared" ref="P8" si="7">O8</f>
        <v>0.3</v>
      </c>
      <c r="Q8" s="42">
        <f t="shared" ref="Q8" si="8">P8</f>
        <v>0.3</v>
      </c>
    </row>
    <row r="9" spans="1:17" x14ac:dyDescent="0.3">
      <c r="J9" s="102"/>
    </row>
    <row r="10" spans="1:17" x14ac:dyDescent="0.3">
      <c r="B10" t="s">
        <v>117</v>
      </c>
      <c r="J10" s="104">
        <f>J6*(1-J8)</f>
        <v>2501011.7999999998</v>
      </c>
      <c r="K10" s="43">
        <f t="shared" ref="K10:O10" si="9">K6*(1-K8)</f>
        <v>2716815.6771916393</v>
      </c>
      <c r="L10" s="43">
        <f t="shared" si="9"/>
        <v>2951240.5434609563</v>
      </c>
      <c r="M10" s="43">
        <f t="shared" si="9"/>
        <v>3205893.1411832203</v>
      </c>
      <c r="N10" s="43">
        <f t="shared" si="9"/>
        <v>3482518.8531168555</v>
      </c>
      <c r="O10" s="43">
        <f t="shared" si="9"/>
        <v>3783013.6652147425</v>
      </c>
      <c r="P10" s="43">
        <f t="shared" ref="P10:Q10" si="10">P6*(1-P8)</f>
        <v>4109437.1616661772</v>
      </c>
      <c r="Q10" s="43">
        <f t="shared" si="10"/>
        <v>4464026.6412371919</v>
      </c>
    </row>
    <row r="11" spans="1:17" x14ac:dyDescent="0.3">
      <c r="J11" s="102"/>
    </row>
    <row r="12" spans="1:17" x14ac:dyDescent="0.3">
      <c r="B12" t="s">
        <v>125</v>
      </c>
      <c r="J12" s="32">
        <f>'DCF &amp; Sensitivity Analysis'!I12</f>
        <v>-21.771046688650834</v>
      </c>
      <c r="K12" s="39">
        <f>J12</f>
        <v>-21.771046688650834</v>
      </c>
      <c r="L12" s="39">
        <f t="shared" ref="L12:O12" si="11">K12</f>
        <v>-21.771046688650834</v>
      </c>
      <c r="M12" s="39">
        <f t="shared" si="11"/>
        <v>-21.771046688650834</v>
      </c>
      <c r="N12" s="39">
        <f t="shared" si="11"/>
        <v>-21.771046688650834</v>
      </c>
      <c r="O12" s="39">
        <f t="shared" si="11"/>
        <v>-21.771046688650834</v>
      </c>
      <c r="P12" s="39">
        <f t="shared" ref="P12" si="12">O12</f>
        <v>-21.771046688650834</v>
      </c>
      <c r="Q12" s="39">
        <f t="shared" ref="Q12" si="13">P12</f>
        <v>-21.771046688650834</v>
      </c>
    </row>
    <row r="13" spans="1:17" x14ac:dyDescent="0.3">
      <c r="J13" s="102"/>
    </row>
    <row r="14" spans="1:17" x14ac:dyDescent="0.3">
      <c r="B14" t="s">
        <v>126</v>
      </c>
      <c r="J14" s="104">
        <f>J10*(1-J12)</f>
        <v>56950656.466666661</v>
      </c>
      <c r="K14" s="43">
        <f t="shared" ref="K14:O14" si="14">K10*(1-K12)</f>
        <v>61864736.629789352</v>
      </c>
      <c r="L14" s="43">
        <f t="shared" si="14"/>
        <v>67202836.204588696</v>
      </c>
      <c r="M14" s="43">
        <f t="shared" si="14"/>
        <v>73001542.396708593</v>
      </c>
      <c r="N14" s="43">
        <f t="shared" si="14"/>
        <v>79300599.398430675</v>
      </c>
      <c r="O14" s="43">
        <f t="shared" si="14"/>
        <v>86143180.794409022</v>
      </c>
      <c r="P14" s="43">
        <f t="shared" ref="P14:Q14" si="15">P10*(1-P12)</f>
        <v>93576185.472377285</v>
      </c>
      <c r="Q14" s="43">
        <f t="shared" si="15"/>
        <v>101650559.06699327</v>
      </c>
    </row>
    <row r="15" spans="1:17" x14ac:dyDescent="0.3">
      <c r="J15" s="102"/>
    </row>
    <row r="16" spans="1:17" x14ac:dyDescent="0.3">
      <c r="B16" t="s">
        <v>127</v>
      </c>
      <c r="J16" s="102"/>
      <c r="K16">
        <v>0.5</v>
      </c>
      <c r="L16">
        <f>K16+1</f>
        <v>1.5</v>
      </c>
      <c r="M16">
        <f t="shared" ref="M16:O16" si="16">L16+1</f>
        <v>2.5</v>
      </c>
      <c r="N16">
        <f t="shared" si="16"/>
        <v>3.5</v>
      </c>
      <c r="O16">
        <f t="shared" si="16"/>
        <v>4.5</v>
      </c>
      <c r="P16">
        <f t="shared" ref="P16" si="17">O16+1</f>
        <v>5.5</v>
      </c>
      <c r="Q16">
        <f t="shared" ref="Q16" si="18">P16+1</f>
        <v>6.5</v>
      </c>
    </row>
    <row r="17" spans="1:17" x14ac:dyDescent="0.3">
      <c r="B17" t="s">
        <v>128</v>
      </c>
      <c r="J17" s="102"/>
      <c r="K17" s="68">
        <f>1/(1+$E$23)^K16</f>
        <v>0.93525856455697087</v>
      </c>
      <c r="L17" s="68">
        <f t="shared" ref="L17:O17" si="19">1/(1+$E$23)^L16</f>
        <v>0.81807869334678263</v>
      </c>
      <c r="M17" s="68">
        <f t="shared" si="19"/>
        <v>0.7155804542939439</v>
      </c>
      <c r="N17" s="68">
        <f t="shared" si="19"/>
        <v>0.62592436489537995</v>
      </c>
      <c r="O17" s="68">
        <f t="shared" si="19"/>
        <v>0.54750141401815056</v>
      </c>
      <c r="P17" s="68">
        <f t="shared" ref="P17:Q17" si="20">1/(1+$E$23)^P16</f>
        <v>0.47890418581481037</v>
      </c>
      <c r="Q17" s="68">
        <f t="shared" si="20"/>
        <v>0.41890160156434436</v>
      </c>
    </row>
    <row r="18" spans="1:17" ht="15" thickBot="1" x14ac:dyDescent="0.35">
      <c r="J18" s="102"/>
    </row>
    <row r="19" spans="1:17" ht="15.6" thickTop="1" thickBot="1" x14ac:dyDescent="0.35">
      <c r="B19" t="s">
        <v>129</v>
      </c>
      <c r="J19" s="105"/>
      <c r="K19" s="91">
        <f>K14*K17</f>
        <v>57859524.777071849</v>
      </c>
      <c r="L19" s="91">
        <f t="shared" ref="L19:O19" si="21">L14*L17</f>
        <v>54977208.431447774</v>
      </c>
      <c r="M19" s="91">
        <f t="shared" si="21"/>
        <v>52238476.872395344</v>
      </c>
      <c r="N19" s="91">
        <f t="shared" si="21"/>
        <v>49636177.314285673</v>
      </c>
      <c r="O19" s="91">
        <f t="shared" si="21"/>
        <v>47163513.29296013</v>
      </c>
      <c r="P19" s="91">
        <f t="shared" ref="P19:Q19" si="22">P14*P17</f>
        <v>44814026.915304527</v>
      </c>
      <c r="Q19" s="91">
        <f t="shared" si="22"/>
        <v>42581581.993074462</v>
      </c>
    </row>
    <row r="21" spans="1:17" outlineLevel="1" x14ac:dyDescent="0.3">
      <c r="B21" s="106" t="s">
        <v>130</v>
      </c>
      <c r="C21" s="106"/>
      <c r="D21" s="106"/>
      <c r="E21" s="107">
        <f>'DCF &amp; Sensitivity Analysis'!E21</f>
        <v>8.6286628952186278E-2</v>
      </c>
    </row>
    <row r="22" spans="1:17" ht="16.2" outlineLevel="1" x14ac:dyDescent="0.3">
      <c r="B22" s="106" t="s">
        <v>131</v>
      </c>
      <c r="C22" s="106"/>
      <c r="D22" s="106"/>
      <c r="E22" s="108">
        <v>0.02</v>
      </c>
    </row>
    <row r="23" spans="1:17" outlineLevel="1" x14ac:dyDescent="0.3">
      <c r="B23" s="106" t="s">
        <v>37</v>
      </c>
      <c r="C23" s="106"/>
      <c r="D23" s="106"/>
      <c r="E23" s="108">
        <f>WACC!L50</f>
        <v>0.14323789650455523</v>
      </c>
    </row>
    <row r="25" spans="1:17" x14ac:dyDescent="0.3">
      <c r="K25" s="131" t="s">
        <v>148</v>
      </c>
    </row>
    <row r="26" spans="1:17" x14ac:dyDescent="0.3">
      <c r="K26" s="391" t="s">
        <v>149</v>
      </c>
      <c r="L26" s="391"/>
      <c r="M26" s="391"/>
      <c r="N26" s="391"/>
      <c r="O26" s="391"/>
      <c r="P26" s="391"/>
    </row>
    <row r="27" spans="1:17" ht="14.4" customHeight="1" x14ac:dyDescent="0.3">
      <c r="A27" s="16" t="s">
        <v>89</v>
      </c>
      <c r="B27" s="391" t="s">
        <v>133</v>
      </c>
      <c r="C27" s="391"/>
      <c r="D27" s="391"/>
      <c r="E27" s="391"/>
      <c r="F27" s="109"/>
      <c r="G27" s="110"/>
      <c r="L27" s="390" t="s">
        <v>121</v>
      </c>
      <c r="M27" s="390"/>
      <c r="N27" s="390"/>
      <c r="O27" s="390"/>
      <c r="P27" s="390"/>
    </row>
    <row r="28" spans="1:17" ht="20.399999999999999" customHeight="1" x14ac:dyDescent="0.3">
      <c r="G28" s="76"/>
      <c r="H28" s="76"/>
      <c r="I28" s="76"/>
      <c r="J28" s="76"/>
      <c r="K28" s="111">
        <f>E48</f>
        <v>70.406669764427278</v>
      </c>
      <c r="L28" s="112">
        <v>0.05</v>
      </c>
      <c r="M28" s="112">
        <v>7.0000000000000007E-2</v>
      </c>
      <c r="N28" s="132">
        <v>8.6286628952186278E-2</v>
      </c>
      <c r="O28" s="112">
        <v>0.11</v>
      </c>
      <c r="P28" s="112">
        <v>0.14000000000000001</v>
      </c>
    </row>
    <row r="29" spans="1:17" x14ac:dyDescent="0.3">
      <c r="B29" t="s">
        <v>134</v>
      </c>
      <c r="E29" s="61">
        <f>Q14</f>
        <v>101650559.06699327</v>
      </c>
      <c r="G29" s="76"/>
      <c r="H29" s="76"/>
      <c r="I29" s="76"/>
      <c r="J29" s="402" t="s">
        <v>37</v>
      </c>
      <c r="K29" s="112">
        <v>0.1</v>
      </c>
      <c r="L29" s="115">
        <f t="dataTable" ref="L29:P33" dt2D="1" dtr="1" r1="E21" r2="E23" ca="1"/>
        <v>112.97819702046648</v>
      </c>
      <c r="M29" s="115">
        <v>138.16735713757905</v>
      </c>
      <c r="N29" s="115">
        <v>160.6998677352959</v>
      </c>
      <c r="O29" s="115">
        <v>197.05196969721658</v>
      </c>
      <c r="P29" s="116">
        <v>249.71278660422345</v>
      </c>
    </row>
    <row r="30" spans="1:17" x14ac:dyDescent="0.3">
      <c r="B30" t="s">
        <v>37</v>
      </c>
      <c r="E30" s="39">
        <f>E23</f>
        <v>0.14323789650455523</v>
      </c>
      <c r="G30" s="76"/>
      <c r="H30" s="76"/>
      <c r="I30" s="76"/>
      <c r="J30" s="402"/>
      <c r="K30" s="112">
        <v>0.12</v>
      </c>
      <c r="L30" s="115">
        <v>72.316925738862778</v>
      </c>
      <c r="M30" s="115">
        <v>91.943157892541606</v>
      </c>
      <c r="N30" s="134">
        <v>109.46975878344158</v>
      </c>
      <c r="O30" s="115">
        <v>137.69612817887307</v>
      </c>
      <c r="P30" s="116">
        <v>178.49698873444248</v>
      </c>
    </row>
    <row r="31" spans="1:17" x14ac:dyDescent="0.3">
      <c r="B31" t="s">
        <v>136</v>
      </c>
      <c r="E31" s="39">
        <f>E22</f>
        <v>0.02</v>
      </c>
      <c r="G31" s="76"/>
      <c r="H31" s="76"/>
      <c r="I31" s="76"/>
      <c r="J31" s="402"/>
      <c r="K31" s="114">
        <v>0.13797911726327036</v>
      </c>
      <c r="L31" s="115">
        <v>47.226394472235057</v>
      </c>
      <c r="M31" s="115">
        <v>63.459510977585012</v>
      </c>
      <c r="N31" s="133">
        <v>77.934724038830367</v>
      </c>
      <c r="O31" s="115">
        <v>101.21132623030708</v>
      </c>
      <c r="P31" s="116">
        <v>134.79375810042487</v>
      </c>
    </row>
    <row r="32" spans="1:17" ht="15" thickBot="1" x14ac:dyDescent="0.35">
      <c r="G32" s="76"/>
      <c r="H32" s="76"/>
      <c r="I32" s="76"/>
      <c r="J32" s="402"/>
      <c r="K32" s="112">
        <v>0.16</v>
      </c>
      <c r="L32" s="115">
        <v>25.0117992962264</v>
      </c>
      <c r="M32" s="115">
        <v>38.278973293979419</v>
      </c>
      <c r="N32" s="115">
        <v>50.088845908956678</v>
      </c>
      <c r="O32" s="115">
        <v>69.04510048273589</v>
      </c>
      <c r="P32" s="116">
        <v>96.332797115035007</v>
      </c>
    </row>
    <row r="33" spans="1:16" ht="17.399999999999999" thickTop="1" thickBot="1" x14ac:dyDescent="0.35">
      <c r="B33" s="16" t="s">
        <v>137</v>
      </c>
      <c r="C33" s="91"/>
      <c r="D33" s="91"/>
      <c r="E33" s="117">
        <f>E29/(E30-E31)</f>
        <v>824831987.1577487</v>
      </c>
      <c r="G33" s="76"/>
      <c r="H33" s="76"/>
      <c r="I33" s="76"/>
      <c r="J33" s="402"/>
      <c r="K33" s="112">
        <v>0.18</v>
      </c>
      <c r="L33" s="115">
        <v>9.9600054479247326</v>
      </c>
      <c r="M33" s="115">
        <v>21.246077496684663</v>
      </c>
      <c r="N33" s="115">
        <v>31.277040746516217</v>
      </c>
      <c r="O33" s="115">
        <v>47.352166347476803</v>
      </c>
      <c r="P33" s="116">
        <v>70.446353160576976</v>
      </c>
    </row>
    <row r="34" spans="1:16" x14ac:dyDescent="0.3">
      <c r="K34" s="118"/>
    </row>
    <row r="35" spans="1:16" x14ac:dyDescent="0.3">
      <c r="B35" s="110"/>
      <c r="K35" s="120" t="s">
        <v>47</v>
      </c>
    </row>
    <row r="36" spans="1:16" ht="14.4" customHeight="1" x14ac:dyDescent="0.3">
      <c r="B36" s="121"/>
      <c r="C36" s="121"/>
      <c r="D36" s="121"/>
      <c r="E36" s="121"/>
      <c r="F36" s="121"/>
      <c r="G36" s="121"/>
      <c r="H36" s="121"/>
      <c r="I36" s="121"/>
      <c r="J36" s="121"/>
      <c r="K36" s="95" t="s">
        <v>150</v>
      </c>
    </row>
    <row r="37" spans="1:16" x14ac:dyDescent="0.3">
      <c r="B37" s="121"/>
      <c r="C37" s="121"/>
      <c r="D37" s="121"/>
      <c r="E37" s="121"/>
      <c r="F37" s="121"/>
      <c r="G37" s="121"/>
      <c r="H37" s="121"/>
      <c r="I37" s="121"/>
      <c r="J37" s="121"/>
    </row>
    <row r="38" spans="1:16" x14ac:dyDescent="0.3">
      <c r="A38" s="16" t="s">
        <v>89</v>
      </c>
      <c r="B38" s="391" t="s">
        <v>140</v>
      </c>
      <c r="C38" s="391"/>
      <c r="D38" s="391"/>
      <c r="E38" s="391"/>
    </row>
    <row r="40" spans="1:16" x14ac:dyDescent="0.3">
      <c r="B40" t="s">
        <v>129</v>
      </c>
      <c r="E40" s="61">
        <f>SUM(K19:Q19)</f>
        <v>349270509.5965398</v>
      </c>
      <c r="K40" s="131" t="s">
        <v>151</v>
      </c>
    </row>
    <row r="41" spans="1:16" x14ac:dyDescent="0.3">
      <c r="B41" t="s">
        <v>141</v>
      </c>
      <c r="E41" s="3">
        <f>E33*O17</f>
        <v>451596679.2962684</v>
      </c>
      <c r="K41" s="391" t="s">
        <v>149</v>
      </c>
      <c r="L41" s="391"/>
      <c r="M41" s="391"/>
      <c r="N41" s="391"/>
      <c r="O41" s="391"/>
      <c r="P41" s="391"/>
    </row>
    <row r="42" spans="1:16" ht="14.4" customHeight="1" x14ac:dyDescent="0.3">
      <c r="B42" s="73" t="s">
        <v>142</v>
      </c>
      <c r="C42" s="73"/>
      <c r="D42" s="73"/>
      <c r="E42" s="122">
        <f>E40+E41</f>
        <v>800867188.8928082</v>
      </c>
      <c r="L42" s="390" t="s">
        <v>124</v>
      </c>
      <c r="M42" s="390"/>
      <c r="N42" s="390"/>
      <c r="O42" s="390"/>
      <c r="P42" s="390"/>
    </row>
    <row r="43" spans="1:16" x14ac:dyDescent="0.3">
      <c r="B43" s="73"/>
      <c r="C43" s="73"/>
      <c r="D43" s="73"/>
      <c r="E43" s="123"/>
      <c r="J43" s="402" t="s">
        <v>37</v>
      </c>
      <c r="K43" s="111">
        <f>E48</f>
        <v>70.406669764427278</v>
      </c>
      <c r="L43" s="112">
        <v>0.15</v>
      </c>
      <c r="M43" s="112">
        <v>0.2</v>
      </c>
      <c r="N43" s="113">
        <v>0.25</v>
      </c>
      <c r="O43" s="132">
        <v>0.3</v>
      </c>
      <c r="P43" s="112">
        <v>0.35</v>
      </c>
    </row>
    <row r="44" spans="1:16" x14ac:dyDescent="0.3">
      <c r="B44" s="124" t="s">
        <v>143</v>
      </c>
      <c r="C44" s="73"/>
      <c r="D44" s="73"/>
      <c r="E44" s="61">
        <f>'DCF &amp; Sensitivity Analysis'!E50</f>
        <v>5168597</v>
      </c>
      <c r="J44" s="402"/>
      <c r="K44" s="112">
        <v>0.1</v>
      </c>
      <c r="L44" s="115">
        <f t="dataTable" ref="L44:P48" dt2D="1" dtr="1" r1="J8" r2="E23" ca="1"/>
        <v>216.56211177887758</v>
      </c>
      <c r="M44" s="115">
        <v>197.94136376435037</v>
      </c>
      <c r="N44" s="115">
        <v>179.32061574982319</v>
      </c>
      <c r="O44" s="115">
        <v>160.6998677352959</v>
      </c>
      <c r="P44" s="116">
        <v>142.07911972076877</v>
      </c>
    </row>
    <row r="45" spans="1:16" x14ac:dyDescent="0.3">
      <c r="B45" s="124" t="s">
        <v>144</v>
      </c>
      <c r="C45" s="73"/>
      <c r="D45" s="73"/>
      <c r="E45" s="61">
        <f>'DCF &amp; Sensitivity Analysis'!E51</f>
        <v>-475124438</v>
      </c>
      <c r="J45" s="402"/>
      <c r="K45" s="112">
        <v>0.12</v>
      </c>
      <c r="L45" s="115">
        <v>154.35412233734019</v>
      </c>
      <c r="M45" s="115">
        <v>139.39266781937397</v>
      </c>
      <c r="N45" s="115">
        <v>124.43121330140778</v>
      </c>
      <c r="O45" s="115">
        <v>109.46975878344158</v>
      </c>
      <c r="P45" s="116">
        <v>94.508304265475431</v>
      </c>
    </row>
    <row r="46" spans="1:16" x14ac:dyDescent="0.3">
      <c r="B46" s="125" t="s">
        <v>145</v>
      </c>
      <c r="C46" s="94"/>
      <c r="D46" s="94"/>
      <c r="E46" s="126">
        <f>E42+E44+E45</f>
        <v>330911347.8928082</v>
      </c>
      <c r="J46" s="402"/>
      <c r="K46" s="114">
        <v>0.13797911726327036</v>
      </c>
      <c r="L46" s="115">
        <v>116.06158014745512</v>
      </c>
      <c r="M46" s="115">
        <v>103.3526281112469</v>
      </c>
      <c r="N46" s="351">
        <v>90.643676075038655</v>
      </c>
      <c r="O46" s="133">
        <v>77.934724038830367</v>
      </c>
      <c r="P46" s="116">
        <v>65.225772002622136</v>
      </c>
    </row>
    <row r="47" spans="1:16" ht="15" thickBot="1" x14ac:dyDescent="0.35">
      <c r="B47" s="124" t="s">
        <v>152</v>
      </c>
      <c r="E47" s="3">
        <f>'DCF &amp; Sensitivity Analysis'!E53</f>
        <v>4700000</v>
      </c>
      <c r="J47" s="402"/>
      <c r="K47" s="112">
        <v>0.16</v>
      </c>
      <c r="L47" s="115">
        <v>82.248728132608491</v>
      </c>
      <c r="M47" s="115">
        <v>71.528767391391256</v>
      </c>
      <c r="N47" s="115">
        <v>60.80880665017397</v>
      </c>
      <c r="O47" s="115">
        <v>50.088845908956678</v>
      </c>
      <c r="P47" s="116">
        <v>39.368885167739442</v>
      </c>
    </row>
    <row r="48" spans="1:16" ht="15.6" thickTop="1" thickBot="1" x14ac:dyDescent="0.35">
      <c r="A48" s="16" t="s">
        <v>89</v>
      </c>
      <c r="B48" s="117" t="s">
        <v>153</v>
      </c>
      <c r="C48" s="117"/>
      <c r="D48" s="117"/>
      <c r="E48" s="127">
        <f>E46/E47</f>
        <v>70.406669764427278</v>
      </c>
      <c r="J48" s="402"/>
      <c r="K48" s="112">
        <v>0.18</v>
      </c>
      <c r="L48" s="115">
        <v>59.405821863930832</v>
      </c>
      <c r="M48" s="115">
        <v>50.029561491459305</v>
      </c>
      <c r="N48" s="115">
        <v>40.653301118987798</v>
      </c>
      <c r="O48" s="115">
        <v>31.277040746516217</v>
      </c>
      <c r="P48" s="116">
        <v>21.900780374044739</v>
      </c>
    </row>
    <row r="49" spans="1:16" x14ac:dyDescent="0.3">
      <c r="K49" s="120" t="s">
        <v>47</v>
      </c>
    </row>
    <row r="50" spans="1:16" ht="14.4" customHeight="1" x14ac:dyDescent="0.3">
      <c r="E50" s="3"/>
      <c r="K50" s="95" t="s">
        <v>154</v>
      </c>
    </row>
    <row r="52" spans="1:16" ht="14.4" customHeight="1" x14ac:dyDescent="0.3">
      <c r="B52" s="73"/>
      <c r="C52" s="73"/>
      <c r="D52" s="73"/>
      <c r="E52" s="128"/>
      <c r="F52" s="60"/>
    </row>
    <row r="54" spans="1:16" x14ac:dyDescent="0.3">
      <c r="A54" s="16"/>
      <c r="B54" s="73"/>
      <c r="E54" s="135"/>
      <c r="K54" s="131" t="s">
        <v>155</v>
      </c>
    </row>
    <row r="55" spans="1:16" x14ac:dyDescent="0.3">
      <c r="K55" s="391" t="s">
        <v>149</v>
      </c>
      <c r="L55" s="391"/>
      <c r="M55" s="81"/>
      <c r="N55" s="81"/>
      <c r="O55" s="81"/>
      <c r="P55" s="81"/>
    </row>
    <row r="56" spans="1:16" ht="15" customHeight="1" x14ac:dyDescent="0.3">
      <c r="L56" s="390" t="s">
        <v>119</v>
      </c>
      <c r="M56" s="390"/>
      <c r="N56" s="390"/>
      <c r="O56" s="390"/>
      <c r="P56" s="390"/>
    </row>
    <row r="57" spans="1:16" x14ac:dyDescent="0.3">
      <c r="J57" s="402" t="s">
        <v>37</v>
      </c>
      <c r="K57" s="111">
        <f>E48</f>
        <v>70.406669764427278</v>
      </c>
      <c r="L57" s="112">
        <v>-16</v>
      </c>
      <c r="M57" s="112">
        <v>-18</v>
      </c>
      <c r="N57" s="132">
        <v>-21.771046688650834</v>
      </c>
      <c r="O57" s="112">
        <v>-25</v>
      </c>
      <c r="P57" s="112">
        <v>-30</v>
      </c>
    </row>
    <row r="58" spans="1:16" x14ac:dyDescent="0.3">
      <c r="J58" s="402"/>
      <c r="K58" s="112">
        <v>0.1</v>
      </c>
      <c r="L58" s="115">
        <f t="dataTable" ref="L58:P62" dt2D="1" dtr="1" r1="J12" r2="E23" ca="1"/>
        <v>94.631016929154853</v>
      </c>
      <c r="M58" s="115">
        <v>117.52767827000659</v>
      </c>
      <c r="N58" s="115">
        <v>160.6998677352959</v>
      </c>
      <c r="O58" s="115">
        <v>197.66599296298779</v>
      </c>
      <c r="P58" s="116">
        <v>254.90764631511715</v>
      </c>
    </row>
    <row r="59" spans="1:16" x14ac:dyDescent="0.3">
      <c r="J59" s="402"/>
      <c r="K59" s="112">
        <v>0.12</v>
      </c>
      <c r="L59" s="115">
        <v>56.384560185662735</v>
      </c>
      <c r="M59" s="115">
        <v>74.781638380221281</v>
      </c>
      <c r="N59" s="115">
        <v>109.46975878344158</v>
      </c>
      <c r="O59" s="115">
        <v>139.17141206117626</v>
      </c>
      <c r="P59" s="116">
        <v>185.16410754757271</v>
      </c>
    </row>
    <row r="60" spans="1:16" x14ac:dyDescent="0.3">
      <c r="J60" s="402"/>
      <c r="K60" s="114">
        <v>0.13797911726327036</v>
      </c>
      <c r="L60" s="115">
        <v>32.841699025680029</v>
      </c>
      <c r="M60" s="115">
        <v>48.469028848475901</v>
      </c>
      <c r="N60" s="133">
        <v>77.934724038830367</v>
      </c>
      <c r="O60" s="115">
        <v>103.16468322826155</v>
      </c>
      <c r="P60" s="116">
        <v>142.23300778525129</v>
      </c>
    </row>
    <row r="61" spans="1:16" x14ac:dyDescent="0.3">
      <c r="J61" s="402"/>
      <c r="K61" s="112">
        <v>0.16</v>
      </c>
      <c r="L61" s="115">
        <v>12.053022304737416</v>
      </c>
      <c r="M61" s="115">
        <v>25.234625454481233</v>
      </c>
      <c r="N61" s="351">
        <v>50.088845908956678</v>
      </c>
      <c r="O61" s="115">
        <v>71.37023647858463</v>
      </c>
      <c r="P61" s="116">
        <v>104.32424435294421</v>
      </c>
    </row>
    <row r="62" spans="1:16" x14ac:dyDescent="0.3">
      <c r="J62" s="402"/>
      <c r="K62" s="112">
        <v>0.18</v>
      </c>
      <c r="L62" s="115">
        <v>-1.9911581026953586</v>
      </c>
      <c r="M62" s="115">
        <v>9.5381885285269448</v>
      </c>
      <c r="N62" s="115">
        <v>31.277040746516217</v>
      </c>
      <c r="O62" s="115">
        <v>49.890901737805073</v>
      </c>
      <c r="P62" s="116">
        <v>78.714268315860863</v>
      </c>
    </row>
    <row r="63" spans="1:16" x14ac:dyDescent="0.3">
      <c r="K63" s="120" t="s">
        <v>47</v>
      </c>
    </row>
    <row r="64" spans="1:16" x14ac:dyDescent="0.3">
      <c r="K64" s="95" t="s">
        <v>413</v>
      </c>
    </row>
    <row r="68" spans="11:12" x14ac:dyDescent="0.3">
      <c r="K68" s="256" t="s">
        <v>414</v>
      </c>
      <c r="L68" s="260" t="s">
        <v>415</v>
      </c>
    </row>
    <row r="69" spans="11:12" x14ac:dyDescent="0.3">
      <c r="K69" s="258"/>
      <c r="L69" s="258"/>
    </row>
    <row r="70" spans="11:12" x14ac:dyDescent="0.3">
      <c r="K70" s="256" t="s">
        <v>37</v>
      </c>
      <c r="L70" s="256" t="s">
        <v>156</v>
      </c>
    </row>
    <row r="71" spans="11:12" x14ac:dyDescent="0.3">
      <c r="L71" s="352">
        <f>E48</f>
        <v>70.406669764427278</v>
      </c>
    </row>
    <row r="72" spans="11:12" x14ac:dyDescent="0.3">
      <c r="K72" s="259">
        <v>0.08</v>
      </c>
      <c r="L72" s="353">
        <f t="dataTable" ref="L72:L78" dt2D="0" dtr="0" r1="E23" ca="1"/>
        <v>245.18280358033383</v>
      </c>
    </row>
    <row r="73" spans="11:12" x14ac:dyDescent="0.3">
      <c r="K73" s="259">
        <v>0.1</v>
      </c>
      <c r="L73" s="353">
        <v>160.6998677352959</v>
      </c>
    </row>
    <row r="74" spans="11:12" x14ac:dyDescent="0.3">
      <c r="K74" s="259">
        <v>0.12</v>
      </c>
      <c r="L74" s="353">
        <v>109.46975878344158</v>
      </c>
    </row>
    <row r="75" spans="11:12" x14ac:dyDescent="0.3">
      <c r="K75" s="259">
        <v>0.14000000000000001</v>
      </c>
      <c r="L75" s="353">
        <v>74.965915321984951</v>
      </c>
    </row>
    <row r="76" spans="11:12" x14ac:dyDescent="0.3">
      <c r="K76" s="114">
        <v>0.13797911726327036</v>
      </c>
      <c r="L76" s="133">
        <v>77.934724038830367</v>
      </c>
    </row>
    <row r="77" spans="11:12" x14ac:dyDescent="0.3">
      <c r="K77" s="259">
        <v>0.16</v>
      </c>
      <c r="L77" s="353">
        <v>50.088845908956678</v>
      </c>
    </row>
    <row r="78" spans="11:12" x14ac:dyDescent="0.3">
      <c r="K78" s="259">
        <v>0.18</v>
      </c>
      <c r="L78" s="353">
        <v>31.277040746516217</v>
      </c>
    </row>
  </sheetData>
  <mergeCells count="13">
    <mergeCell ref="L56:P56"/>
    <mergeCell ref="J57:J62"/>
    <mergeCell ref="K55:L55"/>
    <mergeCell ref="B2:I2"/>
    <mergeCell ref="B4:G4"/>
    <mergeCell ref="B27:E27"/>
    <mergeCell ref="K26:P26"/>
    <mergeCell ref="B38:E38"/>
    <mergeCell ref="K41:P41"/>
    <mergeCell ref="L27:P27"/>
    <mergeCell ref="J29:J33"/>
    <mergeCell ref="L42:P42"/>
    <mergeCell ref="J43:J48"/>
  </mergeCell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EA989-41B3-4E80-B412-A00406B32C29}">
  <dimension ref="B2:K19"/>
  <sheetViews>
    <sheetView showGridLines="0" workbookViewId="0">
      <selection activeCell="B20" sqref="B20"/>
    </sheetView>
  </sheetViews>
  <sheetFormatPr defaultRowHeight="14.4" x14ac:dyDescent="0.3"/>
  <cols>
    <col min="2" max="2" width="26.109375" bestFit="1" customWidth="1"/>
    <col min="3" max="4" width="16.77734375" customWidth="1"/>
    <col min="5" max="5" width="18.33203125" customWidth="1"/>
    <col min="8" max="8" width="30.77734375" customWidth="1"/>
    <col min="9" max="11" width="14.77734375" customWidth="1"/>
  </cols>
  <sheetData>
    <row r="2" spans="2:11" x14ac:dyDescent="0.3">
      <c r="B2" s="363" t="str">
        <f>"Comprehensive Sceario Analysis-DCF Method"&amp;" - "&amp;WACC!$B$12</f>
        <v>Comprehensive Sceario Analysis-DCF Method - Pakistan International Airlines</v>
      </c>
      <c r="C2" s="363"/>
      <c r="D2" s="363"/>
      <c r="E2" s="363"/>
      <c r="F2" s="53"/>
      <c r="G2" s="53"/>
      <c r="H2" s="53"/>
      <c r="I2" s="53"/>
    </row>
    <row r="4" spans="2:11" x14ac:dyDescent="0.3">
      <c r="B4" s="62" t="s">
        <v>156</v>
      </c>
    </row>
    <row r="5" spans="2:11" x14ac:dyDescent="0.3">
      <c r="B5" s="62" t="s">
        <v>157</v>
      </c>
      <c r="C5" s="62" t="s">
        <v>158</v>
      </c>
      <c r="D5" s="62" t="s">
        <v>159</v>
      </c>
      <c r="E5" s="62" t="s">
        <v>160</v>
      </c>
      <c r="H5" s="65"/>
      <c r="I5" s="65"/>
      <c r="J5" s="65"/>
      <c r="K5" s="65"/>
    </row>
    <row r="6" spans="2:11" x14ac:dyDescent="0.3">
      <c r="B6" s="63" t="s">
        <v>37</v>
      </c>
      <c r="C6" s="136">
        <f>'Further Sensitivity Analysis'!L76</f>
        <v>77.934724038830367</v>
      </c>
      <c r="D6" s="136">
        <f>'Further Sensitivity Analysis'!L72</f>
        <v>245.18280358033383</v>
      </c>
      <c r="E6" s="136">
        <f>'Further Sensitivity Analysis'!L78</f>
        <v>31.277040746516217</v>
      </c>
    </row>
    <row r="7" spans="2:11" x14ac:dyDescent="0.3">
      <c r="B7" t="s">
        <v>136</v>
      </c>
      <c r="C7" s="136">
        <f>'DCF &amp; Sensitivity Analysis'!N36</f>
        <v>77.934724038830367</v>
      </c>
      <c r="D7" s="136">
        <f>'DCF &amp; Sensitivity Analysis'!N38</f>
        <v>87.424646897032673</v>
      </c>
      <c r="E7" s="136">
        <f>'DCF &amp; Sensitivity Analysis'!N34</f>
        <v>69.927843580222074</v>
      </c>
    </row>
    <row r="8" spans="2:11" x14ac:dyDescent="0.3">
      <c r="B8" t="s">
        <v>161</v>
      </c>
      <c r="C8" s="136">
        <f>'Further Sensitivity Analysis'!N31</f>
        <v>77.934724038830367</v>
      </c>
      <c r="D8" s="136">
        <f>'Further Sensitivity Analysis'!P31</f>
        <v>134.79375810042487</v>
      </c>
      <c r="E8" s="136">
        <f>'Further Sensitivity Analysis'!L31</f>
        <v>47.226394472235057</v>
      </c>
    </row>
    <row r="9" spans="2:11" x14ac:dyDescent="0.3">
      <c r="B9" t="s">
        <v>124</v>
      </c>
      <c r="C9" s="136">
        <f>'Further Sensitivity Analysis'!O46</f>
        <v>77.934724038830367</v>
      </c>
      <c r="D9" s="136">
        <f>'Further Sensitivity Analysis'!L46</f>
        <v>116.06158014745512</v>
      </c>
      <c r="E9" s="136">
        <f>'Further Sensitivity Analysis'!P46</f>
        <v>65.225772002622136</v>
      </c>
    </row>
    <row r="10" spans="2:11" x14ac:dyDescent="0.3">
      <c r="B10" t="s">
        <v>119</v>
      </c>
      <c r="C10" s="136">
        <f>'Further Sensitivity Analysis'!N60</f>
        <v>77.934724038830367</v>
      </c>
      <c r="D10" s="136">
        <f>'Further Sensitivity Analysis'!P60</f>
        <v>142.23300778525129</v>
      </c>
      <c r="E10" s="136">
        <f>'Further Sensitivity Analysis'!L60</f>
        <v>32.841699025680029</v>
      </c>
    </row>
    <row r="12" spans="2:11" x14ac:dyDescent="0.3">
      <c r="B12" s="60" t="s">
        <v>47</v>
      </c>
    </row>
    <row r="13" spans="2:11" ht="14.4" customHeight="1" x14ac:dyDescent="0.3">
      <c r="B13" s="403" t="s">
        <v>162</v>
      </c>
      <c r="C13" s="403"/>
      <c r="D13" s="403"/>
      <c r="E13" s="403"/>
      <c r="F13" s="403"/>
      <c r="G13" s="137"/>
    </row>
    <row r="14" spans="2:11" x14ac:dyDescent="0.3">
      <c r="B14" s="403"/>
      <c r="C14" s="403"/>
      <c r="D14" s="403"/>
      <c r="E14" s="403"/>
      <c r="F14" s="403"/>
      <c r="G14" s="137"/>
    </row>
    <row r="15" spans="2:11" x14ac:dyDescent="0.3">
      <c r="B15" s="403"/>
      <c r="C15" s="403"/>
      <c r="D15" s="403"/>
      <c r="E15" s="403"/>
      <c r="F15" s="403"/>
      <c r="G15" s="137"/>
    </row>
    <row r="16" spans="2:11" x14ac:dyDescent="0.3">
      <c r="B16" s="403"/>
      <c r="C16" s="403"/>
      <c r="D16" s="403"/>
      <c r="E16" s="403"/>
      <c r="F16" s="403"/>
      <c r="G16" s="137"/>
    </row>
    <row r="18" spans="9:10" x14ac:dyDescent="0.3">
      <c r="I18" s="138"/>
      <c r="J18" s="131" t="s">
        <v>159</v>
      </c>
    </row>
    <row r="19" spans="9:10" x14ac:dyDescent="0.3">
      <c r="I19" s="139"/>
      <c r="J19" s="131" t="s">
        <v>160</v>
      </c>
    </row>
  </sheetData>
  <mergeCells count="2">
    <mergeCell ref="B2:E2"/>
    <mergeCell ref="B13:F16"/>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901B7-2F75-4EF3-A023-3418B483FEA8}">
  <dimension ref="B2:K35"/>
  <sheetViews>
    <sheetView showGridLines="0" workbookViewId="0">
      <selection activeCell="B2" sqref="B2:I2"/>
    </sheetView>
  </sheetViews>
  <sheetFormatPr defaultRowHeight="14.4" x14ac:dyDescent="0.3"/>
  <cols>
    <col min="2" max="2" width="22.44140625" customWidth="1"/>
    <col min="3" max="3" width="15.109375" customWidth="1"/>
    <col min="4" max="4" width="44.6640625" customWidth="1"/>
    <col min="5" max="5" width="13.6640625" customWidth="1"/>
    <col min="6" max="6" width="18.109375" customWidth="1"/>
  </cols>
  <sheetData>
    <row r="2" spans="2:11" x14ac:dyDescent="0.3">
      <c r="B2" s="363" t="str">
        <f>"Privatisation Bid Recommendation"&amp;" - "&amp;WACC!$B$12</f>
        <v>Privatisation Bid Recommendation - Pakistan International Airlines</v>
      </c>
      <c r="C2" s="363"/>
      <c r="D2" s="363"/>
      <c r="E2" s="363"/>
      <c r="F2" s="363"/>
      <c r="G2" s="363"/>
      <c r="H2" s="363"/>
      <c r="I2" s="363"/>
    </row>
    <row r="4" spans="2:11" ht="16.2" x14ac:dyDescent="0.3">
      <c r="B4" s="335" t="s">
        <v>406</v>
      </c>
      <c r="C4" s="335" t="s">
        <v>407</v>
      </c>
      <c r="D4" s="335" t="s">
        <v>410</v>
      </c>
      <c r="E4" s="335" t="s">
        <v>408</v>
      </c>
      <c r="F4" s="335" t="s">
        <v>147</v>
      </c>
    </row>
    <row r="5" spans="2:11" x14ac:dyDescent="0.3">
      <c r="B5" t="s">
        <v>409</v>
      </c>
      <c r="C5" s="3">
        <f>('DCF &amp; Sensitivity Analysis'!E52*1000)/10^9</f>
        <v>330.91134789280824</v>
      </c>
      <c r="D5" s="3">
        <f>(85.03/51%)</f>
        <v>166.72549019607843</v>
      </c>
      <c r="E5" s="3">
        <f>C5-D5</f>
        <v>164.18585769672981</v>
      </c>
      <c r="F5" s="348" t="s">
        <v>42</v>
      </c>
    </row>
    <row r="9" spans="2:11" x14ac:dyDescent="0.3">
      <c r="B9" s="60" t="s">
        <v>41</v>
      </c>
    </row>
    <row r="10" spans="2:11" ht="14.4" customHeight="1" x14ac:dyDescent="0.3">
      <c r="B10" s="379" t="s">
        <v>411</v>
      </c>
      <c r="C10" s="379"/>
      <c r="D10" s="379"/>
      <c r="E10" s="137"/>
      <c r="F10" s="137"/>
    </row>
    <row r="11" spans="2:11" x14ac:dyDescent="0.3">
      <c r="B11" s="379"/>
      <c r="C11" s="379"/>
      <c r="D11" s="379"/>
      <c r="E11" s="137"/>
      <c r="F11" s="137"/>
    </row>
    <row r="12" spans="2:11" x14ac:dyDescent="0.3">
      <c r="B12" s="379"/>
      <c r="C12" s="379"/>
      <c r="D12" s="379"/>
      <c r="E12" s="137"/>
      <c r="F12" s="137"/>
    </row>
    <row r="15" spans="2:11" x14ac:dyDescent="0.3">
      <c r="B15" s="349" t="s">
        <v>42</v>
      </c>
    </row>
    <row r="16" spans="2:11" x14ac:dyDescent="0.3">
      <c r="B16" s="379" t="s">
        <v>443</v>
      </c>
      <c r="C16" s="379"/>
      <c r="D16" s="379"/>
      <c r="E16" s="379"/>
      <c r="F16" s="379"/>
      <c r="G16" s="379"/>
      <c r="H16" s="379"/>
      <c r="I16" s="379"/>
      <c r="J16" s="379"/>
      <c r="K16" s="379"/>
    </row>
    <row r="17" spans="2:11" x14ac:dyDescent="0.3">
      <c r="B17" s="379"/>
      <c r="C17" s="379"/>
      <c r="D17" s="379"/>
      <c r="E17" s="379"/>
      <c r="F17" s="379"/>
      <c r="G17" s="379"/>
      <c r="H17" s="379"/>
      <c r="I17" s="379"/>
      <c r="J17" s="379"/>
      <c r="K17" s="379"/>
    </row>
    <row r="18" spans="2:11" x14ac:dyDescent="0.3">
      <c r="B18" s="379"/>
      <c r="C18" s="379"/>
      <c r="D18" s="379"/>
      <c r="E18" s="379"/>
      <c r="F18" s="379"/>
      <c r="G18" s="379"/>
      <c r="H18" s="379"/>
      <c r="I18" s="379"/>
      <c r="J18" s="379"/>
      <c r="K18" s="379"/>
    </row>
    <row r="19" spans="2:11" x14ac:dyDescent="0.3">
      <c r="B19" s="379"/>
      <c r="C19" s="379"/>
      <c r="D19" s="379"/>
      <c r="E19" s="379"/>
      <c r="F19" s="379"/>
      <c r="G19" s="379"/>
      <c r="H19" s="379"/>
      <c r="I19" s="379"/>
      <c r="J19" s="379"/>
      <c r="K19" s="379"/>
    </row>
    <row r="20" spans="2:11" x14ac:dyDescent="0.3">
      <c r="B20" s="379"/>
      <c r="C20" s="379"/>
      <c r="D20" s="379"/>
      <c r="E20" s="379"/>
      <c r="F20" s="379"/>
      <c r="G20" s="379"/>
      <c r="H20" s="379"/>
      <c r="I20" s="379"/>
      <c r="J20" s="379"/>
      <c r="K20" s="379"/>
    </row>
    <row r="21" spans="2:11" x14ac:dyDescent="0.3">
      <c r="B21" s="379"/>
      <c r="C21" s="379"/>
      <c r="D21" s="379"/>
      <c r="E21" s="379"/>
      <c r="F21" s="379"/>
      <c r="G21" s="379"/>
      <c r="H21" s="379"/>
      <c r="I21" s="379"/>
      <c r="J21" s="379"/>
      <c r="K21" s="379"/>
    </row>
    <row r="22" spans="2:11" x14ac:dyDescent="0.3">
      <c r="B22" s="379"/>
      <c r="C22" s="379"/>
      <c r="D22" s="379"/>
      <c r="E22" s="379"/>
      <c r="F22" s="379"/>
      <c r="G22" s="379"/>
      <c r="H22" s="379"/>
      <c r="I22" s="379"/>
      <c r="J22" s="379"/>
      <c r="K22" s="379"/>
    </row>
    <row r="23" spans="2:11" x14ac:dyDescent="0.3">
      <c r="B23" s="379"/>
      <c r="C23" s="379"/>
      <c r="D23" s="379"/>
      <c r="E23" s="379"/>
      <c r="F23" s="379"/>
      <c r="G23" s="379"/>
      <c r="H23" s="379"/>
      <c r="I23" s="379"/>
      <c r="J23" s="379"/>
      <c r="K23" s="379"/>
    </row>
    <row r="24" spans="2:11" x14ac:dyDescent="0.3">
      <c r="B24" s="379"/>
      <c r="C24" s="379"/>
      <c r="D24" s="379"/>
      <c r="E24" s="379"/>
      <c r="F24" s="379"/>
      <c r="G24" s="379"/>
      <c r="H24" s="379"/>
      <c r="I24" s="379"/>
      <c r="J24" s="379"/>
      <c r="K24" s="379"/>
    </row>
    <row r="25" spans="2:11" x14ac:dyDescent="0.3">
      <c r="B25" s="379"/>
      <c r="C25" s="379"/>
      <c r="D25" s="379"/>
      <c r="E25" s="379"/>
      <c r="F25" s="379"/>
      <c r="G25" s="379"/>
      <c r="H25" s="379"/>
      <c r="I25" s="379"/>
      <c r="J25" s="379"/>
      <c r="K25" s="379"/>
    </row>
    <row r="26" spans="2:11" x14ac:dyDescent="0.3">
      <c r="B26" s="379"/>
      <c r="C26" s="379"/>
      <c r="D26" s="379"/>
      <c r="E26" s="379"/>
      <c r="F26" s="379"/>
      <c r="G26" s="379"/>
      <c r="H26" s="379"/>
      <c r="I26" s="379"/>
      <c r="J26" s="379"/>
      <c r="K26" s="379"/>
    </row>
    <row r="27" spans="2:11" x14ac:dyDescent="0.3">
      <c r="B27" s="379"/>
      <c r="C27" s="379"/>
      <c r="D27" s="379"/>
      <c r="E27" s="379"/>
      <c r="F27" s="379"/>
      <c r="G27" s="379"/>
      <c r="H27" s="379"/>
      <c r="I27" s="379"/>
      <c r="J27" s="379"/>
      <c r="K27" s="379"/>
    </row>
    <row r="28" spans="2:11" x14ac:dyDescent="0.3">
      <c r="B28" s="379"/>
      <c r="C28" s="379"/>
      <c r="D28" s="379"/>
      <c r="E28" s="379"/>
      <c r="F28" s="379"/>
      <c r="G28" s="379"/>
      <c r="H28" s="379"/>
      <c r="I28" s="379"/>
      <c r="J28" s="379"/>
      <c r="K28" s="379"/>
    </row>
    <row r="29" spans="2:11" x14ac:dyDescent="0.3">
      <c r="B29" s="379"/>
      <c r="C29" s="379"/>
      <c r="D29" s="379"/>
      <c r="E29" s="379"/>
      <c r="F29" s="379"/>
      <c r="G29" s="379"/>
      <c r="H29" s="379"/>
      <c r="I29" s="379"/>
      <c r="J29" s="379"/>
      <c r="K29" s="379"/>
    </row>
    <row r="30" spans="2:11" x14ac:dyDescent="0.3">
      <c r="B30" s="379"/>
      <c r="C30" s="379"/>
      <c r="D30" s="379"/>
      <c r="E30" s="379"/>
      <c r="F30" s="379"/>
      <c r="G30" s="379"/>
      <c r="H30" s="379"/>
      <c r="I30" s="379"/>
      <c r="J30" s="379"/>
      <c r="K30" s="379"/>
    </row>
    <row r="31" spans="2:11" x14ac:dyDescent="0.3">
      <c r="B31" s="379"/>
      <c r="C31" s="379"/>
      <c r="D31" s="379"/>
      <c r="E31" s="379"/>
      <c r="F31" s="379"/>
      <c r="G31" s="379"/>
      <c r="H31" s="379"/>
      <c r="I31" s="379"/>
      <c r="J31" s="379"/>
      <c r="K31" s="379"/>
    </row>
    <row r="32" spans="2:11" x14ac:dyDescent="0.3">
      <c r="B32" s="379"/>
      <c r="C32" s="379"/>
      <c r="D32" s="379"/>
      <c r="E32" s="379"/>
      <c r="F32" s="379"/>
      <c r="G32" s="379"/>
      <c r="H32" s="379"/>
      <c r="I32" s="379"/>
      <c r="J32" s="379"/>
      <c r="K32" s="379"/>
    </row>
    <row r="33" spans="2:11" x14ac:dyDescent="0.3">
      <c r="B33" s="379"/>
      <c r="C33" s="379"/>
      <c r="D33" s="379"/>
      <c r="E33" s="379"/>
      <c r="F33" s="379"/>
      <c r="G33" s="379"/>
      <c r="H33" s="379"/>
      <c r="I33" s="379"/>
      <c r="J33" s="379"/>
      <c r="K33" s="379"/>
    </row>
    <row r="34" spans="2:11" x14ac:dyDescent="0.3">
      <c r="B34" s="379"/>
      <c r="C34" s="379"/>
      <c r="D34" s="379"/>
      <c r="E34" s="379"/>
      <c r="F34" s="379"/>
      <c r="G34" s="379"/>
      <c r="H34" s="379"/>
      <c r="I34" s="379"/>
      <c r="J34" s="379"/>
      <c r="K34" s="379"/>
    </row>
    <row r="35" spans="2:11" x14ac:dyDescent="0.3">
      <c r="B35" s="379"/>
      <c r="C35" s="379"/>
      <c r="D35" s="379"/>
      <c r="E35" s="379"/>
      <c r="F35" s="379"/>
      <c r="G35" s="379"/>
      <c r="H35" s="379"/>
      <c r="I35" s="379"/>
      <c r="J35" s="379"/>
      <c r="K35" s="379"/>
    </row>
  </sheetData>
  <mergeCells count="3">
    <mergeCell ref="B16:K35"/>
    <mergeCell ref="B2:I2"/>
    <mergeCell ref="B10:D1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D9A61-CFE4-4ACD-BDC5-88DAE4791753}">
  <dimension ref="B2:M57"/>
  <sheetViews>
    <sheetView showGridLines="0" workbookViewId="0">
      <selection activeCell="B1" sqref="B1"/>
    </sheetView>
  </sheetViews>
  <sheetFormatPr defaultRowHeight="14.4" x14ac:dyDescent="0.3"/>
  <sheetData>
    <row r="2" spans="2:13" x14ac:dyDescent="0.3">
      <c r="B2" s="363" t="str">
        <f>"Feasibility of the Privatisation Bid"&amp;" - "&amp;WACC!$B$12</f>
        <v>Feasibility of the Privatisation Bid - Pakistan International Airlines</v>
      </c>
      <c r="C2" s="363"/>
      <c r="D2" s="363"/>
      <c r="E2" s="363"/>
      <c r="F2" s="363"/>
      <c r="G2" s="363"/>
      <c r="H2" s="363"/>
      <c r="I2" s="363"/>
    </row>
    <row r="5" spans="2:13" ht="15" thickBot="1" x14ac:dyDescent="0.35">
      <c r="B5" s="349" t="s">
        <v>450</v>
      </c>
    </row>
    <row r="6" spans="2:13" ht="14.4" customHeight="1" x14ac:dyDescent="0.3">
      <c r="B6" s="375" t="s">
        <v>451</v>
      </c>
      <c r="C6" s="376"/>
      <c r="D6" s="376"/>
      <c r="E6" s="376"/>
      <c r="F6" s="376"/>
      <c r="G6" s="376"/>
      <c r="H6" s="376"/>
      <c r="I6" s="376"/>
      <c r="J6" s="376"/>
      <c r="K6" s="376"/>
      <c r="L6" s="376"/>
      <c r="M6" s="377"/>
    </row>
    <row r="7" spans="2:13" x14ac:dyDescent="0.3">
      <c r="B7" s="378"/>
      <c r="C7" s="379"/>
      <c r="D7" s="379"/>
      <c r="E7" s="379"/>
      <c r="F7" s="379"/>
      <c r="G7" s="379"/>
      <c r="H7" s="379"/>
      <c r="I7" s="379"/>
      <c r="J7" s="379"/>
      <c r="K7" s="379"/>
      <c r="L7" s="379"/>
      <c r="M7" s="380"/>
    </row>
    <row r="8" spans="2:13" x14ac:dyDescent="0.3">
      <c r="B8" s="378"/>
      <c r="C8" s="379"/>
      <c r="D8" s="379"/>
      <c r="E8" s="379"/>
      <c r="F8" s="379"/>
      <c r="G8" s="379"/>
      <c r="H8" s="379"/>
      <c r="I8" s="379"/>
      <c r="J8" s="379"/>
      <c r="K8" s="379"/>
      <c r="L8" s="379"/>
      <c r="M8" s="380"/>
    </row>
    <row r="9" spans="2:13" x14ac:dyDescent="0.3">
      <c r="B9" s="378"/>
      <c r="C9" s="379"/>
      <c r="D9" s="379"/>
      <c r="E9" s="379"/>
      <c r="F9" s="379"/>
      <c r="G9" s="379"/>
      <c r="H9" s="379"/>
      <c r="I9" s="379"/>
      <c r="J9" s="379"/>
      <c r="K9" s="379"/>
      <c r="L9" s="379"/>
      <c r="M9" s="380"/>
    </row>
    <row r="10" spans="2:13" x14ac:dyDescent="0.3">
      <c r="B10" s="378"/>
      <c r="C10" s="379"/>
      <c r="D10" s="379"/>
      <c r="E10" s="379"/>
      <c r="F10" s="379"/>
      <c r="G10" s="379"/>
      <c r="H10" s="379"/>
      <c r="I10" s="379"/>
      <c r="J10" s="379"/>
      <c r="K10" s="379"/>
      <c r="L10" s="379"/>
      <c r="M10" s="380"/>
    </row>
    <row r="11" spans="2:13" x14ac:dyDescent="0.3">
      <c r="B11" s="378"/>
      <c r="C11" s="379"/>
      <c r="D11" s="379"/>
      <c r="E11" s="379"/>
      <c r="F11" s="379"/>
      <c r="G11" s="379"/>
      <c r="H11" s="379"/>
      <c r="I11" s="379"/>
      <c r="J11" s="379"/>
      <c r="K11" s="379"/>
      <c r="L11" s="379"/>
      <c r="M11" s="380"/>
    </row>
    <row r="12" spans="2:13" x14ac:dyDescent="0.3">
      <c r="B12" s="378"/>
      <c r="C12" s="379"/>
      <c r="D12" s="379"/>
      <c r="E12" s="379"/>
      <c r="F12" s="379"/>
      <c r="G12" s="379"/>
      <c r="H12" s="379"/>
      <c r="I12" s="379"/>
      <c r="J12" s="379"/>
      <c r="K12" s="379"/>
      <c r="L12" s="379"/>
      <c r="M12" s="380"/>
    </row>
    <row r="13" spans="2:13" x14ac:dyDescent="0.3">
      <c r="B13" s="378"/>
      <c r="C13" s="379"/>
      <c r="D13" s="379"/>
      <c r="E13" s="379"/>
      <c r="F13" s="379"/>
      <c r="G13" s="379"/>
      <c r="H13" s="379"/>
      <c r="I13" s="379"/>
      <c r="J13" s="379"/>
      <c r="K13" s="379"/>
      <c r="L13" s="379"/>
      <c r="M13" s="380"/>
    </row>
    <row r="14" spans="2:13" x14ac:dyDescent="0.3">
      <c r="B14" s="378"/>
      <c r="C14" s="379"/>
      <c r="D14" s="379"/>
      <c r="E14" s="379"/>
      <c r="F14" s="379"/>
      <c r="G14" s="379"/>
      <c r="H14" s="379"/>
      <c r="I14" s="379"/>
      <c r="J14" s="379"/>
      <c r="K14" s="379"/>
      <c r="L14" s="379"/>
      <c r="M14" s="380"/>
    </row>
    <row r="15" spans="2:13" x14ac:dyDescent="0.3">
      <c r="B15" s="378"/>
      <c r="C15" s="379"/>
      <c r="D15" s="379"/>
      <c r="E15" s="379"/>
      <c r="F15" s="379"/>
      <c r="G15" s="379"/>
      <c r="H15" s="379"/>
      <c r="I15" s="379"/>
      <c r="J15" s="379"/>
      <c r="K15" s="379"/>
      <c r="L15" s="379"/>
      <c r="M15" s="380"/>
    </row>
    <row r="16" spans="2:13" x14ac:dyDescent="0.3">
      <c r="B16" s="378"/>
      <c r="C16" s="379"/>
      <c r="D16" s="379"/>
      <c r="E16" s="379"/>
      <c r="F16" s="379"/>
      <c r="G16" s="379"/>
      <c r="H16" s="379"/>
      <c r="I16" s="379"/>
      <c r="J16" s="379"/>
      <c r="K16" s="379"/>
      <c r="L16" s="379"/>
      <c r="M16" s="380"/>
    </row>
    <row r="17" spans="2:13" x14ac:dyDescent="0.3">
      <c r="B17" s="378"/>
      <c r="C17" s="379"/>
      <c r="D17" s="379"/>
      <c r="E17" s="379"/>
      <c r="F17" s="379"/>
      <c r="G17" s="379"/>
      <c r="H17" s="379"/>
      <c r="I17" s="379"/>
      <c r="J17" s="379"/>
      <c r="K17" s="379"/>
      <c r="L17" s="379"/>
      <c r="M17" s="380"/>
    </row>
    <row r="18" spans="2:13" x14ac:dyDescent="0.3">
      <c r="B18" s="378"/>
      <c r="C18" s="379"/>
      <c r="D18" s="379"/>
      <c r="E18" s="379"/>
      <c r="F18" s="379"/>
      <c r="G18" s="379"/>
      <c r="H18" s="379"/>
      <c r="I18" s="379"/>
      <c r="J18" s="379"/>
      <c r="K18" s="379"/>
      <c r="L18" s="379"/>
      <c r="M18" s="380"/>
    </row>
    <row r="19" spans="2:13" x14ac:dyDescent="0.3">
      <c r="B19" s="378"/>
      <c r="C19" s="379"/>
      <c r="D19" s="379"/>
      <c r="E19" s="379"/>
      <c r="F19" s="379"/>
      <c r="G19" s="379"/>
      <c r="H19" s="379"/>
      <c r="I19" s="379"/>
      <c r="J19" s="379"/>
      <c r="K19" s="379"/>
      <c r="L19" s="379"/>
      <c r="M19" s="380"/>
    </row>
    <row r="20" spans="2:13" x14ac:dyDescent="0.3">
      <c r="B20" s="378"/>
      <c r="C20" s="379"/>
      <c r="D20" s="379"/>
      <c r="E20" s="379"/>
      <c r="F20" s="379"/>
      <c r="G20" s="379"/>
      <c r="H20" s="379"/>
      <c r="I20" s="379"/>
      <c r="J20" s="379"/>
      <c r="K20" s="379"/>
      <c r="L20" s="379"/>
      <c r="M20" s="380"/>
    </row>
    <row r="21" spans="2:13" x14ac:dyDescent="0.3">
      <c r="B21" s="378"/>
      <c r="C21" s="379"/>
      <c r="D21" s="379"/>
      <c r="E21" s="379"/>
      <c r="F21" s="379"/>
      <c r="G21" s="379"/>
      <c r="H21" s="379"/>
      <c r="I21" s="379"/>
      <c r="J21" s="379"/>
      <c r="K21" s="379"/>
      <c r="L21" s="379"/>
      <c r="M21" s="380"/>
    </row>
    <row r="22" spans="2:13" x14ac:dyDescent="0.3">
      <c r="B22" s="378"/>
      <c r="C22" s="379"/>
      <c r="D22" s="379"/>
      <c r="E22" s="379"/>
      <c r="F22" s="379"/>
      <c r="G22" s="379"/>
      <c r="H22" s="379"/>
      <c r="I22" s="379"/>
      <c r="J22" s="379"/>
      <c r="K22" s="379"/>
      <c r="L22" s="379"/>
      <c r="M22" s="380"/>
    </row>
    <row r="23" spans="2:13" x14ac:dyDescent="0.3">
      <c r="B23" s="378"/>
      <c r="C23" s="379"/>
      <c r="D23" s="379"/>
      <c r="E23" s="379"/>
      <c r="F23" s="379"/>
      <c r="G23" s="379"/>
      <c r="H23" s="379"/>
      <c r="I23" s="379"/>
      <c r="J23" s="379"/>
      <c r="K23" s="379"/>
      <c r="L23" s="379"/>
      <c r="M23" s="380"/>
    </row>
    <row r="24" spans="2:13" x14ac:dyDescent="0.3">
      <c r="B24" s="378"/>
      <c r="C24" s="379"/>
      <c r="D24" s="379"/>
      <c r="E24" s="379"/>
      <c r="F24" s="379"/>
      <c r="G24" s="379"/>
      <c r="H24" s="379"/>
      <c r="I24" s="379"/>
      <c r="J24" s="379"/>
      <c r="K24" s="379"/>
      <c r="L24" s="379"/>
      <c r="M24" s="380"/>
    </row>
    <row r="25" spans="2:13" ht="15" thickBot="1" x14ac:dyDescent="0.35">
      <c r="B25" s="381"/>
      <c r="C25" s="382"/>
      <c r="D25" s="382"/>
      <c r="E25" s="382"/>
      <c r="F25" s="382"/>
      <c r="G25" s="382"/>
      <c r="H25" s="382"/>
      <c r="I25" s="382"/>
      <c r="J25" s="382"/>
      <c r="K25" s="382"/>
      <c r="L25" s="382"/>
      <c r="M25" s="383"/>
    </row>
    <row r="26" spans="2:13" x14ac:dyDescent="0.3">
      <c r="B26" s="76"/>
      <c r="C26" s="76"/>
      <c r="D26" s="76"/>
      <c r="E26" s="76"/>
      <c r="F26" s="76"/>
      <c r="G26" s="76"/>
      <c r="H26" s="76"/>
      <c r="I26" s="76"/>
      <c r="J26" s="76"/>
      <c r="K26" s="76"/>
      <c r="L26" s="76"/>
      <c r="M26" s="76"/>
    </row>
    <row r="27" spans="2:13" x14ac:dyDescent="0.3">
      <c r="B27" s="76"/>
      <c r="C27" s="76"/>
      <c r="D27" s="76"/>
      <c r="E27" s="76"/>
      <c r="F27" s="76"/>
      <c r="G27" s="76"/>
      <c r="H27" s="76"/>
      <c r="I27" s="76"/>
      <c r="J27" s="76"/>
      <c r="K27" s="76"/>
      <c r="L27" s="76"/>
      <c r="M27" s="76"/>
    </row>
    <row r="28" spans="2:13" ht="15" thickBot="1" x14ac:dyDescent="0.35">
      <c r="B28" s="349" t="s">
        <v>452</v>
      </c>
    </row>
    <row r="29" spans="2:13" ht="14.4" customHeight="1" x14ac:dyDescent="0.3">
      <c r="B29" s="375" t="s">
        <v>453</v>
      </c>
      <c r="C29" s="376"/>
      <c r="D29" s="376"/>
      <c r="E29" s="376"/>
      <c r="F29" s="376"/>
      <c r="G29" s="376"/>
      <c r="H29" s="376"/>
      <c r="I29" s="376"/>
      <c r="J29" s="376"/>
      <c r="K29" s="376"/>
      <c r="L29" s="376"/>
      <c r="M29" s="377"/>
    </row>
    <row r="30" spans="2:13" x14ac:dyDescent="0.3">
      <c r="B30" s="378"/>
      <c r="C30" s="379"/>
      <c r="D30" s="379"/>
      <c r="E30" s="379"/>
      <c r="F30" s="379"/>
      <c r="G30" s="379"/>
      <c r="H30" s="379"/>
      <c r="I30" s="379"/>
      <c r="J30" s="379"/>
      <c r="K30" s="379"/>
      <c r="L30" s="379"/>
      <c r="M30" s="380"/>
    </row>
    <row r="31" spans="2:13" x14ac:dyDescent="0.3">
      <c r="B31" s="378"/>
      <c r="C31" s="379"/>
      <c r="D31" s="379"/>
      <c r="E31" s="379"/>
      <c r="F31" s="379"/>
      <c r="G31" s="379"/>
      <c r="H31" s="379"/>
      <c r="I31" s="379"/>
      <c r="J31" s="379"/>
      <c r="K31" s="379"/>
      <c r="L31" s="379"/>
      <c r="M31" s="380"/>
    </row>
    <row r="32" spans="2:13" x14ac:dyDescent="0.3">
      <c r="B32" s="378"/>
      <c r="C32" s="379"/>
      <c r="D32" s="379"/>
      <c r="E32" s="379"/>
      <c r="F32" s="379"/>
      <c r="G32" s="379"/>
      <c r="H32" s="379"/>
      <c r="I32" s="379"/>
      <c r="J32" s="379"/>
      <c r="K32" s="379"/>
      <c r="L32" s="379"/>
      <c r="M32" s="380"/>
    </row>
    <row r="33" spans="2:13" x14ac:dyDescent="0.3">
      <c r="B33" s="378"/>
      <c r="C33" s="379"/>
      <c r="D33" s="379"/>
      <c r="E33" s="379"/>
      <c r="F33" s="379"/>
      <c r="G33" s="379"/>
      <c r="H33" s="379"/>
      <c r="I33" s="379"/>
      <c r="J33" s="379"/>
      <c r="K33" s="379"/>
      <c r="L33" s="379"/>
      <c r="M33" s="380"/>
    </row>
    <row r="34" spans="2:13" x14ac:dyDescent="0.3">
      <c r="B34" s="378"/>
      <c r="C34" s="379"/>
      <c r="D34" s="379"/>
      <c r="E34" s="379"/>
      <c r="F34" s="379"/>
      <c r="G34" s="379"/>
      <c r="H34" s="379"/>
      <c r="I34" s="379"/>
      <c r="J34" s="379"/>
      <c r="K34" s="379"/>
      <c r="L34" s="379"/>
      <c r="M34" s="380"/>
    </row>
    <row r="35" spans="2:13" x14ac:dyDescent="0.3">
      <c r="B35" s="378"/>
      <c r="C35" s="379"/>
      <c r="D35" s="379"/>
      <c r="E35" s="379"/>
      <c r="F35" s="379"/>
      <c r="G35" s="379"/>
      <c r="H35" s="379"/>
      <c r="I35" s="379"/>
      <c r="J35" s="379"/>
      <c r="K35" s="379"/>
      <c r="L35" s="379"/>
      <c r="M35" s="380"/>
    </row>
    <row r="36" spans="2:13" x14ac:dyDescent="0.3">
      <c r="B36" s="378"/>
      <c r="C36" s="379"/>
      <c r="D36" s="379"/>
      <c r="E36" s="379"/>
      <c r="F36" s="379"/>
      <c r="G36" s="379"/>
      <c r="H36" s="379"/>
      <c r="I36" s="379"/>
      <c r="J36" s="379"/>
      <c r="K36" s="379"/>
      <c r="L36" s="379"/>
      <c r="M36" s="380"/>
    </row>
    <row r="37" spans="2:13" x14ac:dyDescent="0.3">
      <c r="B37" s="378"/>
      <c r="C37" s="379"/>
      <c r="D37" s="379"/>
      <c r="E37" s="379"/>
      <c r="F37" s="379"/>
      <c r="G37" s="379"/>
      <c r="H37" s="379"/>
      <c r="I37" s="379"/>
      <c r="J37" s="379"/>
      <c r="K37" s="379"/>
      <c r="L37" s="379"/>
      <c r="M37" s="380"/>
    </row>
    <row r="38" spans="2:13" x14ac:dyDescent="0.3">
      <c r="B38" s="378"/>
      <c r="C38" s="379"/>
      <c r="D38" s="379"/>
      <c r="E38" s="379"/>
      <c r="F38" s="379"/>
      <c r="G38" s="379"/>
      <c r="H38" s="379"/>
      <c r="I38" s="379"/>
      <c r="J38" s="379"/>
      <c r="K38" s="379"/>
      <c r="L38" s="379"/>
      <c r="M38" s="380"/>
    </row>
    <row r="39" spans="2:13" ht="15" thickBot="1" x14ac:dyDescent="0.35">
      <c r="B39" s="381"/>
      <c r="C39" s="382"/>
      <c r="D39" s="382"/>
      <c r="E39" s="382"/>
      <c r="F39" s="382"/>
      <c r="G39" s="382"/>
      <c r="H39" s="382"/>
      <c r="I39" s="382"/>
      <c r="J39" s="382"/>
      <c r="K39" s="382"/>
      <c r="L39" s="382"/>
      <c r="M39" s="383"/>
    </row>
    <row r="40" spans="2:13" x14ac:dyDescent="0.3">
      <c r="B40" s="76"/>
      <c r="C40" s="76"/>
      <c r="D40" s="76"/>
      <c r="E40" s="76"/>
      <c r="F40" s="76"/>
      <c r="G40" s="76"/>
      <c r="H40" s="76"/>
      <c r="I40" s="76"/>
      <c r="J40" s="76"/>
      <c r="K40" s="76"/>
      <c r="L40" s="76"/>
      <c r="M40" s="76"/>
    </row>
    <row r="41" spans="2:13" x14ac:dyDescent="0.3">
      <c r="B41" s="76"/>
      <c r="C41" s="76"/>
      <c r="D41" s="76"/>
      <c r="E41" s="76"/>
      <c r="F41" s="76"/>
      <c r="G41" s="76"/>
      <c r="H41" s="76"/>
      <c r="I41" s="76"/>
      <c r="J41" s="76"/>
      <c r="K41" s="76"/>
      <c r="L41" s="76"/>
      <c r="M41" s="76"/>
    </row>
    <row r="42" spans="2:13" ht="15" thickBot="1" x14ac:dyDescent="0.35">
      <c r="B42" s="349" t="s">
        <v>454</v>
      </c>
    </row>
    <row r="43" spans="2:13" ht="14.4" customHeight="1" x14ac:dyDescent="0.3">
      <c r="B43" s="404" t="s">
        <v>455</v>
      </c>
      <c r="C43" s="405"/>
      <c r="D43" s="405"/>
      <c r="E43" s="405"/>
      <c r="F43" s="405"/>
      <c r="G43" s="405"/>
      <c r="H43" s="405"/>
      <c r="I43" s="405"/>
      <c r="J43" s="405"/>
      <c r="K43" s="405"/>
      <c r="L43" s="405"/>
      <c r="M43" s="406"/>
    </row>
    <row r="44" spans="2:13" x14ac:dyDescent="0.3">
      <c r="B44" s="407"/>
      <c r="C44" s="408"/>
      <c r="D44" s="408"/>
      <c r="E44" s="408"/>
      <c r="F44" s="408"/>
      <c r="G44" s="408"/>
      <c r="H44" s="408"/>
      <c r="I44" s="408"/>
      <c r="J44" s="408"/>
      <c r="K44" s="408"/>
      <c r="L44" s="408"/>
      <c r="M44" s="409"/>
    </row>
    <row r="45" spans="2:13" x14ac:dyDescent="0.3">
      <c r="B45" s="407"/>
      <c r="C45" s="408"/>
      <c r="D45" s="408"/>
      <c r="E45" s="408"/>
      <c r="F45" s="408"/>
      <c r="G45" s="408"/>
      <c r="H45" s="408"/>
      <c r="I45" s="408"/>
      <c r="J45" s="408"/>
      <c r="K45" s="408"/>
      <c r="L45" s="408"/>
      <c r="M45" s="409"/>
    </row>
    <row r="46" spans="2:13" x14ac:dyDescent="0.3">
      <c r="B46" s="407"/>
      <c r="C46" s="408"/>
      <c r="D46" s="408"/>
      <c r="E46" s="408"/>
      <c r="F46" s="408"/>
      <c r="G46" s="408"/>
      <c r="H46" s="408"/>
      <c r="I46" s="408"/>
      <c r="J46" s="408"/>
      <c r="K46" s="408"/>
      <c r="L46" s="408"/>
      <c r="M46" s="409"/>
    </row>
    <row r="47" spans="2:13" x14ac:dyDescent="0.3">
      <c r="B47" s="407"/>
      <c r="C47" s="408"/>
      <c r="D47" s="408"/>
      <c r="E47" s="408"/>
      <c r="F47" s="408"/>
      <c r="G47" s="408"/>
      <c r="H47" s="408"/>
      <c r="I47" s="408"/>
      <c r="J47" s="408"/>
      <c r="K47" s="408"/>
      <c r="L47" s="408"/>
      <c r="M47" s="409"/>
    </row>
    <row r="48" spans="2:13" x14ac:dyDescent="0.3">
      <c r="B48" s="407"/>
      <c r="C48" s="408"/>
      <c r="D48" s="408"/>
      <c r="E48" s="408"/>
      <c r="F48" s="408"/>
      <c r="G48" s="408"/>
      <c r="H48" s="408"/>
      <c r="I48" s="408"/>
      <c r="J48" s="408"/>
      <c r="K48" s="408"/>
      <c r="L48" s="408"/>
      <c r="M48" s="409"/>
    </row>
    <row r="49" spans="2:13" x14ac:dyDescent="0.3">
      <c r="B49" s="407"/>
      <c r="C49" s="408"/>
      <c r="D49" s="408"/>
      <c r="E49" s="408"/>
      <c r="F49" s="408"/>
      <c r="G49" s="408"/>
      <c r="H49" s="408"/>
      <c r="I49" s="408"/>
      <c r="J49" s="408"/>
      <c r="K49" s="408"/>
      <c r="L49" s="408"/>
      <c r="M49" s="409"/>
    </row>
    <row r="50" spans="2:13" x14ac:dyDescent="0.3">
      <c r="B50" s="407"/>
      <c r="C50" s="408"/>
      <c r="D50" s="408"/>
      <c r="E50" s="408"/>
      <c r="F50" s="408"/>
      <c r="G50" s="408"/>
      <c r="H50" s="408"/>
      <c r="I50" s="408"/>
      <c r="J50" s="408"/>
      <c r="K50" s="408"/>
      <c r="L50" s="408"/>
      <c r="M50" s="409"/>
    </row>
    <row r="51" spans="2:13" x14ac:dyDescent="0.3">
      <c r="B51" s="407"/>
      <c r="C51" s="408"/>
      <c r="D51" s="408"/>
      <c r="E51" s="408"/>
      <c r="F51" s="408"/>
      <c r="G51" s="408"/>
      <c r="H51" s="408"/>
      <c r="I51" s="408"/>
      <c r="J51" s="408"/>
      <c r="K51" s="408"/>
      <c r="L51" s="408"/>
      <c r="M51" s="409"/>
    </row>
    <row r="52" spans="2:13" x14ac:dyDescent="0.3">
      <c r="B52" s="407"/>
      <c r="C52" s="408"/>
      <c r="D52" s="408"/>
      <c r="E52" s="408"/>
      <c r="F52" s="408"/>
      <c r="G52" s="408"/>
      <c r="H52" s="408"/>
      <c r="I52" s="408"/>
      <c r="J52" s="408"/>
      <c r="K52" s="408"/>
      <c r="L52" s="408"/>
      <c r="M52" s="409"/>
    </row>
    <row r="53" spans="2:13" x14ac:dyDescent="0.3">
      <c r="B53" s="407"/>
      <c r="C53" s="408"/>
      <c r="D53" s="408"/>
      <c r="E53" s="408"/>
      <c r="F53" s="408"/>
      <c r="G53" s="408"/>
      <c r="H53" s="408"/>
      <c r="I53" s="408"/>
      <c r="J53" s="408"/>
      <c r="K53" s="408"/>
      <c r="L53" s="408"/>
      <c r="M53" s="409"/>
    </row>
    <row r="54" spans="2:13" x14ac:dyDescent="0.3">
      <c r="B54" s="407"/>
      <c r="C54" s="408"/>
      <c r="D54" s="408"/>
      <c r="E54" s="408"/>
      <c r="F54" s="408"/>
      <c r="G54" s="408"/>
      <c r="H54" s="408"/>
      <c r="I54" s="408"/>
      <c r="J54" s="408"/>
      <c r="K54" s="408"/>
      <c r="L54" s="408"/>
      <c r="M54" s="409"/>
    </row>
    <row r="55" spans="2:13" x14ac:dyDescent="0.3">
      <c r="B55" s="407"/>
      <c r="C55" s="408"/>
      <c r="D55" s="408"/>
      <c r="E55" s="408"/>
      <c r="F55" s="408"/>
      <c r="G55" s="408"/>
      <c r="H55" s="408"/>
      <c r="I55" s="408"/>
      <c r="J55" s="408"/>
      <c r="K55" s="408"/>
      <c r="L55" s="408"/>
      <c r="M55" s="409"/>
    </row>
    <row r="56" spans="2:13" ht="15" thickBot="1" x14ac:dyDescent="0.35">
      <c r="B56" s="410"/>
      <c r="C56" s="411"/>
      <c r="D56" s="411"/>
      <c r="E56" s="411"/>
      <c r="F56" s="411"/>
      <c r="G56" s="411"/>
      <c r="H56" s="411"/>
      <c r="I56" s="411"/>
      <c r="J56" s="411"/>
      <c r="K56" s="411"/>
      <c r="L56" s="411"/>
      <c r="M56" s="412"/>
    </row>
    <row r="57" spans="2:13" x14ac:dyDescent="0.3">
      <c r="B57" s="76"/>
      <c r="C57" s="76"/>
      <c r="D57" s="76"/>
      <c r="E57" s="76"/>
      <c r="F57" s="76"/>
      <c r="G57" s="76"/>
      <c r="H57" s="76"/>
      <c r="I57" s="76"/>
      <c r="J57" s="76"/>
      <c r="K57" s="76"/>
      <c r="L57" s="76"/>
      <c r="M57" s="76"/>
    </row>
  </sheetData>
  <mergeCells count="4">
    <mergeCell ref="B2:I2"/>
    <mergeCell ref="B6:M25"/>
    <mergeCell ref="B29:M39"/>
    <mergeCell ref="B43:M56"/>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A3BB8-0DF8-4210-BAC1-8307B02F9371}">
  <dimension ref="B1:Y31"/>
  <sheetViews>
    <sheetView showGridLines="0" topLeftCell="H1" workbookViewId="0">
      <selection activeCell="M6" sqref="M6"/>
    </sheetView>
  </sheetViews>
  <sheetFormatPr defaultRowHeight="14.4" x14ac:dyDescent="0.3"/>
  <cols>
    <col min="1" max="1" width="5.5546875" customWidth="1"/>
    <col min="2" max="2" width="43.21875" customWidth="1"/>
    <col min="3" max="3" width="12.5546875" bestFit="1" customWidth="1"/>
    <col min="4" max="4" width="12.5546875" customWidth="1"/>
    <col min="5" max="5" width="18.77734375" customWidth="1"/>
    <col min="6" max="7" width="14.77734375" customWidth="1"/>
    <col min="8" max="8" width="13.88671875" customWidth="1"/>
    <col min="9" max="9" width="22.44140625" customWidth="1"/>
    <col min="10" max="10" width="12.44140625" customWidth="1"/>
    <col min="11" max="11" width="15.44140625" customWidth="1"/>
    <col min="12" max="12" width="17.44140625" customWidth="1"/>
    <col min="13" max="13" width="19.21875" customWidth="1"/>
    <col min="14" max="14" width="11.88671875" customWidth="1"/>
    <col min="15" max="15" width="14" customWidth="1"/>
    <col min="17" max="18" width="10.6640625" customWidth="1"/>
    <col min="19" max="19" width="23.5546875" customWidth="1"/>
    <col min="20" max="20" width="12.5546875" customWidth="1"/>
    <col min="21" max="21" width="18.33203125" customWidth="1"/>
    <col min="24" max="24" width="14" customWidth="1"/>
  </cols>
  <sheetData>
    <row r="1" spans="2:25" ht="15" thickBot="1" x14ac:dyDescent="0.35"/>
    <row r="2" spans="2:25" x14ac:dyDescent="0.3">
      <c r="C2" s="140" t="s">
        <v>213</v>
      </c>
      <c r="D2" s="73"/>
      <c r="F2" s="176" t="s">
        <v>214</v>
      </c>
      <c r="G2" s="413" t="s">
        <v>213</v>
      </c>
      <c r="H2" s="414"/>
      <c r="I2" s="414"/>
      <c r="J2" s="415"/>
      <c r="K2" s="416" t="s">
        <v>213</v>
      </c>
      <c r="L2" s="417"/>
      <c r="M2" s="417"/>
      <c r="N2" s="418"/>
    </row>
    <row r="3" spans="2:25" ht="46.8" customHeight="1" x14ac:dyDescent="0.3">
      <c r="B3" s="141" t="s">
        <v>38</v>
      </c>
      <c r="C3" s="141" t="s">
        <v>163</v>
      </c>
      <c r="D3" s="142" t="s">
        <v>269</v>
      </c>
      <c r="E3" s="142" t="s">
        <v>376</v>
      </c>
      <c r="F3" s="142" t="s">
        <v>164</v>
      </c>
      <c r="G3" s="142" t="s">
        <v>145</v>
      </c>
      <c r="H3" s="142" t="s">
        <v>384</v>
      </c>
      <c r="I3" s="142" t="s">
        <v>39</v>
      </c>
      <c r="J3" s="142" t="s">
        <v>142</v>
      </c>
      <c r="K3" s="142" t="s">
        <v>187</v>
      </c>
      <c r="L3" s="142" t="s">
        <v>385</v>
      </c>
      <c r="M3" s="142" t="s">
        <v>165</v>
      </c>
      <c r="N3" s="142" t="s">
        <v>386</v>
      </c>
      <c r="O3" s="142" t="s">
        <v>166</v>
      </c>
      <c r="P3" s="142" t="s">
        <v>167</v>
      </c>
      <c r="Q3" s="142" t="s">
        <v>168</v>
      </c>
      <c r="R3" s="142" t="s">
        <v>175</v>
      </c>
      <c r="S3" s="142" t="s">
        <v>169</v>
      </c>
      <c r="T3" s="142" t="s">
        <v>377</v>
      </c>
      <c r="U3" s="142" t="s">
        <v>170</v>
      </c>
    </row>
    <row r="4" spans="2:25" ht="18" customHeight="1" x14ac:dyDescent="0.3">
      <c r="B4" s="143"/>
      <c r="C4" s="143"/>
      <c r="D4" s="143"/>
      <c r="E4" s="144"/>
      <c r="F4" s="144"/>
      <c r="G4" s="144"/>
      <c r="H4" s="144"/>
      <c r="I4" s="144"/>
      <c r="J4" s="144"/>
      <c r="K4" s="144"/>
      <c r="L4" s="144"/>
      <c r="M4" s="144"/>
      <c r="N4" s="144"/>
      <c r="O4" s="144"/>
      <c r="P4" s="144"/>
      <c r="Q4" s="144"/>
      <c r="R4" s="144"/>
      <c r="X4" s="335" t="s">
        <v>380</v>
      </c>
    </row>
    <row r="5" spans="2:25" ht="18" customHeight="1" x14ac:dyDescent="0.3">
      <c r="B5" s="73" t="str">
        <f>WACC!B12</f>
        <v>Pakistan International Airlines</v>
      </c>
      <c r="C5" s="147">
        <f>E5*F5</f>
        <v>0</v>
      </c>
      <c r="D5" s="147">
        <f>(-2270868*1000)/10^6</f>
        <v>-2270.8679999999999</v>
      </c>
      <c r="E5" s="71"/>
      <c r="F5" s="3">
        <v>798</v>
      </c>
      <c r="G5" s="148"/>
      <c r="H5" s="43">
        <f>(18073*1000)/10^6</f>
        <v>18.073</v>
      </c>
      <c r="I5" s="43">
        <f>('Raw BS'!J57*1000)/10^6</f>
        <v>1427.2760000000001</v>
      </c>
      <c r="J5" s="3"/>
      <c r="K5" s="3">
        <f>(469451*1000)/10^6</f>
        <v>469.45100000000002</v>
      </c>
      <c r="L5" s="61">
        <f>(-3521*1000)/10^6</f>
        <v>-3.5209999999999999</v>
      </c>
      <c r="M5" s="74">
        <f>IFERROR((N5/K5),0)</f>
        <v>0</v>
      </c>
      <c r="N5" s="68" t="s">
        <v>419</v>
      </c>
      <c r="O5" s="150">
        <f>J5/F5</f>
        <v>0</v>
      </c>
      <c r="P5" s="148">
        <f>J5/K5</f>
        <v>0</v>
      </c>
      <c r="Q5" s="148" t="e">
        <f>J5/N5</f>
        <v>#VALUE!</v>
      </c>
      <c r="R5" s="148"/>
      <c r="S5" s="71"/>
      <c r="T5" s="71"/>
      <c r="U5" s="71"/>
      <c r="X5" t="s">
        <v>379</v>
      </c>
      <c r="Y5">
        <v>0.76</v>
      </c>
    </row>
    <row r="6" spans="2:25" x14ac:dyDescent="0.3">
      <c r="C6" s="3"/>
      <c r="D6" s="3"/>
      <c r="E6" s="3"/>
      <c r="F6" s="3"/>
      <c r="G6" s="3"/>
      <c r="J6" s="61"/>
      <c r="K6" s="3"/>
      <c r="L6" s="145"/>
      <c r="M6" s="146"/>
      <c r="N6" s="3"/>
      <c r="O6" s="3"/>
      <c r="P6" s="3"/>
      <c r="Q6" s="3"/>
      <c r="R6" s="3"/>
      <c r="S6" s="3"/>
      <c r="T6" s="3"/>
      <c r="X6" t="s">
        <v>381</v>
      </c>
      <c r="Y6">
        <v>2.9000000000000001E-2</v>
      </c>
    </row>
    <row r="7" spans="2:25" ht="18" customHeight="1" x14ac:dyDescent="0.3">
      <c r="B7" t="s">
        <v>347</v>
      </c>
      <c r="C7" s="147">
        <f>382592*Y6</f>
        <v>11095.168</v>
      </c>
      <c r="D7" s="147">
        <f>618691*Y6</f>
        <v>17942.039000000001</v>
      </c>
      <c r="E7" s="148">
        <f>277.25*Y6</f>
        <v>8.0402500000000003</v>
      </c>
      <c r="F7" s="148">
        <v>1380</v>
      </c>
      <c r="G7" s="148">
        <f>J7+H7-I7</f>
        <v>11098.213000000002</v>
      </c>
      <c r="H7" s="148">
        <f>213042*Y6</f>
        <v>6178.2180000000008</v>
      </c>
      <c r="I7" s="149">
        <f>494963*Y6</f>
        <v>14353.927000000001</v>
      </c>
      <c r="J7" s="150">
        <f>664618*Y6</f>
        <v>19273.922000000002</v>
      </c>
      <c r="K7" s="149">
        <f>697545*Y6</f>
        <v>20228.805</v>
      </c>
      <c r="L7" s="148">
        <f>182366*Y6</f>
        <v>5288.6140000000005</v>
      </c>
      <c r="M7" s="151">
        <f t="shared" ref="M7:M10" si="0">N7/K7</f>
        <v>0.15108559304417635</v>
      </c>
      <c r="N7" s="148">
        <f>105389*Y6</f>
        <v>3056.2809999999999</v>
      </c>
      <c r="O7" s="150">
        <f>J7/F7</f>
        <v>13.966610144927538</v>
      </c>
      <c r="P7" s="148">
        <f>J7/K7</f>
        <v>0.95279587696851109</v>
      </c>
      <c r="Q7" s="148">
        <f>J7/N7</f>
        <v>6.3063317803565848</v>
      </c>
      <c r="R7" s="148">
        <v>8.92</v>
      </c>
      <c r="S7" s="148">
        <v>2.14</v>
      </c>
      <c r="T7" s="148">
        <v>0.56000000000000005</v>
      </c>
      <c r="U7">
        <v>0.63</v>
      </c>
      <c r="X7" t="s">
        <v>383</v>
      </c>
      <c r="Y7">
        <v>6.3999999999999997E-5</v>
      </c>
    </row>
    <row r="8" spans="2:25" x14ac:dyDescent="0.3">
      <c r="B8" t="s">
        <v>351</v>
      </c>
      <c r="C8" s="147">
        <f>17.34*1000*Y5</f>
        <v>13178.4</v>
      </c>
      <c r="D8" s="147">
        <f>16745*Y5</f>
        <v>12726.2</v>
      </c>
      <c r="E8" s="3">
        <v>4.63</v>
      </c>
      <c r="F8" s="3">
        <v>3566</v>
      </c>
      <c r="G8" s="148">
        <f>J8+H8-I8</f>
        <v>14807.84</v>
      </c>
      <c r="H8">
        <f>12660*Y5</f>
        <v>9621.6</v>
      </c>
      <c r="I8" s="3">
        <f>13448*Y5</f>
        <v>10220.48</v>
      </c>
      <c r="J8" s="61">
        <f>20272*$Y$5</f>
        <v>15406.72</v>
      </c>
      <c r="K8" s="61">
        <f>19013*$Y$5</f>
        <v>14449.880000000001</v>
      </c>
      <c r="L8" s="61">
        <f>2675*Y5</f>
        <v>2033</v>
      </c>
      <c r="M8" s="151">
        <f t="shared" si="0"/>
        <v>0.22716036396150002</v>
      </c>
      <c r="N8" s="3">
        <f>4319*Y5</f>
        <v>3282.44</v>
      </c>
      <c r="O8" s="150">
        <f>J8/F8</f>
        <v>4.320448681996635</v>
      </c>
      <c r="P8" s="148">
        <f>J8/K8</f>
        <v>1.0662178509440907</v>
      </c>
      <c r="Q8" s="148">
        <f>J8/N8</f>
        <v>4.6936790923824958</v>
      </c>
      <c r="R8" s="148">
        <v>9.91</v>
      </c>
      <c r="S8">
        <v>10.56</v>
      </c>
      <c r="T8">
        <v>1.44</v>
      </c>
      <c r="U8">
        <v>1.42</v>
      </c>
      <c r="X8" t="s">
        <v>388</v>
      </c>
      <c r="Y8">
        <v>0.14000000000000001</v>
      </c>
    </row>
    <row r="9" spans="2:25" x14ac:dyDescent="0.3">
      <c r="B9" t="s">
        <v>360</v>
      </c>
      <c r="C9" s="147">
        <f>5031443*Y7</f>
        <v>322.01235199999996</v>
      </c>
      <c r="D9" s="147">
        <v>-1410</v>
      </c>
      <c r="E9" s="3"/>
      <c r="F9" s="3">
        <v>140272</v>
      </c>
      <c r="G9" s="148">
        <f>J9+H9-I9</f>
        <v>176.68966399999954</v>
      </c>
      <c r="H9">
        <v>211.16</v>
      </c>
      <c r="I9" s="3">
        <v>3838</v>
      </c>
      <c r="J9" s="61">
        <f>59430151*Y7</f>
        <v>3803.5296639999997</v>
      </c>
      <c r="K9" s="61">
        <v>3265</v>
      </c>
      <c r="L9" s="61">
        <v>191.21</v>
      </c>
      <c r="M9" s="151">
        <f t="shared" si="0"/>
        <v>0.18428483920367536</v>
      </c>
      <c r="N9" s="3">
        <v>601.69000000000005</v>
      </c>
      <c r="O9" s="150">
        <f>J9/F9</f>
        <v>2.7115387703889583E-2</v>
      </c>
      <c r="P9" s="148">
        <f>J9/K9</f>
        <v>1.1649401727411943</v>
      </c>
      <c r="Q9" s="148">
        <f>J9/N9</f>
        <v>6.3214107995811784</v>
      </c>
      <c r="R9" s="148">
        <v>10.25</v>
      </c>
      <c r="S9">
        <v>2.71</v>
      </c>
      <c r="T9">
        <v>0.16</v>
      </c>
      <c r="U9">
        <v>-0.3</v>
      </c>
      <c r="X9" t="s">
        <v>390</v>
      </c>
      <c r="Y9">
        <v>0.13</v>
      </c>
    </row>
    <row r="10" spans="2:25" x14ac:dyDescent="0.3">
      <c r="B10" t="s">
        <v>387</v>
      </c>
      <c r="C10" s="147">
        <f>80461*Y8</f>
        <v>11264.54</v>
      </c>
      <c r="D10" s="147">
        <f>40819*Y8</f>
        <v>5714.6600000000008</v>
      </c>
      <c r="E10" s="3">
        <f>4.04*Y8</f>
        <v>0.5656000000000001</v>
      </c>
      <c r="F10" s="3">
        <v>16416</v>
      </c>
      <c r="G10" s="148">
        <f>J10+H10-I10</f>
        <v>11342.52</v>
      </c>
      <c r="H10">
        <f>6643*Y8</f>
        <v>930.0200000000001</v>
      </c>
      <c r="I10">
        <f>180555*Y8</f>
        <v>25277.7</v>
      </c>
      <c r="J10">
        <f>254930*Y8</f>
        <v>35690.200000000004</v>
      </c>
      <c r="K10" s="3">
        <f>130679*Y8</f>
        <v>18295.060000000001</v>
      </c>
      <c r="L10" s="61">
        <f>-5710*Y8</f>
        <v>-799.40000000000009</v>
      </c>
      <c r="M10" s="151">
        <f t="shared" si="0"/>
        <v>6.6858485296030737E-2</v>
      </c>
      <c r="N10" s="3">
        <f>8737*Y8</f>
        <v>1223.18</v>
      </c>
      <c r="O10" s="150">
        <f>J10/F10</f>
        <v>2.1741106237816767</v>
      </c>
      <c r="P10" s="148">
        <f>J10/K10</f>
        <v>1.9508107653104172</v>
      </c>
      <c r="Q10" s="148">
        <f>J10/N10</f>
        <v>29.178207622753806</v>
      </c>
      <c r="R10" s="148">
        <v>-127.38</v>
      </c>
      <c r="S10" s="8" t="s">
        <v>389</v>
      </c>
      <c r="T10">
        <v>0.51</v>
      </c>
      <c r="U10">
        <v>4.5599999999999996</v>
      </c>
    </row>
    <row r="11" spans="2:25" ht="16.2" x14ac:dyDescent="0.3">
      <c r="B11" t="s">
        <v>391</v>
      </c>
      <c r="C11" s="147">
        <f>109404*Y9</f>
        <v>14222.52</v>
      </c>
      <c r="D11" s="148">
        <f>55556*Y8</f>
        <v>7777.8400000000011</v>
      </c>
      <c r="E11" s="3"/>
      <c r="F11" s="3">
        <v>17376</v>
      </c>
      <c r="G11" s="148">
        <f>J11+H11-I11</f>
        <v>20816.460000000003</v>
      </c>
      <c r="H11" s="3">
        <f>14163*Y8</f>
        <v>1982.8200000000002</v>
      </c>
      <c r="I11" s="3">
        <f>205465*Y8</f>
        <v>28765.100000000002</v>
      </c>
      <c r="J11" s="61">
        <f>339991*Y8</f>
        <v>47598.740000000005</v>
      </c>
      <c r="K11" s="3">
        <f>175099*Y8</f>
        <v>24513.86</v>
      </c>
      <c r="L11" s="3">
        <f>-3564*Y8</f>
        <v>-498.96000000000004</v>
      </c>
      <c r="M11" s="151">
        <f>N11/K11</f>
        <v>8.3495622476427625E-2</v>
      </c>
      <c r="N11" s="3">
        <f>14620*Y8</f>
        <v>2046.8000000000002</v>
      </c>
      <c r="O11" s="150">
        <f t="shared" ref="O11" si="1">J11/F11</f>
        <v>2.7393381675874773</v>
      </c>
      <c r="P11" s="148">
        <f t="shared" ref="P11" si="2">J11/K11</f>
        <v>1.9417072627485024</v>
      </c>
      <c r="Q11" s="148">
        <f t="shared" ref="Q11" si="3">J11/N11</f>
        <v>23.255198358413132</v>
      </c>
      <c r="R11" s="148">
        <v>88.66</v>
      </c>
      <c r="S11" s="8" t="s">
        <v>389</v>
      </c>
      <c r="T11">
        <v>0.32</v>
      </c>
      <c r="U11">
        <v>1.49</v>
      </c>
    </row>
    <row r="12" spans="2:25" x14ac:dyDescent="0.3">
      <c r="C12" s="147"/>
      <c r="D12" s="148"/>
      <c r="E12" s="3"/>
      <c r="F12" s="3"/>
      <c r="G12" s="148"/>
      <c r="H12" s="3"/>
      <c r="I12" s="3"/>
      <c r="J12" s="61"/>
      <c r="K12" s="3"/>
      <c r="L12" s="3"/>
      <c r="M12" s="151"/>
      <c r="N12" s="3"/>
      <c r="O12" s="150"/>
      <c r="P12" s="148"/>
      <c r="Q12" s="148"/>
      <c r="R12" s="148"/>
      <c r="S12" s="8"/>
    </row>
    <row r="13" spans="2:25" x14ac:dyDescent="0.3">
      <c r="B13" s="60" t="s">
        <v>392</v>
      </c>
      <c r="C13" s="147"/>
      <c r="D13" s="148"/>
      <c r="E13" s="3"/>
      <c r="F13" s="3"/>
      <c r="G13" s="148"/>
      <c r="H13" s="3"/>
      <c r="I13" s="3"/>
      <c r="J13" s="61"/>
      <c r="K13" s="3"/>
      <c r="L13" s="3"/>
      <c r="M13" s="151"/>
      <c r="N13" s="3"/>
      <c r="O13" s="150"/>
      <c r="P13" s="148"/>
      <c r="Q13" s="148"/>
      <c r="R13" s="148"/>
      <c r="S13" s="8"/>
    </row>
    <row r="14" spans="2:25" x14ac:dyDescent="0.3">
      <c r="B14" s="95" t="s">
        <v>393</v>
      </c>
      <c r="C14" s="147"/>
      <c r="D14" s="148"/>
      <c r="E14" s="3"/>
      <c r="F14" s="3"/>
      <c r="G14" s="148"/>
      <c r="H14" s="3"/>
      <c r="I14" s="3"/>
      <c r="J14" s="61"/>
      <c r="K14" s="3"/>
      <c r="L14" s="3"/>
      <c r="M14" s="151"/>
      <c r="N14" s="3"/>
      <c r="O14" s="150"/>
      <c r="P14" s="148"/>
      <c r="Q14" s="148"/>
      <c r="R14" s="148"/>
      <c r="S14" s="8"/>
    </row>
    <row r="15" spans="2:25" x14ac:dyDescent="0.3">
      <c r="P15" s="61"/>
    </row>
    <row r="16" spans="2:25" x14ac:dyDescent="0.3">
      <c r="B16" s="137"/>
      <c r="C16" s="137"/>
      <c r="D16" s="137"/>
      <c r="E16" s="137"/>
      <c r="F16" s="137"/>
      <c r="G16" s="137"/>
      <c r="P16" s="61"/>
    </row>
    <row r="17" spans="2:16" x14ac:dyDescent="0.3">
      <c r="B17" s="137"/>
      <c r="C17" s="137"/>
      <c r="D17" s="137"/>
      <c r="E17" s="137"/>
      <c r="F17" s="137"/>
      <c r="G17" s="137"/>
      <c r="P17" s="61"/>
    </row>
    <row r="18" spans="2:16" x14ac:dyDescent="0.3">
      <c r="B18" s="60" t="s">
        <v>43</v>
      </c>
      <c r="M18" s="61"/>
    </row>
    <row r="19" spans="2:16" x14ac:dyDescent="0.3">
      <c r="B19" s="403" t="s">
        <v>416</v>
      </c>
      <c r="C19" s="403"/>
      <c r="D19" s="403"/>
      <c r="E19" s="403"/>
      <c r="F19" s="403"/>
      <c r="G19" s="403"/>
      <c r="M19" s="61"/>
    </row>
    <row r="20" spans="2:16" x14ac:dyDescent="0.3">
      <c r="B20" s="403"/>
      <c r="C20" s="403"/>
      <c r="D20" s="403"/>
      <c r="E20" s="403"/>
      <c r="F20" s="403"/>
      <c r="G20" s="403"/>
      <c r="M20" s="61"/>
    </row>
    <row r="21" spans="2:16" x14ac:dyDescent="0.3">
      <c r="B21" s="403"/>
      <c r="C21" s="403"/>
      <c r="D21" s="403"/>
      <c r="E21" s="403"/>
      <c r="F21" s="403"/>
      <c r="G21" s="403"/>
    </row>
    <row r="22" spans="2:16" x14ac:dyDescent="0.3">
      <c r="H22" s="61"/>
    </row>
    <row r="23" spans="2:16" x14ac:dyDescent="0.3">
      <c r="H23" s="61"/>
    </row>
    <row r="24" spans="2:16" x14ac:dyDescent="0.3">
      <c r="B24" s="73" t="s">
        <v>172</v>
      </c>
    </row>
    <row r="25" spans="2:16" x14ac:dyDescent="0.3">
      <c r="C25" s="62">
        <v>2023</v>
      </c>
      <c r="D25" s="62"/>
      <c r="E25" s="62">
        <v>2022</v>
      </c>
      <c r="F25" s="62">
        <v>2021</v>
      </c>
      <c r="G25" s="62">
        <v>2020</v>
      </c>
      <c r="H25" s="62">
        <v>2019</v>
      </c>
      <c r="I25" s="62">
        <v>2018</v>
      </c>
    </row>
    <row r="26" spans="2:16" x14ac:dyDescent="0.3">
      <c r="B26" t="s">
        <v>173</v>
      </c>
      <c r="C26" s="39">
        <f>M5</f>
        <v>0</v>
      </c>
      <c r="D26" s="39"/>
      <c r="E26" s="39">
        <v>7.7100000000000002E-2</v>
      </c>
      <c r="F26" s="39">
        <v>9.3299999999999994E-2</v>
      </c>
      <c r="G26" s="39">
        <v>7.2099999999999997E-2</v>
      </c>
      <c r="H26" s="39">
        <v>4.9599999999999998E-2</v>
      </c>
      <c r="I26" s="39">
        <f>AVERAGE(C26:H26)</f>
        <v>5.8419999999999993E-2</v>
      </c>
    </row>
    <row r="27" spans="2:16" x14ac:dyDescent="0.3">
      <c r="B27" t="s">
        <v>174</v>
      </c>
      <c r="C27" s="39">
        <v>4.6899999999999997E-2</v>
      </c>
      <c r="D27" s="39"/>
      <c r="E27" s="39">
        <v>5.7799999999999997E-2</v>
      </c>
      <c r="F27" s="39">
        <v>5.45E-2</v>
      </c>
      <c r="G27" s="39">
        <v>2.69E-2</v>
      </c>
      <c r="H27" s="39">
        <v>-8.9999999999999998E-4</v>
      </c>
      <c r="I27" s="39">
        <f>AVERAGE(C27:H27)</f>
        <v>3.7039999999999997E-2</v>
      </c>
    </row>
    <row r="28" spans="2:16" x14ac:dyDescent="0.3">
      <c r="B28" t="s">
        <v>168</v>
      </c>
      <c r="C28">
        <v>10.81</v>
      </c>
      <c r="E28">
        <v>9.11</v>
      </c>
      <c r="F28">
        <v>13.96</v>
      </c>
      <c r="G28">
        <v>21.95</v>
      </c>
      <c r="H28">
        <v>35.159999999999997</v>
      </c>
      <c r="I28" s="3">
        <f>AVERAGE(C28:H28)</f>
        <v>18.198</v>
      </c>
    </row>
    <row r="29" spans="2:16" x14ac:dyDescent="0.3">
      <c r="B29" t="s">
        <v>175</v>
      </c>
      <c r="C29">
        <v>14.32</v>
      </c>
      <c r="E29">
        <v>12.16</v>
      </c>
      <c r="F29">
        <v>23.89</v>
      </c>
      <c r="G29">
        <v>58.71</v>
      </c>
      <c r="H29">
        <v>-2045.03</v>
      </c>
      <c r="I29" s="3">
        <f t="shared" ref="I29:I31" si="4">AVERAGE(C29:H29)</f>
        <v>-387.19</v>
      </c>
    </row>
    <row r="30" spans="2:16" x14ac:dyDescent="0.3">
      <c r="B30" t="s">
        <v>167</v>
      </c>
      <c r="C30">
        <v>0.67</v>
      </c>
      <c r="E30">
        <v>0.7</v>
      </c>
      <c r="F30">
        <v>1.3</v>
      </c>
      <c r="G30">
        <v>1.58</v>
      </c>
      <c r="H30">
        <v>1.74</v>
      </c>
      <c r="I30" s="3">
        <f t="shared" si="4"/>
        <v>1.198</v>
      </c>
    </row>
    <row r="31" spans="2:16" x14ac:dyDescent="0.3">
      <c r="B31" t="s">
        <v>176</v>
      </c>
      <c r="C31">
        <v>0.13</v>
      </c>
      <c r="E31">
        <v>0.24</v>
      </c>
      <c r="F31">
        <v>0.56000000000000005</v>
      </c>
      <c r="G31">
        <v>0.75</v>
      </c>
      <c r="H31">
        <v>0.77</v>
      </c>
      <c r="I31" s="3">
        <f t="shared" si="4"/>
        <v>0.49000000000000005</v>
      </c>
    </row>
  </sheetData>
  <mergeCells count="3">
    <mergeCell ref="G2:J2"/>
    <mergeCell ref="K2:N2"/>
    <mergeCell ref="B19:G2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214B7-D7DD-473E-931C-343E37AE6137}">
  <dimension ref="B2:AF51"/>
  <sheetViews>
    <sheetView showGridLines="0" topLeftCell="H1" workbookViewId="0">
      <selection activeCell="U10" sqref="U10"/>
    </sheetView>
  </sheetViews>
  <sheetFormatPr defaultRowHeight="14.4" x14ac:dyDescent="0.3"/>
  <cols>
    <col min="1" max="1" width="5.109375" customWidth="1"/>
    <col min="2" max="2" width="41.21875" customWidth="1"/>
    <col min="3" max="3" width="17.6640625" customWidth="1"/>
    <col min="4" max="4" width="7.6640625" customWidth="1"/>
    <col min="5" max="5" width="13.88671875" customWidth="1"/>
    <col min="6" max="6" width="12.33203125" customWidth="1"/>
    <col min="7" max="7" width="20.44140625" customWidth="1"/>
    <col min="8" max="8" width="15.88671875" customWidth="1"/>
    <col min="9" max="9" width="4.44140625" customWidth="1"/>
    <col min="10" max="10" width="10.77734375" customWidth="1"/>
    <col min="11" max="11" width="13.109375" bestFit="1" customWidth="1"/>
    <col min="12" max="12" width="13.109375" customWidth="1"/>
    <col min="13" max="13" width="9.88671875" customWidth="1"/>
    <col min="14" max="14" width="3.44140625" customWidth="1"/>
    <col min="15" max="15" width="17.109375" customWidth="1"/>
    <col min="16" max="17" width="21.33203125" customWidth="1"/>
    <col min="18" max="18" width="19.6640625" customWidth="1"/>
    <col min="19" max="19" width="13" customWidth="1"/>
    <col min="20" max="20" width="18" customWidth="1"/>
    <col min="21" max="21" width="12.6640625" customWidth="1"/>
    <col min="22" max="22" width="10.44140625" bestFit="1" customWidth="1"/>
  </cols>
  <sheetData>
    <row r="2" spans="2:21" ht="15" thickBot="1" x14ac:dyDescent="0.35">
      <c r="B2" s="152" t="s">
        <v>213</v>
      </c>
      <c r="C2" s="152"/>
      <c r="D2" s="152"/>
      <c r="E2" s="152"/>
    </row>
    <row r="3" spans="2:21" x14ac:dyDescent="0.3">
      <c r="B3" s="363" t="str">
        <f>"Comparable Company Valuation (Relative Valuation)"&amp;" - "&amp;WACC!$B$12</f>
        <v>Comparable Company Valuation (Relative Valuation) - Pakistan International Airlines</v>
      </c>
      <c r="C3" s="363"/>
      <c r="D3" s="363"/>
      <c r="E3" s="363"/>
      <c r="F3" s="363"/>
      <c r="G3" s="53"/>
      <c r="H3" s="53"/>
      <c r="I3" s="53"/>
      <c r="J3" s="8"/>
      <c r="K3" s="8"/>
      <c r="L3" s="8"/>
    </row>
    <row r="4" spans="2:21" ht="7.8" customHeight="1" x14ac:dyDescent="0.3"/>
    <row r="5" spans="2:21" ht="15" thickBot="1" x14ac:dyDescent="0.35">
      <c r="B5" s="62"/>
      <c r="C5" s="62"/>
      <c r="D5" s="421" t="s">
        <v>177</v>
      </c>
      <c r="E5" s="421"/>
      <c r="F5" s="421"/>
      <c r="G5" s="421"/>
      <c r="H5" s="421"/>
      <c r="I5" s="138"/>
      <c r="J5" s="421" t="s">
        <v>178</v>
      </c>
      <c r="K5" s="421"/>
      <c r="L5" s="421"/>
      <c r="M5" s="421"/>
      <c r="N5" s="55"/>
      <c r="O5" s="367" t="s">
        <v>179</v>
      </c>
      <c r="P5" s="367"/>
      <c r="Q5" s="367"/>
      <c r="R5" s="367"/>
      <c r="S5" s="367"/>
      <c r="T5" s="367"/>
      <c r="U5" s="367"/>
    </row>
    <row r="6" spans="2:21" ht="51" customHeight="1" x14ac:dyDescent="0.3">
      <c r="B6" s="55" t="s">
        <v>180</v>
      </c>
      <c r="C6" s="55" t="s">
        <v>181</v>
      </c>
      <c r="D6" s="153" t="s">
        <v>182</v>
      </c>
      <c r="E6" s="153" t="s">
        <v>183</v>
      </c>
      <c r="F6" s="153" t="s">
        <v>184</v>
      </c>
      <c r="G6" s="153" t="s">
        <v>185</v>
      </c>
      <c r="H6" s="153" t="s">
        <v>186</v>
      </c>
      <c r="I6" s="55"/>
      <c r="J6" s="55" t="s">
        <v>187</v>
      </c>
      <c r="K6" s="55" t="s">
        <v>188</v>
      </c>
      <c r="L6" s="153" t="s">
        <v>423</v>
      </c>
      <c r="M6" s="153" t="s">
        <v>189</v>
      </c>
      <c r="N6" s="55"/>
      <c r="O6" s="55" t="s">
        <v>167</v>
      </c>
      <c r="P6" s="55" t="s">
        <v>168</v>
      </c>
      <c r="Q6" s="55" t="s">
        <v>175</v>
      </c>
      <c r="R6" s="55" t="s">
        <v>169</v>
      </c>
      <c r="S6" s="55" t="s">
        <v>268</v>
      </c>
      <c r="T6" s="153" t="s">
        <v>418</v>
      </c>
      <c r="U6" s="153" t="s">
        <v>269</v>
      </c>
    </row>
    <row r="7" spans="2:21" ht="9" customHeight="1" x14ac:dyDescent="0.3"/>
    <row r="8" spans="2:21" x14ac:dyDescent="0.3">
      <c r="B8" s="154" t="s">
        <v>291</v>
      </c>
      <c r="C8" s="154" t="s">
        <v>267</v>
      </c>
      <c r="D8" s="155">
        <f>'Raw Data for Relative Valuation'!E5</f>
        <v>0</v>
      </c>
      <c r="E8" s="155">
        <f>'Raw Data for Relative Valuation'!F5</f>
        <v>798</v>
      </c>
      <c r="F8" s="155"/>
      <c r="G8" s="156">
        <f>'Raw Data for Relative Valuation'!H5-'Raw Data for Relative Valuation'!I5</f>
        <v>-1409.203</v>
      </c>
      <c r="H8" s="155">
        <f>'Raw Data for Relative Valuation'!J5</f>
        <v>0</v>
      </c>
      <c r="I8" s="157"/>
      <c r="J8" s="155">
        <f>'Raw Data for Relative Valuation'!K5</f>
        <v>469.45100000000002</v>
      </c>
      <c r="K8" s="155" t="str">
        <f>'Raw Data for Relative Valuation'!N5</f>
        <v>Not Available</v>
      </c>
      <c r="L8" s="155">
        <f>(13945*1000)/10^6</f>
        <v>13.945</v>
      </c>
      <c r="M8" s="155">
        <f>'Raw Data for Relative Valuation'!L5</f>
        <v>-3.5209999999999999</v>
      </c>
      <c r="N8" s="157"/>
      <c r="O8" s="158">
        <f>IFERROR(H8/J8,0)</f>
        <v>0</v>
      </c>
      <c r="P8" s="158">
        <f>IFERROR(H8/K8,0)</f>
        <v>0</v>
      </c>
      <c r="Q8" s="158">
        <f>'Raw Data for Relative Valuation'!R5</f>
        <v>0</v>
      </c>
      <c r="R8" s="158">
        <f>'Raw Data for Relative Valuation'!S5</f>
        <v>0</v>
      </c>
      <c r="S8" s="158">
        <f>'Raw Data for Relative Valuation'!U5</f>
        <v>0</v>
      </c>
      <c r="T8" s="158">
        <f>'Raw Data for Relative Valuation'!T5</f>
        <v>0</v>
      </c>
      <c r="U8" s="251">
        <f>'Raw Data for Relative Valuation'!D5</f>
        <v>-2270.8679999999999</v>
      </c>
    </row>
    <row r="9" spans="2:21" x14ac:dyDescent="0.3">
      <c r="B9" s="8" t="s">
        <v>347</v>
      </c>
      <c r="C9" s="8" t="s">
        <v>378</v>
      </c>
      <c r="D9" s="159">
        <f>'Raw Data for Relative Valuation'!E7</f>
        <v>8.0402500000000003</v>
      </c>
      <c r="E9" s="159">
        <f>'Raw Data for Relative Valuation'!F7</f>
        <v>1380</v>
      </c>
      <c r="F9" s="159">
        <f>'Raw Data for Relative Valuation'!G7</f>
        <v>11098.213000000002</v>
      </c>
      <c r="G9" s="160">
        <f>'Raw Data for Relative Valuation'!H7-'Raw Data for Relative Valuation'!I7</f>
        <v>-8175.7090000000007</v>
      </c>
      <c r="H9" s="71">
        <f>'Raw Data for Relative Valuation'!J7</f>
        <v>19273.922000000002</v>
      </c>
      <c r="I9" s="8"/>
      <c r="J9" s="159">
        <f>'Raw Data for Relative Valuation'!K7</f>
        <v>20228.805</v>
      </c>
      <c r="K9" s="159">
        <f>'Raw Data for Relative Valuation'!N7</f>
        <v>3056.2809999999999</v>
      </c>
      <c r="L9" s="159"/>
      <c r="M9" s="159">
        <f>'Raw Data for Relative Valuation'!L7</f>
        <v>5288.6140000000005</v>
      </c>
      <c r="N9" s="8"/>
      <c r="O9" s="161">
        <f t="shared" ref="O9:O13" si="0">IFERROR(H9/J9,0)</f>
        <v>0.95279587696851109</v>
      </c>
      <c r="P9" s="161">
        <f t="shared" ref="P9:P13" si="1">IFERROR(H9/K9,0)</f>
        <v>6.3063317803565848</v>
      </c>
      <c r="Q9" s="161">
        <f>'Raw Data for Relative Valuation'!R7</f>
        <v>8.92</v>
      </c>
      <c r="R9" s="162">
        <f>'Raw Data for Relative Valuation'!S7</f>
        <v>2.14</v>
      </c>
      <c r="S9" s="162">
        <f>'Raw Data for Relative Valuation'!U7</f>
        <v>0.63</v>
      </c>
      <c r="T9" s="162">
        <f>'Raw Data for Relative Valuation'!T7</f>
        <v>0.56000000000000005</v>
      </c>
      <c r="U9" s="159">
        <f>'Raw Data for Relative Valuation'!D7</f>
        <v>17942.039000000001</v>
      </c>
    </row>
    <row r="10" spans="2:21" x14ac:dyDescent="0.3">
      <c r="B10" s="8" t="s">
        <v>351</v>
      </c>
      <c r="C10" s="8" t="s">
        <v>417</v>
      </c>
      <c r="D10" s="159">
        <f>'Raw Data for Relative Valuation'!E8</f>
        <v>4.63</v>
      </c>
      <c r="E10" s="159">
        <f>'Raw Data for Relative Valuation'!F8</f>
        <v>3566</v>
      </c>
      <c r="F10" s="159">
        <f>'Raw Data for Relative Valuation'!G8</f>
        <v>14807.84</v>
      </c>
      <c r="G10" s="160">
        <f>'Raw Data for Relative Valuation'!H8-'Raw Data for Relative Valuation'!I8</f>
        <v>-598.8799999999992</v>
      </c>
      <c r="H10" s="71">
        <f>'Raw Data for Relative Valuation'!J8</f>
        <v>15406.72</v>
      </c>
      <c r="I10" s="8"/>
      <c r="J10" s="159">
        <f>'Raw Data for Relative Valuation'!K8</f>
        <v>14449.880000000001</v>
      </c>
      <c r="K10" s="159">
        <f>'Raw Data for Relative Valuation'!N8</f>
        <v>3282.44</v>
      </c>
      <c r="L10" s="159"/>
      <c r="M10" s="159">
        <f>'Raw Data for Relative Valuation'!L8</f>
        <v>2033</v>
      </c>
      <c r="N10" s="8"/>
      <c r="O10" s="161">
        <f>IFERROR(H10/J10,0)</f>
        <v>1.0662178509440907</v>
      </c>
      <c r="P10" s="161">
        <f>IFERROR(H10/K10,0)</f>
        <v>4.6936790923824958</v>
      </c>
      <c r="Q10" s="161">
        <f>'Raw Data for Relative Valuation'!R8</f>
        <v>9.91</v>
      </c>
      <c r="R10" s="162">
        <f>'Raw Data for Relative Valuation'!S8</f>
        <v>10.56</v>
      </c>
      <c r="S10" s="162">
        <f>'Raw Data for Relative Valuation'!U8</f>
        <v>1.42</v>
      </c>
      <c r="T10" s="162">
        <f>'Raw Data for Relative Valuation'!T8</f>
        <v>1.44</v>
      </c>
      <c r="U10" s="159">
        <f>'Raw Data for Relative Valuation'!D8</f>
        <v>12726.2</v>
      </c>
    </row>
    <row r="11" spans="2:21" x14ac:dyDescent="0.3">
      <c r="B11" s="8" t="s">
        <v>360</v>
      </c>
      <c r="C11" s="8" t="s">
        <v>382</v>
      </c>
      <c r="D11" s="159">
        <f>'Raw Data for Relative Valuation'!E9</f>
        <v>0</v>
      </c>
      <c r="E11" s="159">
        <f>'Raw Data for Relative Valuation'!F9</f>
        <v>140272</v>
      </c>
      <c r="F11" s="159">
        <f>'Raw Data for Relative Valuation'!G9</f>
        <v>176.68966399999954</v>
      </c>
      <c r="G11" s="160">
        <f>'Raw Data for Relative Valuation'!H9-'Raw Data for Relative Valuation'!I9</f>
        <v>-3626.84</v>
      </c>
      <c r="H11" s="71">
        <f>'Raw Data for Relative Valuation'!J9</f>
        <v>3803.5296639999997</v>
      </c>
      <c r="I11" s="8"/>
      <c r="J11" s="159">
        <f>'Raw Data for Relative Valuation'!K9</f>
        <v>3265</v>
      </c>
      <c r="K11" s="159">
        <f>'Raw Data for Relative Valuation'!N9</f>
        <v>601.69000000000005</v>
      </c>
      <c r="L11" s="159"/>
      <c r="M11" s="159">
        <f>'Raw Data for Relative Valuation'!L9</f>
        <v>191.21</v>
      </c>
      <c r="N11" s="8"/>
      <c r="O11" s="161">
        <f t="shared" si="0"/>
        <v>1.1649401727411943</v>
      </c>
      <c r="P11" s="161">
        <f t="shared" si="1"/>
        <v>6.3214107995811784</v>
      </c>
      <c r="Q11" s="161">
        <f>'Raw Data for Relative Valuation'!R9</f>
        <v>10.25</v>
      </c>
      <c r="R11" s="162">
        <f>'Raw Data for Relative Valuation'!S9</f>
        <v>2.71</v>
      </c>
      <c r="S11" s="162">
        <f>'Raw Data for Relative Valuation'!U9</f>
        <v>-0.3</v>
      </c>
      <c r="T11" s="162">
        <f>'Raw Data for Relative Valuation'!T9</f>
        <v>0.16</v>
      </c>
      <c r="U11" s="159">
        <f>'Raw Data for Relative Valuation'!D9</f>
        <v>-1410</v>
      </c>
    </row>
    <row r="12" spans="2:21" x14ac:dyDescent="0.3">
      <c r="B12" s="8" t="s">
        <v>387</v>
      </c>
      <c r="C12" s="8">
        <v>600115</v>
      </c>
      <c r="D12" s="159">
        <f>'Raw Data for Relative Valuation'!E10</f>
        <v>0.5656000000000001</v>
      </c>
      <c r="E12" s="159">
        <f>'Raw Data for Relative Valuation'!F10</f>
        <v>16416</v>
      </c>
      <c r="F12" s="159">
        <f>'Raw Data for Relative Valuation'!G10</f>
        <v>11342.52</v>
      </c>
      <c r="G12" s="160">
        <f>'Raw Data for Relative Valuation'!H10-'Raw Data for Relative Valuation'!I10</f>
        <v>-24347.68</v>
      </c>
      <c r="H12" s="71">
        <f>'Raw Data for Relative Valuation'!J10</f>
        <v>35690.200000000004</v>
      </c>
      <c r="I12" s="8"/>
      <c r="J12" s="159">
        <f>'Raw Data for Relative Valuation'!K10</f>
        <v>18295.060000000001</v>
      </c>
      <c r="K12" s="159">
        <f>'Raw Data for Relative Valuation'!N10</f>
        <v>1223.18</v>
      </c>
      <c r="L12" s="159"/>
      <c r="M12" s="159">
        <f>'Raw Data for Relative Valuation'!L10</f>
        <v>-799.40000000000009</v>
      </c>
      <c r="N12" s="8"/>
      <c r="O12" s="161">
        <f>IFERROR(H12/J12,0)</f>
        <v>1.9508107653104172</v>
      </c>
      <c r="P12" s="161">
        <f t="shared" si="1"/>
        <v>29.178207622753806</v>
      </c>
      <c r="Q12" s="161">
        <f>'Raw Data for Relative Valuation'!R10</f>
        <v>-127.38</v>
      </c>
      <c r="R12" s="162" t="str">
        <f>'Raw Data for Relative Valuation'!S10</f>
        <v>N/A as negative EPS</v>
      </c>
      <c r="S12" s="162">
        <f>'Raw Data for Relative Valuation'!U10</f>
        <v>4.5599999999999996</v>
      </c>
      <c r="T12" s="162">
        <f>'Raw Data for Relative Valuation'!T10</f>
        <v>0.51</v>
      </c>
      <c r="U12" s="159">
        <f>'Raw Data for Relative Valuation'!D10</f>
        <v>5714.6600000000008</v>
      </c>
    </row>
    <row r="13" spans="2:21" x14ac:dyDescent="0.3">
      <c r="B13" s="8" t="s">
        <v>356</v>
      </c>
      <c r="C13" s="8">
        <v>1055</v>
      </c>
      <c r="D13" s="159">
        <f>'Raw Data for Relative Valuation'!E11</f>
        <v>0</v>
      </c>
      <c r="E13" s="159">
        <f>'Raw Data for Relative Valuation'!F11</f>
        <v>17376</v>
      </c>
      <c r="F13" s="159">
        <f>'Raw Data for Relative Valuation'!G11</f>
        <v>20816.460000000003</v>
      </c>
      <c r="G13" s="160">
        <f>'Raw Data for Relative Valuation'!H11-'Raw Data for Relative Valuation'!I11</f>
        <v>-26782.280000000002</v>
      </c>
      <c r="H13" s="71">
        <f>'Raw Data for Relative Valuation'!J11</f>
        <v>47598.740000000005</v>
      </c>
      <c r="I13" s="8"/>
      <c r="J13" s="159">
        <f>'Raw Data for Relative Valuation'!K11</f>
        <v>24513.86</v>
      </c>
      <c r="K13" s="159">
        <f>'Raw Data for Relative Valuation'!N11</f>
        <v>2046.8000000000002</v>
      </c>
      <c r="L13" s="159"/>
      <c r="M13" s="159">
        <f>'Raw Data for Relative Valuation'!L11</f>
        <v>-498.96000000000004</v>
      </c>
      <c r="N13" s="8"/>
      <c r="O13" s="161">
        <f t="shared" si="0"/>
        <v>1.9417072627485024</v>
      </c>
      <c r="P13" s="161">
        <f t="shared" si="1"/>
        <v>23.255198358413132</v>
      </c>
      <c r="Q13" s="161">
        <f>'Raw Data for Relative Valuation'!R11</f>
        <v>88.66</v>
      </c>
      <c r="R13" s="162" t="str">
        <f>'Raw Data for Relative Valuation'!S11</f>
        <v>N/A as negative EPS</v>
      </c>
      <c r="S13" s="162">
        <f>'Raw Data for Relative Valuation'!U11</f>
        <v>1.49</v>
      </c>
      <c r="T13" s="162">
        <f>'Raw Data for Relative Valuation'!T11</f>
        <v>0.32</v>
      </c>
      <c r="U13" s="159">
        <f>'Raw Data for Relative Valuation'!D11</f>
        <v>7777.8400000000011</v>
      </c>
    </row>
    <row r="14" spans="2:21" x14ac:dyDescent="0.3">
      <c r="B14" s="8"/>
      <c r="C14" s="8"/>
      <c r="D14" s="71"/>
      <c r="E14" s="71"/>
      <c r="F14" s="71"/>
      <c r="G14" s="160"/>
      <c r="H14" s="160"/>
      <c r="I14" s="8"/>
      <c r="J14" s="160"/>
      <c r="K14" s="160"/>
      <c r="L14" s="160"/>
      <c r="M14" s="8"/>
      <c r="N14" s="8"/>
      <c r="O14" s="163"/>
      <c r="P14" s="163"/>
      <c r="Q14" s="163"/>
      <c r="R14" s="162"/>
      <c r="S14" s="162"/>
      <c r="T14" s="162"/>
      <c r="U14" s="162"/>
    </row>
    <row r="15" spans="2:21" x14ac:dyDescent="0.3">
      <c r="B15" s="8"/>
      <c r="C15" s="8"/>
      <c r="D15" s="71"/>
      <c r="E15" s="71"/>
      <c r="F15" s="71"/>
      <c r="G15" s="160"/>
      <c r="H15" s="160"/>
      <c r="I15" s="8"/>
      <c r="J15" s="160"/>
      <c r="K15" s="160"/>
      <c r="L15" s="160"/>
      <c r="M15" s="8"/>
      <c r="N15" s="8"/>
      <c r="O15" s="163"/>
      <c r="P15" s="163"/>
      <c r="Q15" s="163"/>
      <c r="R15" s="162"/>
      <c r="S15" s="162"/>
      <c r="T15" s="162"/>
      <c r="U15" s="162"/>
    </row>
    <row r="17" spans="2:32" x14ac:dyDescent="0.3">
      <c r="B17" s="164" t="s">
        <v>190</v>
      </c>
      <c r="C17" s="164"/>
      <c r="D17" s="164"/>
      <c r="E17" s="164"/>
      <c r="F17" s="164"/>
      <c r="G17" s="164"/>
      <c r="H17" s="164"/>
      <c r="I17" s="164"/>
      <c r="J17" s="164"/>
      <c r="K17" s="164"/>
      <c r="L17" s="164"/>
      <c r="M17" s="164"/>
      <c r="N17" s="164"/>
      <c r="O17" s="165">
        <f>MAX(O9:O13)</f>
        <v>1.9508107653104172</v>
      </c>
      <c r="P17" s="165">
        <f t="shared" ref="P17:U17" si="2">MAX(P9:P13)</f>
        <v>29.178207622753806</v>
      </c>
      <c r="Q17" s="165">
        <f>MAX(Q9:Q13)</f>
        <v>88.66</v>
      </c>
      <c r="R17" s="165">
        <f t="shared" si="2"/>
        <v>10.56</v>
      </c>
      <c r="S17" s="165">
        <f t="shared" si="2"/>
        <v>4.5599999999999996</v>
      </c>
      <c r="T17" s="165">
        <f t="shared" si="2"/>
        <v>1.44</v>
      </c>
      <c r="U17" s="251">
        <f t="shared" si="2"/>
        <v>17942.039000000001</v>
      </c>
    </row>
    <row r="18" spans="2:32" x14ac:dyDescent="0.3">
      <c r="B18" s="164" t="s">
        <v>191</v>
      </c>
      <c r="C18" s="164"/>
      <c r="D18" s="164"/>
      <c r="E18" s="164"/>
      <c r="F18" s="164"/>
      <c r="G18" s="164"/>
      <c r="H18" s="164"/>
      <c r="I18" s="164"/>
      <c r="J18" s="164"/>
      <c r="K18" s="164"/>
      <c r="L18" s="164"/>
      <c r="M18" s="164"/>
      <c r="N18" s="164"/>
      <c r="O18" s="166">
        <f>QUARTILE(O9:O13,3)</f>
        <v>1.9417072627485024</v>
      </c>
      <c r="P18" s="166">
        <f>QUARTILE(P9:P13,3)</f>
        <v>23.255198358413132</v>
      </c>
      <c r="Q18" s="166">
        <f>QUARTILE(Q9:Q13,3)</f>
        <v>10.25</v>
      </c>
      <c r="R18" s="166">
        <f>QUARTILE(R9:R11,3)</f>
        <v>6.6349999999999998</v>
      </c>
      <c r="S18" s="166">
        <f>QUARTILE(S9:S13,3)</f>
        <v>1.49</v>
      </c>
      <c r="T18" s="166">
        <f>QUARTILE(T9:T13,3)</f>
        <v>0.56000000000000005</v>
      </c>
      <c r="U18" s="251">
        <f>QUARTILE(U9:U13,3)</f>
        <v>12726.2</v>
      </c>
    </row>
    <row r="19" spans="2:32" x14ac:dyDescent="0.3">
      <c r="B19" s="50" t="s">
        <v>46</v>
      </c>
      <c r="C19" s="164"/>
      <c r="D19" s="164"/>
      <c r="E19" s="164"/>
      <c r="F19" s="164"/>
      <c r="G19" s="164"/>
      <c r="H19" s="164"/>
      <c r="I19" s="164"/>
      <c r="J19" s="164"/>
      <c r="K19" s="164"/>
      <c r="L19" s="164"/>
      <c r="M19" s="164"/>
      <c r="N19" s="164"/>
      <c r="O19" s="167">
        <f>AVERAGE(O9:O13)</f>
        <v>1.4152943857425431</v>
      </c>
      <c r="P19" s="167">
        <f t="shared" ref="P19" si="3">AVERAGE(P9:P13)</f>
        <v>13.95096553069744</v>
      </c>
      <c r="Q19" s="167">
        <f>AVERAGE(Q9:Q13)</f>
        <v>-1.9280000000000002</v>
      </c>
      <c r="R19" s="167">
        <f>AVERAGE(R9:R11)</f>
        <v>5.1366666666666667</v>
      </c>
      <c r="S19" s="167">
        <f>AVERAGE(S9:S13)</f>
        <v>1.56</v>
      </c>
      <c r="T19" s="167">
        <f>AVERAGE(T9:T13)</f>
        <v>0.59799999999999998</v>
      </c>
      <c r="U19" s="354">
        <f>AVERAGE(U9:U13)</f>
        <v>8550.1478000000025</v>
      </c>
    </row>
    <row r="20" spans="2:32" x14ac:dyDescent="0.3">
      <c r="B20" s="50" t="s">
        <v>16</v>
      </c>
      <c r="C20" s="164"/>
      <c r="D20" s="164"/>
      <c r="E20" s="164"/>
      <c r="F20" s="164"/>
      <c r="G20" s="164"/>
      <c r="H20" s="164"/>
      <c r="I20" s="164"/>
      <c r="J20" s="164"/>
      <c r="K20" s="164"/>
      <c r="L20" s="164"/>
      <c r="M20" s="164"/>
      <c r="N20" s="164"/>
      <c r="O20" s="167">
        <f>MEDIAN(O9:O13)</f>
        <v>1.1649401727411943</v>
      </c>
      <c r="P20" s="167">
        <f>MEDIAN(P9:P13)</f>
        <v>6.3214107995811784</v>
      </c>
      <c r="Q20" s="167">
        <f>MEDIAN(Q9:Q13)</f>
        <v>9.91</v>
      </c>
      <c r="R20" s="167">
        <f>MEDIAN(R9:R11)</f>
        <v>2.71</v>
      </c>
      <c r="S20" s="167">
        <f>MEDIAN(S9:S13)</f>
        <v>1.42</v>
      </c>
      <c r="T20" s="167">
        <f>MEDIAN(T9:T13)</f>
        <v>0.51</v>
      </c>
      <c r="U20" s="354">
        <f>MEDIAN(U9:U13)</f>
        <v>7777.8400000000011</v>
      </c>
      <c r="V20" s="135"/>
    </row>
    <row r="21" spans="2:32" x14ac:dyDescent="0.3">
      <c r="B21" s="164" t="s">
        <v>192</v>
      </c>
      <c r="C21" s="164"/>
      <c r="D21" s="164"/>
      <c r="E21" s="164"/>
      <c r="F21" s="164"/>
      <c r="G21" s="164"/>
      <c r="H21" s="164"/>
      <c r="I21" s="164"/>
      <c r="J21" s="164"/>
      <c r="K21" s="164"/>
      <c r="L21" s="164"/>
      <c r="M21" s="164"/>
      <c r="N21" s="164"/>
      <c r="O21" s="166">
        <f>QUARTILE(O9:O13,1)</f>
        <v>1.0662178509440907</v>
      </c>
      <c r="P21" s="166">
        <f>QUARTILE(P9:P13,1)</f>
        <v>6.3063317803565848</v>
      </c>
      <c r="Q21" s="166">
        <f>QUARTILE(Q9:Q13,1)</f>
        <v>8.92</v>
      </c>
      <c r="R21" s="166">
        <f>QUARTILE(R9:R11,1)</f>
        <v>2.4249999999999998</v>
      </c>
      <c r="S21" s="166">
        <f>QUARTILE(S9:S13,1)</f>
        <v>0.63</v>
      </c>
      <c r="T21" s="166">
        <f>QUARTILE(T9:T13,1)</f>
        <v>0.32</v>
      </c>
      <c r="U21" s="251">
        <f>QUARTILE(U9:U13,1)</f>
        <v>5714.6600000000008</v>
      </c>
    </row>
    <row r="22" spans="2:32" x14ac:dyDescent="0.3">
      <c r="B22" s="164" t="s">
        <v>193</v>
      </c>
      <c r="C22" s="164"/>
      <c r="D22" s="164"/>
      <c r="E22" s="164"/>
      <c r="F22" s="164"/>
      <c r="G22" s="164"/>
      <c r="H22" s="164"/>
      <c r="I22" s="164"/>
      <c r="J22" s="164"/>
      <c r="K22" s="164"/>
      <c r="L22" s="164"/>
      <c r="M22" s="164"/>
      <c r="N22" s="164"/>
      <c r="O22" s="165">
        <f>MIN(O9:O13)</f>
        <v>0.95279587696851109</v>
      </c>
      <c r="P22" s="165">
        <f>MIN(P9:P13)</f>
        <v>4.6936790923824958</v>
      </c>
      <c r="Q22" s="165">
        <f>MIN(Q9:Q13)</f>
        <v>-127.38</v>
      </c>
      <c r="R22" s="165">
        <f>MIN(R9:R11)</f>
        <v>2.14</v>
      </c>
      <c r="S22" s="165">
        <f>MIN(S9:S13)</f>
        <v>-0.3</v>
      </c>
      <c r="T22" s="165">
        <f>MIN(T9:T13)</f>
        <v>0.16</v>
      </c>
      <c r="U22" s="251">
        <f>MIN(U9:U13)</f>
        <v>-1410</v>
      </c>
    </row>
    <row r="24" spans="2:32" ht="6.6" customHeight="1" x14ac:dyDescent="0.3"/>
    <row r="25" spans="2:32" ht="15.6" customHeight="1" x14ac:dyDescent="0.3">
      <c r="B25" s="363" t="str">
        <f>B3</f>
        <v>Comparable Company Valuation (Relative Valuation) - Pakistan International Airlines</v>
      </c>
      <c r="C25" s="363"/>
      <c r="D25" s="363"/>
      <c r="E25" s="363"/>
      <c r="F25" s="363"/>
      <c r="G25" s="52"/>
      <c r="H25" s="168"/>
      <c r="I25" s="168"/>
      <c r="J25" s="168"/>
      <c r="K25" s="168"/>
      <c r="L25" s="168"/>
      <c r="M25" s="168"/>
      <c r="N25" s="168"/>
      <c r="O25" s="55" t="s">
        <v>167</v>
      </c>
      <c r="P25" s="55" t="s">
        <v>168</v>
      </c>
      <c r="Q25" s="55" t="s">
        <v>175</v>
      </c>
      <c r="R25" s="55" t="s">
        <v>169</v>
      </c>
      <c r="S25" s="55" t="s">
        <v>268</v>
      </c>
      <c r="T25" s="153" t="s">
        <v>418</v>
      </c>
      <c r="U25" s="66"/>
    </row>
    <row r="26" spans="2:32" ht="4.8" customHeight="1" x14ac:dyDescent="0.3"/>
    <row r="27" spans="2:32" x14ac:dyDescent="0.3">
      <c r="B27" t="s">
        <v>194</v>
      </c>
      <c r="O27" s="3">
        <f>O19*J8</f>
        <v>664.41136468122261</v>
      </c>
      <c r="P27" s="419" t="s">
        <v>420</v>
      </c>
      <c r="Q27" s="355">
        <f>Q20*L8</f>
        <v>138.19495000000001</v>
      </c>
      <c r="R27" s="3">
        <f>R29-R28</f>
        <v>1399.6610900000001</v>
      </c>
      <c r="S27" s="3">
        <f>U8*S20</f>
        <v>-3224.6325599999996</v>
      </c>
      <c r="T27" s="3">
        <f>T29-T28</f>
        <v>1648.62301</v>
      </c>
      <c r="U27" s="331"/>
    </row>
    <row r="28" spans="2:32" x14ac:dyDescent="0.3">
      <c r="B28" t="s">
        <v>195</v>
      </c>
      <c r="O28" s="3">
        <f>$G$8</f>
        <v>-1409.203</v>
      </c>
      <c r="P28" s="419"/>
      <c r="Q28" s="3">
        <f>$G$8</f>
        <v>-1409.203</v>
      </c>
      <c r="R28" s="3">
        <f t="shared" ref="R28:T28" si="4">$G$8</f>
        <v>-1409.203</v>
      </c>
      <c r="S28" s="3">
        <f t="shared" si="4"/>
        <v>-1409.203</v>
      </c>
      <c r="T28" s="3">
        <f t="shared" si="4"/>
        <v>-1409.203</v>
      </c>
      <c r="U28" s="331"/>
    </row>
    <row r="29" spans="2:32" x14ac:dyDescent="0.3">
      <c r="B29" t="s">
        <v>196</v>
      </c>
      <c r="O29" s="3">
        <f>O27+O28</f>
        <v>-744.79163531877737</v>
      </c>
      <c r="P29" s="419"/>
      <c r="Q29" s="3">
        <f>Q27+Q28</f>
        <v>-1271.0080499999999</v>
      </c>
      <c r="R29" s="61">
        <f>R20*M8</f>
        <v>-9.5419099999999997</v>
      </c>
      <c r="S29" s="3">
        <f>S27+S28</f>
        <v>-4633.8355599999995</v>
      </c>
      <c r="T29" s="61">
        <f>T20*J8</f>
        <v>239.42001000000002</v>
      </c>
      <c r="U29" s="331"/>
    </row>
    <row r="30" spans="2:32" x14ac:dyDescent="0.3">
      <c r="B30" t="s">
        <v>197</v>
      </c>
      <c r="O30" s="68">
        <f>('DCF &amp; Sensitivity Analysis'!E53*1000)/10^6</f>
        <v>4700</v>
      </c>
      <c r="P30" s="419"/>
      <c r="Q30" s="68">
        <f>O30</f>
        <v>4700</v>
      </c>
      <c r="R30" s="68">
        <f>O30</f>
        <v>4700</v>
      </c>
      <c r="S30" s="68">
        <f>R30</f>
        <v>4700</v>
      </c>
      <c r="T30" s="68">
        <f>S30</f>
        <v>4700</v>
      </c>
      <c r="U30" s="360"/>
      <c r="W30" s="60" t="s">
        <v>41</v>
      </c>
    </row>
    <row r="31" spans="2:32" ht="2.4" customHeight="1" thickBot="1" x14ac:dyDescent="0.35">
      <c r="O31" s="3"/>
      <c r="P31" s="420"/>
      <c r="Q31" s="3"/>
      <c r="R31" s="3"/>
      <c r="S31" s="3"/>
      <c r="T31" s="3"/>
      <c r="U31" s="331"/>
    </row>
    <row r="32" spans="2:32" ht="15" customHeight="1" thickBot="1" x14ac:dyDescent="0.35">
      <c r="B32" s="169" t="s">
        <v>198</v>
      </c>
      <c r="C32" s="169"/>
      <c r="D32" s="169"/>
      <c r="E32" s="169"/>
      <c r="F32" s="169"/>
      <c r="G32" s="169"/>
      <c r="H32" s="169"/>
      <c r="I32" s="169"/>
      <c r="J32" s="169"/>
      <c r="K32" s="169"/>
      <c r="L32" s="169"/>
      <c r="M32" s="169"/>
      <c r="N32" s="169"/>
      <c r="O32" s="170">
        <f>O29/O30</f>
        <v>-0.1584663053869739</v>
      </c>
      <c r="P32" s="170">
        <v>0</v>
      </c>
      <c r="Q32" s="170">
        <f>Q29/Q30</f>
        <v>-0.27042724468085105</v>
      </c>
      <c r="R32" s="170">
        <f>R29/R30</f>
        <v>-2.0301936170212765E-3</v>
      </c>
      <c r="S32" s="170">
        <f>S29/S30</f>
        <v>-0.985922459574468</v>
      </c>
      <c r="T32" s="170">
        <f>T29/T30</f>
        <v>5.0940427659574475E-2</v>
      </c>
      <c r="U32" s="361"/>
      <c r="W32" s="403" t="s">
        <v>421</v>
      </c>
      <c r="X32" s="403"/>
      <c r="Y32" s="403"/>
      <c r="Z32" s="403"/>
      <c r="AA32" s="403"/>
      <c r="AB32" s="403"/>
      <c r="AC32" s="403"/>
      <c r="AD32" s="403"/>
      <c r="AE32" s="403"/>
      <c r="AF32" s="403"/>
    </row>
    <row r="33" spans="2:32" ht="16.2" x14ac:dyDescent="0.3">
      <c r="R33" s="252" t="str">
        <f>W30</f>
        <v>Note 1</v>
      </c>
      <c r="S33" s="356" t="str">
        <f>W37</f>
        <v>Note 3</v>
      </c>
      <c r="W33" s="403"/>
      <c r="X33" s="403"/>
      <c r="Y33" s="403"/>
      <c r="Z33" s="403"/>
      <c r="AA33" s="403"/>
      <c r="AB33" s="403"/>
      <c r="AC33" s="403"/>
      <c r="AD33" s="403"/>
      <c r="AE33" s="403"/>
      <c r="AF33" s="403"/>
    </row>
    <row r="34" spans="2:32" x14ac:dyDescent="0.3">
      <c r="W34" s="403"/>
      <c r="X34" s="403"/>
      <c r="Y34" s="403"/>
      <c r="Z34" s="403"/>
      <c r="AA34" s="403"/>
      <c r="AB34" s="403"/>
      <c r="AC34" s="403"/>
      <c r="AD34" s="403"/>
      <c r="AE34" s="403"/>
      <c r="AF34" s="403"/>
    </row>
    <row r="35" spans="2:32" ht="14.4" customHeight="1" x14ac:dyDescent="0.3">
      <c r="B35" s="171" t="s">
        <v>424</v>
      </c>
      <c r="O35" s="359">
        <f>'DCF &amp; Sensitivity Analysis'!E58</f>
        <v>30.248226950354606</v>
      </c>
      <c r="P35" s="358">
        <f>O35</f>
        <v>30.248226950354606</v>
      </c>
      <c r="Q35" s="358">
        <f t="shared" ref="Q35:T35" si="5">P35</f>
        <v>30.248226950354606</v>
      </c>
      <c r="R35" s="358">
        <f t="shared" si="5"/>
        <v>30.248226950354606</v>
      </c>
      <c r="S35" s="358">
        <f t="shared" si="5"/>
        <v>30.248226950354606</v>
      </c>
      <c r="T35" s="358">
        <f t="shared" si="5"/>
        <v>30.248226950354606</v>
      </c>
      <c r="U35" s="358"/>
      <c r="W35" s="403"/>
      <c r="X35" s="403"/>
      <c r="Y35" s="403"/>
      <c r="Z35" s="403"/>
      <c r="AA35" s="403"/>
      <c r="AB35" s="403"/>
      <c r="AC35" s="403"/>
      <c r="AD35" s="403"/>
      <c r="AE35" s="403"/>
      <c r="AF35" s="403"/>
    </row>
    <row r="36" spans="2:32" x14ac:dyDescent="0.3">
      <c r="B36" s="171"/>
      <c r="O36" s="129"/>
      <c r="P36" s="129"/>
      <c r="Q36" s="129"/>
      <c r="R36" s="129"/>
      <c r="S36" s="129"/>
      <c r="T36" s="129"/>
      <c r="U36" s="129"/>
      <c r="W36" s="76"/>
      <c r="X36" s="76"/>
      <c r="Y36" s="76"/>
      <c r="Z36" s="76"/>
      <c r="AA36" s="76"/>
      <c r="AB36" s="76"/>
      <c r="AC36" s="76"/>
      <c r="AD36" s="76"/>
      <c r="AE36" s="76"/>
      <c r="AF36" s="76"/>
    </row>
    <row r="37" spans="2:32" x14ac:dyDescent="0.3">
      <c r="B37" s="171"/>
      <c r="O37" s="129"/>
      <c r="P37" s="129"/>
      <c r="Q37" s="129"/>
      <c r="R37" s="129"/>
      <c r="W37" s="357" t="s">
        <v>43</v>
      </c>
      <c r="X37" s="76"/>
      <c r="Y37" s="76"/>
      <c r="Z37" s="76"/>
      <c r="AA37" s="76"/>
      <c r="AB37" s="76"/>
      <c r="AC37" s="76"/>
      <c r="AD37" s="76"/>
      <c r="AE37" s="76"/>
      <c r="AF37" s="76"/>
    </row>
    <row r="38" spans="2:32" ht="19.95" customHeight="1" x14ac:dyDescent="0.3">
      <c r="B38" s="60" t="s">
        <v>199</v>
      </c>
      <c r="W38" s="379" t="s">
        <v>422</v>
      </c>
      <c r="X38" s="379"/>
      <c r="Y38" s="379"/>
      <c r="Z38" s="379"/>
      <c r="AA38" s="379"/>
      <c r="AB38" s="379"/>
      <c r="AC38" s="379"/>
      <c r="AD38" s="379"/>
      <c r="AE38" s="379"/>
      <c r="AF38" s="379"/>
    </row>
    <row r="39" spans="2:32" ht="14.4" customHeight="1" x14ac:dyDescent="0.3">
      <c r="B39" s="403" t="s">
        <v>426</v>
      </c>
      <c r="C39" s="403"/>
      <c r="D39" s="403"/>
      <c r="E39" s="403"/>
      <c r="F39" s="403"/>
      <c r="G39" s="403"/>
      <c r="H39" s="403"/>
      <c r="I39" s="403"/>
      <c r="J39" s="403"/>
      <c r="K39" s="403"/>
      <c r="L39" s="130"/>
      <c r="M39" s="130"/>
      <c r="N39" s="130"/>
      <c r="O39" s="130"/>
      <c r="W39" s="379"/>
      <c r="X39" s="379"/>
      <c r="Y39" s="379"/>
      <c r="Z39" s="379"/>
      <c r="AA39" s="379"/>
      <c r="AB39" s="379"/>
      <c r="AC39" s="379"/>
      <c r="AD39" s="379"/>
      <c r="AE39" s="379"/>
      <c r="AF39" s="379"/>
    </row>
    <row r="40" spans="2:32" x14ac:dyDescent="0.3">
      <c r="B40" s="403"/>
      <c r="C40" s="403"/>
      <c r="D40" s="403"/>
      <c r="E40" s="403"/>
      <c r="F40" s="403"/>
      <c r="G40" s="403"/>
      <c r="H40" s="403"/>
      <c r="I40" s="403"/>
      <c r="J40" s="403"/>
      <c r="K40" s="403"/>
      <c r="L40" s="130"/>
      <c r="M40" s="130"/>
      <c r="N40" s="130"/>
      <c r="O40" s="130"/>
      <c r="W40" s="379"/>
      <c r="X40" s="379"/>
      <c r="Y40" s="379"/>
      <c r="Z40" s="379"/>
      <c r="AA40" s="379"/>
      <c r="AB40" s="379"/>
      <c r="AC40" s="379"/>
      <c r="AD40" s="379"/>
      <c r="AE40" s="379"/>
      <c r="AF40" s="379"/>
    </row>
    <row r="41" spans="2:32" x14ac:dyDescent="0.3">
      <c r="B41" s="403"/>
      <c r="C41" s="403"/>
      <c r="D41" s="403"/>
      <c r="E41" s="403"/>
      <c r="F41" s="403"/>
      <c r="G41" s="403"/>
      <c r="H41" s="403"/>
      <c r="I41" s="403"/>
      <c r="J41" s="403"/>
      <c r="K41" s="403"/>
      <c r="L41" s="130"/>
      <c r="M41" s="130"/>
      <c r="N41" s="130"/>
      <c r="O41" s="130"/>
      <c r="W41" s="379"/>
      <c r="X41" s="379"/>
      <c r="Y41" s="379"/>
      <c r="Z41" s="379"/>
      <c r="AA41" s="379"/>
      <c r="AB41" s="379"/>
      <c r="AC41" s="379"/>
      <c r="AD41" s="379"/>
      <c r="AE41" s="379"/>
      <c r="AF41" s="379"/>
    </row>
    <row r="42" spans="2:32" x14ac:dyDescent="0.3">
      <c r="B42" s="403"/>
      <c r="C42" s="403"/>
      <c r="D42" s="403"/>
      <c r="E42" s="403"/>
      <c r="F42" s="403"/>
      <c r="G42" s="403"/>
      <c r="H42" s="403"/>
      <c r="I42" s="403"/>
      <c r="J42" s="403"/>
      <c r="K42" s="403"/>
      <c r="L42" s="130"/>
      <c r="M42" s="130"/>
      <c r="N42" s="130"/>
      <c r="O42" s="130"/>
      <c r="W42" s="379"/>
      <c r="X42" s="379"/>
      <c r="Y42" s="379"/>
      <c r="Z42" s="379"/>
      <c r="AA42" s="379"/>
      <c r="AB42" s="379"/>
      <c r="AC42" s="379"/>
      <c r="AD42" s="379"/>
      <c r="AE42" s="379"/>
      <c r="AF42" s="379"/>
    </row>
    <row r="43" spans="2:32" x14ac:dyDescent="0.3">
      <c r="B43" s="403"/>
      <c r="C43" s="403"/>
      <c r="D43" s="403"/>
      <c r="E43" s="403"/>
      <c r="F43" s="403"/>
      <c r="G43" s="403"/>
      <c r="H43" s="403"/>
      <c r="I43" s="403"/>
      <c r="J43" s="403"/>
      <c r="K43" s="403"/>
      <c r="L43" s="130"/>
      <c r="M43" s="130"/>
      <c r="N43" s="130"/>
      <c r="O43" s="130"/>
      <c r="W43" s="379"/>
      <c r="X43" s="379"/>
      <c r="Y43" s="379"/>
      <c r="Z43" s="379"/>
      <c r="AA43" s="379"/>
      <c r="AB43" s="379"/>
      <c r="AC43" s="379"/>
      <c r="AD43" s="379"/>
      <c r="AE43" s="379"/>
      <c r="AF43" s="379"/>
    </row>
    <row r="44" spans="2:32" x14ac:dyDescent="0.3">
      <c r="B44" s="403"/>
      <c r="C44" s="403"/>
      <c r="D44" s="403"/>
      <c r="E44" s="403"/>
      <c r="F44" s="403"/>
      <c r="G44" s="403"/>
      <c r="H44" s="403"/>
      <c r="I44" s="403"/>
      <c r="J44" s="403"/>
      <c r="K44" s="403"/>
      <c r="L44" s="130"/>
      <c r="M44" s="130"/>
      <c r="N44" s="130"/>
      <c r="O44" s="130"/>
    </row>
    <row r="45" spans="2:32" x14ac:dyDescent="0.3">
      <c r="B45" s="403"/>
      <c r="C45" s="403"/>
      <c r="D45" s="403"/>
      <c r="E45" s="403"/>
      <c r="F45" s="403"/>
      <c r="G45" s="403"/>
      <c r="H45" s="403"/>
      <c r="I45" s="403"/>
      <c r="J45" s="403"/>
      <c r="K45" s="403"/>
      <c r="L45" s="130"/>
      <c r="M45" s="130"/>
      <c r="N45" s="130"/>
      <c r="O45" s="130"/>
    </row>
    <row r="46" spans="2:32" x14ac:dyDescent="0.3">
      <c r="B46" s="403"/>
      <c r="C46" s="403"/>
      <c r="D46" s="403"/>
      <c r="E46" s="403"/>
      <c r="F46" s="403"/>
      <c r="G46" s="403"/>
      <c r="H46" s="403"/>
      <c r="I46" s="403"/>
      <c r="J46" s="403"/>
      <c r="K46" s="403"/>
      <c r="L46" s="130"/>
      <c r="M46" s="130"/>
      <c r="N46" s="130"/>
      <c r="O46" s="130"/>
    </row>
    <row r="47" spans="2:32" x14ac:dyDescent="0.3">
      <c r="B47" s="403"/>
      <c r="C47" s="403"/>
      <c r="D47" s="403"/>
      <c r="E47" s="403"/>
      <c r="F47" s="403"/>
      <c r="G47" s="403"/>
      <c r="H47" s="403"/>
      <c r="I47" s="403"/>
      <c r="J47" s="403"/>
      <c r="K47" s="403"/>
      <c r="L47" s="130"/>
      <c r="M47" s="130"/>
      <c r="N47" s="130"/>
      <c r="O47" s="130"/>
    </row>
    <row r="48" spans="2:32" x14ac:dyDescent="0.3">
      <c r="B48" s="403"/>
      <c r="C48" s="403"/>
      <c r="D48" s="403"/>
      <c r="E48" s="403"/>
      <c r="F48" s="403"/>
      <c r="G48" s="403"/>
      <c r="H48" s="403"/>
      <c r="I48" s="403"/>
      <c r="J48" s="403"/>
      <c r="K48" s="403"/>
      <c r="L48" s="130"/>
      <c r="M48" s="130"/>
      <c r="N48" s="130"/>
      <c r="O48" s="130"/>
    </row>
    <row r="49" spans="2:15" x14ac:dyDescent="0.3">
      <c r="B49" s="403"/>
      <c r="C49" s="403"/>
      <c r="D49" s="403"/>
      <c r="E49" s="403"/>
      <c r="F49" s="403"/>
      <c r="G49" s="403"/>
      <c r="H49" s="403"/>
      <c r="I49" s="403"/>
      <c r="J49" s="403"/>
      <c r="K49" s="403"/>
      <c r="L49" s="130"/>
      <c r="M49" s="130"/>
      <c r="N49" s="130"/>
      <c r="O49" s="130"/>
    </row>
    <row r="50" spans="2:15" x14ac:dyDescent="0.3">
      <c r="B50" s="403"/>
      <c r="C50" s="403"/>
      <c r="D50" s="403"/>
      <c r="E50" s="403"/>
      <c r="F50" s="403"/>
      <c r="G50" s="403"/>
      <c r="H50" s="403"/>
      <c r="I50" s="403"/>
      <c r="J50" s="403"/>
      <c r="K50" s="403"/>
      <c r="L50" s="130"/>
      <c r="M50" s="130"/>
      <c r="N50" s="130"/>
      <c r="O50" s="130"/>
    </row>
    <row r="51" spans="2:15" x14ac:dyDescent="0.3">
      <c r="B51" s="130"/>
      <c r="C51" s="130"/>
      <c r="D51" s="130"/>
      <c r="E51" s="130"/>
      <c r="F51" s="130"/>
      <c r="G51" s="130"/>
      <c r="H51" s="130"/>
      <c r="I51" s="130"/>
      <c r="J51" s="130"/>
      <c r="K51" s="130"/>
      <c r="L51" s="130"/>
      <c r="M51" s="130"/>
      <c r="N51" s="130"/>
      <c r="O51" s="130"/>
    </row>
  </sheetData>
  <mergeCells count="9">
    <mergeCell ref="B3:F3"/>
    <mergeCell ref="P27:P31"/>
    <mergeCell ref="W32:AF35"/>
    <mergeCell ref="W38:AF43"/>
    <mergeCell ref="B39:K50"/>
    <mergeCell ref="D5:H5"/>
    <mergeCell ref="J5:M5"/>
    <mergeCell ref="B25:F25"/>
    <mergeCell ref="O5:U5"/>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B2F40-368F-4FCA-A1FA-00093BDBC3E7}">
  <dimension ref="B2:S38"/>
  <sheetViews>
    <sheetView showGridLines="0" topLeftCell="A5" workbookViewId="0">
      <selection activeCell="B5" sqref="B5"/>
    </sheetView>
  </sheetViews>
  <sheetFormatPr defaultRowHeight="14.4" x14ac:dyDescent="0.3"/>
  <cols>
    <col min="14" max="14" width="30.77734375" customWidth="1"/>
    <col min="15" max="18" width="10.109375" bestFit="1" customWidth="1"/>
  </cols>
  <sheetData>
    <row r="2" spans="2:18" x14ac:dyDescent="0.3">
      <c r="B2" s="363" t="str">
        <f>"Football Field Analysis"&amp;" - "&amp;WACC!B12</f>
        <v>Football Field Analysis - Pakistan International Airlines</v>
      </c>
      <c r="C2" s="363"/>
      <c r="D2" s="363"/>
      <c r="E2" s="363"/>
      <c r="F2" s="363"/>
      <c r="G2" s="363"/>
      <c r="H2" s="363"/>
      <c r="I2" s="363"/>
      <c r="N2" s="386" t="s">
        <v>200</v>
      </c>
      <c r="O2" s="386"/>
      <c r="P2" s="386"/>
      <c r="Q2" s="386"/>
      <c r="R2" s="386"/>
    </row>
    <row r="3" spans="2:18" x14ac:dyDescent="0.3">
      <c r="O3" s="172" t="s">
        <v>201</v>
      </c>
      <c r="P3" s="172" t="s">
        <v>193</v>
      </c>
      <c r="Q3" s="172" t="s">
        <v>202</v>
      </c>
      <c r="R3" s="172" t="s">
        <v>190</v>
      </c>
    </row>
    <row r="4" spans="2:18" x14ac:dyDescent="0.3">
      <c r="M4" s="28" t="s">
        <v>34</v>
      </c>
      <c r="N4" s="73" t="s">
        <v>204</v>
      </c>
      <c r="O4" s="173">
        <f>P4</f>
        <v>-0.985922459574468</v>
      </c>
      <c r="P4" s="173">
        <f>MIN('PIA-Comp company Valuation'!O32:U32)</f>
        <v>-0.985922459574468</v>
      </c>
      <c r="Q4" s="173">
        <f>R4</f>
        <v>5.0940427659574475E-2</v>
      </c>
      <c r="R4" s="173">
        <f>MAX('PIA-Comp company Valuation'!O32:U32)</f>
        <v>5.0940427659574475E-2</v>
      </c>
    </row>
    <row r="5" spans="2:18" x14ac:dyDescent="0.3">
      <c r="M5" s="28" t="s">
        <v>205</v>
      </c>
      <c r="N5" s="73" t="s">
        <v>206</v>
      </c>
      <c r="O5" s="173">
        <f>P5</f>
        <v>87.424646897032673</v>
      </c>
      <c r="P5" s="173">
        <f>MIN('Compr Scenario Analysis-DCF'!D6:D10)</f>
        <v>87.424646897032673</v>
      </c>
      <c r="Q5" s="173">
        <f>R5</f>
        <v>245.18280358033383</v>
      </c>
      <c r="R5" s="173">
        <f>MAX('Compr Scenario Analysis-DCF'!D6:D10)</f>
        <v>245.18280358033383</v>
      </c>
    </row>
    <row r="6" spans="2:18" x14ac:dyDescent="0.3">
      <c r="M6" s="28" t="s">
        <v>209</v>
      </c>
      <c r="N6" s="73" t="s">
        <v>207</v>
      </c>
      <c r="O6" s="173">
        <f>P6</f>
        <v>77.934724038830367</v>
      </c>
      <c r="P6" s="173">
        <f>MIN('Compr Scenario Analysis-DCF'!C6:C10)</f>
        <v>77.934724038830367</v>
      </c>
      <c r="Q6" s="173">
        <f>R6</f>
        <v>77.934724038830367</v>
      </c>
      <c r="R6" s="173">
        <f>MAX('Compr Scenario Analysis-DCF'!C6:C10)</f>
        <v>77.934724038830367</v>
      </c>
    </row>
    <row r="7" spans="2:18" x14ac:dyDescent="0.3">
      <c r="M7" s="28" t="s">
        <v>203</v>
      </c>
      <c r="N7" s="73" t="s">
        <v>208</v>
      </c>
      <c r="O7" s="173">
        <f>P7</f>
        <v>31.277040746516217</v>
      </c>
      <c r="P7" s="173">
        <f>MIN('Compr Scenario Analysis-DCF'!E6:E10)</f>
        <v>31.277040746516217</v>
      </c>
      <c r="Q7" s="173">
        <f>R7</f>
        <v>69.927843580222074</v>
      </c>
      <c r="R7" s="173">
        <f>MAX('Compr Scenario Analysis-DCF'!E6:E10)</f>
        <v>69.927843580222074</v>
      </c>
    </row>
    <row r="10" spans="2:18" x14ac:dyDescent="0.3">
      <c r="M10" s="28" t="s">
        <v>34</v>
      </c>
    </row>
    <row r="11" spans="2:18" x14ac:dyDescent="0.3">
      <c r="M11" s="403" t="s">
        <v>210</v>
      </c>
      <c r="N11" s="403"/>
      <c r="O11" s="403"/>
      <c r="P11" s="403"/>
      <c r="Q11" s="403"/>
      <c r="R11" s="403"/>
    </row>
    <row r="12" spans="2:18" x14ac:dyDescent="0.3">
      <c r="M12" s="403"/>
      <c r="N12" s="403"/>
      <c r="O12" s="403"/>
      <c r="P12" s="403"/>
      <c r="Q12" s="403"/>
      <c r="R12" s="403"/>
    </row>
    <row r="15" spans="2:18" x14ac:dyDescent="0.3">
      <c r="M15" s="28" t="s">
        <v>205</v>
      </c>
    </row>
    <row r="16" spans="2:18" ht="14.4" customHeight="1" x14ac:dyDescent="0.3">
      <c r="M16" s="95" t="s">
        <v>270</v>
      </c>
    </row>
    <row r="18" spans="2:19" x14ac:dyDescent="0.3">
      <c r="M18" s="28" t="s">
        <v>209</v>
      </c>
    </row>
    <row r="19" spans="2:19" x14ac:dyDescent="0.3">
      <c r="B19" s="60" t="s">
        <v>147</v>
      </c>
      <c r="M19" s="95" t="s">
        <v>211</v>
      </c>
      <c r="N19" s="76"/>
      <c r="O19" s="76"/>
      <c r="P19" s="76"/>
      <c r="Q19" s="76"/>
      <c r="R19" s="76"/>
    </row>
    <row r="20" spans="2:19" ht="31.8" customHeight="1" x14ac:dyDescent="0.3">
      <c r="B20" s="379" t="s">
        <v>427</v>
      </c>
      <c r="C20" s="379"/>
      <c r="D20" s="379"/>
      <c r="E20" s="379"/>
      <c r="F20" s="379"/>
      <c r="G20" s="379"/>
      <c r="H20" s="379"/>
      <c r="I20" s="379"/>
      <c r="J20" s="379"/>
      <c r="K20" s="379"/>
      <c r="N20" s="76"/>
      <c r="O20" s="76"/>
      <c r="P20" s="76"/>
      <c r="Q20" s="76"/>
      <c r="R20" s="76"/>
    </row>
    <row r="21" spans="2:19" x14ac:dyDescent="0.3">
      <c r="B21" s="379"/>
      <c r="C21" s="379"/>
      <c r="D21" s="379"/>
      <c r="E21" s="379"/>
      <c r="F21" s="379"/>
      <c r="G21" s="379"/>
      <c r="H21" s="379"/>
      <c r="I21" s="379"/>
      <c r="J21" s="379"/>
      <c r="K21" s="379"/>
      <c r="M21" s="28" t="s">
        <v>203</v>
      </c>
    </row>
    <row r="22" spans="2:19" x14ac:dyDescent="0.3">
      <c r="B22" s="379"/>
      <c r="C22" s="379"/>
      <c r="D22" s="379"/>
      <c r="E22" s="379"/>
      <c r="F22" s="379"/>
      <c r="G22" s="379"/>
      <c r="H22" s="379"/>
      <c r="I22" s="379"/>
      <c r="J22" s="379"/>
      <c r="K22" s="379"/>
      <c r="M22" s="95" t="s">
        <v>271</v>
      </c>
    </row>
    <row r="23" spans="2:19" x14ac:dyDescent="0.3">
      <c r="B23" s="379"/>
      <c r="C23" s="379"/>
      <c r="D23" s="379"/>
      <c r="E23" s="379"/>
      <c r="F23" s="379"/>
      <c r="G23" s="379"/>
      <c r="H23" s="379"/>
      <c r="I23" s="379"/>
      <c r="J23" s="379"/>
      <c r="K23" s="379"/>
    </row>
    <row r="24" spans="2:19" ht="28.2" customHeight="1" x14ac:dyDescent="0.3">
      <c r="B24" s="379"/>
      <c r="C24" s="379"/>
      <c r="D24" s="379"/>
      <c r="E24" s="379"/>
      <c r="F24" s="379"/>
      <c r="G24" s="379"/>
      <c r="H24" s="379"/>
      <c r="I24" s="379"/>
      <c r="J24" s="379"/>
      <c r="K24" s="379"/>
      <c r="M24" s="362"/>
      <c r="N24" s="76"/>
      <c r="O24" s="76"/>
      <c r="P24" s="76"/>
      <c r="Q24" s="76"/>
      <c r="R24" s="76"/>
      <c r="S24" s="76"/>
    </row>
    <row r="25" spans="2:19" x14ac:dyDescent="0.3">
      <c r="B25" s="379"/>
      <c r="C25" s="379"/>
      <c r="D25" s="379"/>
      <c r="E25" s="379"/>
      <c r="F25" s="379"/>
      <c r="G25" s="379"/>
      <c r="H25" s="379"/>
      <c r="I25" s="379"/>
      <c r="J25" s="379"/>
      <c r="K25" s="379"/>
      <c r="M25" s="130"/>
      <c r="N25" s="130"/>
      <c r="O25" s="130"/>
      <c r="P25" s="130"/>
      <c r="Q25" s="130"/>
      <c r="R25" s="130"/>
      <c r="S25" s="76"/>
    </row>
    <row r="26" spans="2:19" x14ac:dyDescent="0.3">
      <c r="B26" s="379"/>
      <c r="C26" s="379"/>
      <c r="D26" s="379"/>
      <c r="E26" s="379"/>
      <c r="F26" s="379"/>
      <c r="G26" s="379"/>
      <c r="H26" s="379"/>
      <c r="I26" s="379"/>
      <c r="J26" s="379"/>
      <c r="K26" s="379"/>
      <c r="M26" s="130"/>
      <c r="N26" s="130"/>
      <c r="O26" s="130"/>
      <c r="P26" s="130"/>
      <c r="Q26" s="130"/>
      <c r="R26" s="130"/>
    </row>
    <row r="27" spans="2:19" x14ac:dyDescent="0.3">
      <c r="B27" s="379"/>
      <c r="C27" s="379"/>
      <c r="D27" s="379"/>
      <c r="E27" s="379"/>
      <c r="F27" s="379"/>
      <c r="G27" s="379"/>
      <c r="H27" s="379"/>
      <c r="I27" s="379"/>
      <c r="J27" s="379"/>
      <c r="K27" s="379"/>
    </row>
    <row r="28" spans="2:19" x14ac:dyDescent="0.3">
      <c r="B28" s="379"/>
      <c r="C28" s="379"/>
      <c r="D28" s="379"/>
      <c r="E28" s="379"/>
      <c r="F28" s="379"/>
      <c r="G28" s="379"/>
      <c r="H28" s="379"/>
      <c r="I28" s="379"/>
      <c r="J28" s="379"/>
      <c r="K28" s="379"/>
    </row>
    <row r="29" spans="2:19" ht="14.4" customHeight="1" x14ac:dyDescent="0.3">
      <c r="B29" s="379"/>
      <c r="C29" s="379"/>
      <c r="D29" s="379"/>
      <c r="E29" s="379"/>
      <c r="F29" s="379"/>
      <c r="G29" s="379"/>
      <c r="H29" s="379"/>
      <c r="I29" s="379"/>
      <c r="J29" s="379"/>
      <c r="K29" s="379"/>
      <c r="L29" s="76"/>
      <c r="M29" s="76"/>
      <c r="N29" s="76"/>
      <c r="O29" s="76"/>
    </row>
    <row r="30" spans="2:19" x14ac:dyDescent="0.3">
      <c r="B30" s="379"/>
      <c r="C30" s="379"/>
      <c r="D30" s="379"/>
      <c r="E30" s="379"/>
      <c r="F30" s="379"/>
      <c r="G30" s="379"/>
      <c r="H30" s="379"/>
      <c r="I30" s="379"/>
      <c r="J30" s="379"/>
      <c r="K30" s="379"/>
      <c r="L30" s="76"/>
      <c r="M30" s="76"/>
      <c r="N30" s="76"/>
      <c r="O30" s="76"/>
    </row>
    <row r="31" spans="2:19" x14ac:dyDescent="0.3">
      <c r="B31" s="76"/>
      <c r="C31" s="76"/>
      <c r="D31" s="76"/>
      <c r="E31" s="76"/>
      <c r="F31" s="76"/>
      <c r="G31" s="76"/>
      <c r="H31" s="76"/>
      <c r="I31" s="76"/>
      <c r="J31" s="76"/>
      <c r="K31" s="76"/>
      <c r="L31" s="76"/>
      <c r="M31" s="76"/>
      <c r="N31" s="76"/>
      <c r="O31" s="76"/>
    </row>
    <row r="32" spans="2:19" x14ac:dyDescent="0.3">
      <c r="B32" s="76"/>
      <c r="C32" s="76"/>
      <c r="D32" s="76"/>
      <c r="E32" s="76"/>
      <c r="F32" s="76"/>
      <c r="G32" s="76"/>
      <c r="H32" s="76"/>
      <c r="I32" s="76"/>
      <c r="J32" s="76"/>
      <c r="K32" s="76"/>
      <c r="L32" s="76"/>
      <c r="M32" s="76"/>
      <c r="N32" s="76"/>
      <c r="O32" s="76"/>
    </row>
    <row r="33" spans="2:15" x14ac:dyDescent="0.3">
      <c r="B33" s="76"/>
      <c r="C33" s="76"/>
      <c r="D33" s="76"/>
      <c r="E33" s="76"/>
      <c r="F33" s="76"/>
      <c r="G33" s="76"/>
      <c r="H33" s="76"/>
      <c r="I33" s="76"/>
      <c r="J33" s="76"/>
      <c r="K33" s="76"/>
      <c r="L33" s="76"/>
      <c r="M33" s="76"/>
      <c r="N33" s="76"/>
      <c r="O33" s="76"/>
    </row>
    <row r="34" spans="2:15" x14ac:dyDescent="0.3">
      <c r="B34" s="76"/>
      <c r="C34" s="76"/>
      <c r="D34" s="76"/>
      <c r="E34" s="76"/>
      <c r="F34" s="76"/>
      <c r="G34" s="76"/>
      <c r="H34" s="76"/>
      <c r="I34" s="76"/>
      <c r="J34" s="76"/>
      <c r="K34" s="76"/>
      <c r="L34" s="76"/>
      <c r="M34" s="76"/>
      <c r="N34" s="76"/>
      <c r="O34" s="76"/>
    </row>
    <row r="35" spans="2:15" x14ac:dyDescent="0.3">
      <c r="B35" s="76"/>
      <c r="C35" s="76"/>
      <c r="D35" s="76"/>
      <c r="E35" s="76"/>
      <c r="F35" s="76"/>
      <c r="G35" s="76"/>
      <c r="H35" s="76"/>
      <c r="I35" s="76"/>
      <c r="J35" s="76"/>
      <c r="K35" s="76"/>
      <c r="L35" s="76"/>
      <c r="M35" s="76"/>
      <c r="N35" s="76"/>
      <c r="O35" s="76"/>
    </row>
    <row r="36" spans="2:15" x14ac:dyDescent="0.3">
      <c r="B36" s="76"/>
      <c r="C36" s="76"/>
      <c r="D36" s="76"/>
      <c r="E36" s="76"/>
      <c r="F36" s="76"/>
      <c r="G36" s="76"/>
      <c r="H36" s="76"/>
      <c r="I36" s="76"/>
      <c r="J36" s="76"/>
      <c r="K36" s="76"/>
      <c r="L36" s="76"/>
      <c r="M36" s="76"/>
      <c r="N36" s="76"/>
      <c r="O36" s="76"/>
    </row>
    <row r="37" spans="2:15" x14ac:dyDescent="0.3">
      <c r="B37" s="76"/>
      <c r="C37" s="76"/>
      <c r="D37" s="76"/>
      <c r="E37" s="76"/>
      <c r="F37" s="76"/>
      <c r="G37" s="76"/>
      <c r="H37" s="76"/>
      <c r="I37" s="76"/>
      <c r="J37" s="76"/>
      <c r="K37" s="76"/>
      <c r="L37" s="76"/>
      <c r="M37" s="76"/>
      <c r="N37" s="76"/>
      <c r="O37" s="76"/>
    </row>
    <row r="38" spans="2:15" x14ac:dyDescent="0.3">
      <c r="B38" s="174"/>
      <c r="C38" s="174"/>
      <c r="D38" s="174"/>
      <c r="E38" s="174"/>
      <c r="F38" s="174"/>
      <c r="G38" s="174"/>
      <c r="H38" s="174"/>
      <c r="I38" s="174"/>
      <c r="J38" s="174"/>
      <c r="K38" s="174"/>
      <c r="L38" s="174"/>
      <c r="M38" s="174"/>
      <c r="N38" s="174"/>
      <c r="O38" s="174"/>
    </row>
  </sheetData>
  <mergeCells count="4">
    <mergeCell ref="B2:I2"/>
    <mergeCell ref="N2:R2"/>
    <mergeCell ref="M11:R12"/>
    <mergeCell ref="B20:K30"/>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18B6C-7E1C-4C97-844F-DBE73C9FE7F8}">
  <dimension ref="B2:M47"/>
  <sheetViews>
    <sheetView showGridLines="0" tabSelected="1" workbookViewId="0">
      <selection activeCell="C1" sqref="C1"/>
    </sheetView>
  </sheetViews>
  <sheetFormatPr defaultRowHeight="14.4" x14ac:dyDescent="0.3"/>
  <cols>
    <col min="6" max="6" width="16.77734375" customWidth="1"/>
  </cols>
  <sheetData>
    <row r="2" spans="2:13" x14ac:dyDescent="0.3">
      <c r="B2" s="363" t="str">
        <f>"Valuation Summary"&amp;" - "&amp;WACC!B12</f>
        <v>Valuation Summary - Pakistan International Airlines</v>
      </c>
      <c r="C2" s="363"/>
      <c r="D2" s="363"/>
      <c r="E2" s="363"/>
      <c r="F2" s="363"/>
      <c r="G2" s="363"/>
      <c r="H2" s="363"/>
      <c r="I2" s="363"/>
    </row>
    <row r="4" spans="2:13" x14ac:dyDescent="0.3">
      <c r="B4" s="254" t="s">
        <v>272</v>
      </c>
      <c r="C4" s="255"/>
      <c r="D4" s="255"/>
      <c r="E4" s="255"/>
      <c r="F4" s="255"/>
    </row>
    <row r="5" spans="2:13" x14ac:dyDescent="0.3">
      <c r="B5" s="131"/>
    </row>
    <row r="6" spans="2:13" x14ac:dyDescent="0.3">
      <c r="B6" s="254" t="s">
        <v>273</v>
      </c>
      <c r="C6" s="255"/>
      <c r="D6" s="255"/>
      <c r="E6" s="255"/>
      <c r="F6" s="255"/>
    </row>
    <row r="7" spans="2:13" x14ac:dyDescent="0.3">
      <c r="B7" s="60"/>
      <c r="C7" s="90"/>
      <c r="D7" s="90"/>
      <c r="E7" s="90"/>
      <c r="F7" s="90"/>
    </row>
    <row r="8" spans="2:13" x14ac:dyDescent="0.3">
      <c r="B8" s="254" t="s">
        <v>274</v>
      </c>
      <c r="C8" s="255"/>
      <c r="D8" s="255"/>
      <c r="E8" s="255"/>
      <c r="F8" s="255"/>
    </row>
    <row r="9" spans="2:13" x14ac:dyDescent="0.3">
      <c r="B9" s="60"/>
      <c r="C9" s="90"/>
      <c r="D9" s="90"/>
      <c r="E9" s="90"/>
      <c r="F9" s="90"/>
    </row>
    <row r="10" spans="2:13" x14ac:dyDescent="0.3">
      <c r="B10" s="254" t="s">
        <v>456</v>
      </c>
      <c r="C10" s="255"/>
      <c r="D10" s="255"/>
      <c r="E10" s="255"/>
      <c r="F10" s="255"/>
      <c r="G10" s="255"/>
      <c r="H10" s="255"/>
    </row>
    <row r="11" spans="2:13" x14ac:dyDescent="0.3">
      <c r="B11" s="60"/>
      <c r="C11" s="90"/>
      <c r="D11" s="90"/>
      <c r="E11" s="90"/>
      <c r="F11" s="90"/>
    </row>
    <row r="12" spans="2:13" x14ac:dyDescent="0.3">
      <c r="B12" s="177" t="s">
        <v>432</v>
      </c>
      <c r="C12" s="168"/>
      <c r="D12" s="168"/>
      <c r="E12" s="168"/>
      <c r="F12" s="168"/>
    </row>
    <row r="14" spans="2:13" x14ac:dyDescent="0.3">
      <c r="B14" s="16" t="s">
        <v>275</v>
      </c>
    </row>
    <row r="15" spans="2:13" x14ac:dyDescent="0.3">
      <c r="B15" s="403" t="s">
        <v>428</v>
      </c>
      <c r="C15" s="403"/>
      <c r="D15" s="403"/>
      <c r="E15" s="403"/>
      <c r="F15" s="403"/>
      <c r="G15" s="403"/>
      <c r="H15" s="403"/>
      <c r="I15" s="403"/>
      <c r="J15" s="403"/>
      <c r="K15" s="403"/>
      <c r="L15" s="403"/>
      <c r="M15" s="403"/>
    </row>
    <row r="16" spans="2:13" x14ac:dyDescent="0.3">
      <c r="B16" s="403"/>
      <c r="C16" s="403"/>
      <c r="D16" s="403"/>
      <c r="E16" s="403"/>
      <c r="F16" s="403"/>
      <c r="G16" s="403"/>
      <c r="H16" s="403"/>
      <c r="I16" s="403"/>
      <c r="J16" s="403"/>
      <c r="K16" s="403"/>
      <c r="L16" s="403"/>
      <c r="M16" s="403"/>
    </row>
    <row r="17" spans="2:13" x14ac:dyDescent="0.3">
      <c r="B17" s="403"/>
      <c r="C17" s="403"/>
      <c r="D17" s="403"/>
      <c r="E17" s="403"/>
      <c r="F17" s="403"/>
      <c r="G17" s="403"/>
      <c r="H17" s="403"/>
      <c r="I17" s="403"/>
      <c r="J17" s="403"/>
      <c r="K17" s="403"/>
      <c r="L17" s="403"/>
      <c r="M17" s="403"/>
    </row>
    <row r="19" spans="2:13" x14ac:dyDescent="0.3">
      <c r="B19" s="16" t="s">
        <v>276</v>
      </c>
    </row>
    <row r="20" spans="2:13" x14ac:dyDescent="0.3">
      <c r="B20" s="73"/>
    </row>
    <row r="21" spans="2:13" x14ac:dyDescent="0.3">
      <c r="B21" s="379" t="s">
        <v>429</v>
      </c>
      <c r="C21" s="379"/>
      <c r="D21" s="379"/>
      <c r="E21" s="379"/>
      <c r="F21" s="379"/>
      <c r="G21" s="379"/>
      <c r="H21" s="379"/>
      <c r="I21" s="379"/>
      <c r="J21" s="379"/>
      <c r="K21" s="379"/>
      <c r="L21" s="379"/>
      <c r="M21" s="379"/>
    </row>
    <row r="22" spans="2:13" x14ac:dyDescent="0.3">
      <c r="B22" s="379"/>
      <c r="C22" s="379"/>
      <c r="D22" s="379"/>
      <c r="E22" s="379"/>
      <c r="F22" s="379"/>
      <c r="G22" s="379"/>
      <c r="H22" s="379"/>
      <c r="I22" s="379"/>
      <c r="J22" s="379"/>
      <c r="K22" s="379"/>
      <c r="L22" s="379"/>
      <c r="M22" s="379"/>
    </row>
    <row r="23" spans="2:13" x14ac:dyDescent="0.3">
      <c r="B23" s="379"/>
      <c r="C23" s="379"/>
      <c r="D23" s="379"/>
      <c r="E23" s="379"/>
      <c r="F23" s="379"/>
      <c r="G23" s="379"/>
      <c r="H23" s="379"/>
      <c r="I23" s="379"/>
      <c r="J23" s="379"/>
      <c r="K23" s="379"/>
      <c r="L23" s="379"/>
      <c r="M23" s="379"/>
    </row>
    <row r="24" spans="2:13" x14ac:dyDescent="0.3">
      <c r="B24" s="379"/>
      <c r="C24" s="379"/>
      <c r="D24" s="379"/>
      <c r="E24" s="379"/>
      <c r="F24" s="379"/>
      <c r="G24" s="379"/>
      <c r="H24" s="379"/>
      <c r="I24" s="379"/>
      <c r="J24" s="379"/>
      <c r="K24" s="379"/>
      <c r="L24" s="379"/>
      <c r="M24" s="379"/>
    </row>
    <row r="25" spans="2:13" x14ac:dyDescent="0.3">
      <c r="B25" s="379"/>
      <c r="C25" s="379"/>
      <c r="D25" s="379"/>
      <c r="E25" s="379"/>
      <c r="F25" s="379"/>
      <c r="G25" s="379"/>
      <c r="H25" s="379"/>
      <c r="I25" s="379"/>
      <c r="J25" s="379"/>
      <c r="K25" s="379"/>
      <c r="L25" s="379"/>
      <c r="M25" s="379"/>
    </row>
    <row r="27" spans="2:13" x14ac:dyDescent="0.3">
      <c r="B27" s="379" t="s">
        <v>430</v>
      </c>
      <c r="C27" s="379"/>
      <c r="D27" s="379"/>
      <c r="E27" s="379"/>
      <c r="F27" s="379"/>
      <c r="G27" s="379"/>
      <c r="H27" s="379"/>
      <c r="I27" s="379"/>
      <c r="J27" s="379"/>
      <c r="K27" s="379"/>
      <c r="L27" s="379"/>
      <c r="M27" s="379"/>
    </row>
    <row r="28" spans="2:13" x14ac:dyDescent="0.3">
      <c r="B28" s="379"/>
      <c r="C28" s="379"/>
      <c r="D28" s="379"/>
      <c r="E28" s="379"/>
      <c r="F28" s="379"/>
      <c r="G28" s="379"/>
      <c r="H28" s="379"/>
      <c r="I28" s="379"/>
      <c r="J28" s="379"/>
      <c r="K28" s="379"/>
      <c r="L28" s="379"/>
      <c r="M28" s="379"/>
    </row>
    <row r="30" spans="2:13" x14ac:dyDescent="0.3">
      <c r="B30" s="379" t="s">
        <v>431</v>
      </c>
      <c r="C30" s="379"/>
      <c r="D30" s="379"/>
      <c r="E30" s="379"/>
      <c r="F30" s="379"/>
      <c r="G30" s="379"/>
      <c r="H30" s="379"/>
      <c r="I30" s="379"/>
      <c r="J30" s="379"/>
      <c r="K30" s="379"/>
      <c r="L30" s="379"/>
      <c r="M30" s="379"/>
    </row>
    <row r="31" spans="2:13" x14ac:dyDescent="0.3">
      <c r="B31" s="379"/>
      <c r="C31" s="379"/>
      <c r="D31" s="379"/>
      <c r="E31" s="379"/>
      <c r="F31" s="379"/>
      <c r="G31" s="379"/>
      <c r="H31" s="379"/>
      <c r="I31" s="379"/>
      <c r="J31" s="379"/>
      <c r="K31" s="379"/>
      <c r="L31" s="379"/>
      <c r="M31" s="379"/>
    </row>
    <row r="33" spans="2:13" x14ac:dyDescent="0.3">
      <c r="B33" s="379" t="s">
        <v>446</v>
      </c>
      <c r="C33" s="379"/>
      <c r="D33" s="379"/>
      <c r="E33" s="379"/>
      <c r="F33" s="379"/>
      <c r="G33" s="379"/>
      <c r="H33" s="379"/>
      <c r="I33" s="379"/>
      <c r="J33" s="379"/>
      <c r="K33" s="379"/>
      <c r="L33" s="379"/>
      <c r="M33" s="379"/>
    </row>
    <row r="34" spans="2:13" x14ac:dyDescent="0.3">
      <c r="B34" s="379"/>
      <c r="C34" s="379"/>
      <c r="D34" s="379"/>
      <c r="E34" s="379"/>
      <c r="F34" s="379"/>
      <c r="G34" s="379"/>
      <c r="H34" s="379"/>
      <c r="I34" s="379"/>
      <c r="J34" s="379"/>
      <c r="K34" s="379"/>
      <c r="L34" s="379"/>
      <c r="M34" s="379"/>
    </row>
    <row r="36" spans="2:13" x14ac:dyDescent="0.3">
      <c r="B36" s="379" t="s">
        <v>277</v>
      </c>
      <c r="C36" s="379"/>
      <c r="D36" s="379"/>
      <c r="E36" s="379"/>
      <c r="F36" s="379"/>
      <c r="G36" s="379"/>
      <c r="H36" s="379"/>
      <c r="I36" s="379"/>
      <c r="J36" s="379"/>
      <c r="K36" s="379"/>
      <c r="L36" s="379"/>
      <c r="M36" s="379"/>
    </row>
    <row r="37" spans="2:13" x14ac:dyDescent="0.3">
      <c r="B37" s="379"/>
      <c r="C37" s="379"/>
      <c r="D37" s="379"/>
      <c r="E37" s="379"/>
      <c r="F37" s="379"/>
      <c r="G37" s="379"/>
      <c r="H37" s="379"/>
      <c r="I37" s="379"/>
      <c r="J37" s="379"/>
      <c r="K37" s="379"/>
      <c r="L37" s="379"/>
      <c r="M37" s="379"/>
    </row>
    <row r="39" spans="2:13" x14ac:dyDescent="0.3">
      <c r="B39" s="379" t="s">
        <v>433</v>
      </c>
      <c r="C39" s="379"/>
      <c r="D39" s="379"/>
      <c r="E39" s="379"/>
      <c r="F39" s="379"/>
      <c r="G39" s="379"/>
      <c r="H39" s="379"/>
      <c r="I39" s="379"/>
      <c r="J39" s="379"/>
      <c r="K39" s="379"/>
      <c r="L39" s="379"/>
      <c r="M39" s="379"/>
    </row>
    <row r="40" spans="2:13" x14ac:dyDescent="0.3">
      <c r="B40" s="379"/>
      <c r="C40" s="379"/>
      <c r="D40" s="379"/>
      <c r="E40" s="379"/>
      <c r="F40" s="379"/>
      <c r="G40" s="379"/>
      <c r="H40" s="379"/>
      <c r="I40" s="379"/>
      <c r="J40" s="379"/>
      <c r="K40" s="379"/>
      <c r="L40" s="379"/>
      <c r="M40" s="379"/>
    </row>
    <row r="42" spans="2:13" x14ac:dyDescent="0.3">
      <c r="B42" s="379" t="s">
        <v>449</v>
      </c>
      <c r="C42" s="379"/>
      <c r="D42" s="379"/>
      <c r="E42" s="379"/>
      <c r="F42" s="379"/>
      <c r="G42" s="379"/>
      <c r="H42" s="379"/>
      <c r="I42" s="379"/>
      <c r="J42" s="379"/>
      <c r="K42" s="379"/>
      <c r="L42" s="379"/>
      <c r="M42" s="379"/>
    </row>
    <row r="43" spans="2:13" x14ac:dyDescent="0.3">
      <c r="B43" s="379"/>
      <c r="C43" s="379"/>
      <c r="D43" s="379"/>
      <c r="E43" s="379"/>
      <c r="F43" s="379"/>
      <c r="G43" s="379"/>
      <c r="H43" s="379"/>
      <c r="I43" s="379"/>
      <c r="J43" s="379"/>
      <c r="K43" s="379"/>
      <c r="L43" s="379"/>
      <c r="M43" s="379"/>
    </row>
    <row r="44" spans="2:13" x14ac:dyDescent="0.3">
      <c r="B44" s="130"/>
      <c r="C44" s="130"/>
      <c r="D44" s="130"/>
      <c r="E44" s="130"/>
      <c r="F44" s="130"/>
      <c r="G44" s="130"/>
      <c r="H44" s="130"/>
      <c r="I44" s="130"/>
      <c r="J44" s="130"/>
      <c r="K44" s="130"/>
      <c r="L44" s="130"/>
      <c r="M44" s="130"/>
    </row>
    <row r="45" spans="2:13" x14ac:dyDescent="0.3">
      <c r="B45" s="379" t="s">
        <v>448</v>
      </c>
      <c r="C45" s="379"/>
      <c r="D45" s="379"/>
      <c r="E45" s="379"/>
      <c r="F45" s="379"/>
      <c r="G45" s="379"/>
      <c r="H45" s="379"/>
      <c r="I45" s="379"/>
      <c r="J45" s="379"/>
      <c r="K45" s="379"/>
      <c r="L45" s="379"/>
      <c r="M45" s="379"/>
    </row>
    <row r="46" spans="2:13" x14ac:dyDescent="0.3">
      <c r="B46" s="379"/>
      <c r="C46" s="379"/>
      <c r="D46" s="379"/>
      <c r="E46" s="379"/>
      <c r="F46" s="379"/>
      <c r="G46" s="379"/>
      <c r="H46" s="379"/>
      <c r="I46" s="379"/>
      <c r="J46" s="379"/>
      <c r="K46" s="379"/>
      <c r="L46" s="379"/>
      <c r="M46" s="379"/>
    </row>
    <row r="47" spans="2:13" x14ac:dyDescent="0.3">
      <c r="B47" s="379"/>
      <c r="C47" s="379"/>
      <c r="D47" s="379"/>
      <c r="E47" s="379"/>
      <c r="F47" s="379"/>
      <c r="G47" s="379"/>
      <c r="H47" s="379"/>
      <c r="I47" s="379"/>
      <c r="J47" s="379"/>
      <c r="K47" s="379"/>
      <c r="L47" s="379"/>
      <c r="M47" s="379"/>
    </row>
  </sheetData>
  <mergeCells count="10">
    <mergeCell ref="B2:I2"/>
    <mergeCell ref="B15:M17"/>
    <mergeCell ref="B30:M31"/>
    <mergeCell ref="B33:M34"/>
    <mergeCell ref="B21:M25"/>
    <mergeCell ref="B45:M47"/>
    <mergeCell ref="B36:M37"/>
    <mergeCell ref="B39:M40"/>
    <mergeCell ref="B27:M28"/>
    <mergeCell ref="B42:M4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Assumptions</vt:lpstr>
      <vt:lpstr>Selection of peer companies</vt:lpstr>
      <vt:lpstr>Data-competitors</vt:lpstr>
      <vt:lpstr>WACC</vt:lpstr>
      <vt:lpstr>WACC Scenario Analysis</vt:lpstr>
      <vt:lpstr>Kd Calculation</vt:lpstr>
      <vt:lpstr>Rm (KSE-100 Returns)</vt:lpstr>
      <vt:lpstr>Beta-Turkish Airlines</vt:lpstr>
      <vt:lpstr>Beta-Singapore Airlines</vt:lpstr>
      <vt:lpstr>Beta-Garuda Indonesia</vt:lpstr>
      <vt:lpstr>Beta-China Eastern Airlines </vt:lpstr>
      <vt:lpstr>Beta-China Southern Airlines </vt:lpstr>
      <vt:lpstr>Raw BS</vt:lpstr>
      <vt:lpstr>Raw CF and Pnl Stm</vt:lpstr>
      <vt:lpstr>Intrinsic Growth Rate-PKR data</vt:lpstr>
      <vt:lpstr>DCF &amp; Sensitivity Analysis</vt:lpstr>
      <vt:lpstr>Further Sensitivity Analysis</vt:lpstr>
      <vt:lpstr>Compr Scenario Analysis-DCF</vt:lpstr>
      <vt:lpstr>Privatsation Bid Recommendation</vt:lpstr>
      <vt:lpstr>Feasibility of Privtisation Bid</vt:lpstr>
      <vt:lpstr>Raw Data for Relative Valuation</vt:lpstr>
      <vt:lpstr>PIA-Comp company Valuation</vt:lpstr>
      <vt:lpstr>Football Field Analysis</vt:lpstr>
      <vt:lpstr>Valuation Sumamry-PIA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Hussain Muhammad</dc:creator>
  <cp:lastModifiedBy>Hussain Muhammad</cp:lastModifiedBy>
  <dcterms:created xsi:type="dcterms:W3CDTF">2024-10-27T16:05:22Z</dcterms:created>
  <dcterms:modified xsi:type="dcterms:W3CDTF">2024-11-25T11:17:37Z</dcterms:modified>
</cp:coreProperties>
</file>