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Waleed Ghani\Desktop\Upwork and Assirience work\Financial Modelling Whole\Twitter Valuation Model for Acquisition\"/>
    </mc:Choice>
  </mc:AlternateContent>
  <xr:revisionPtr revIDLastSave="0" documentId="13_ncr:1_{96A85386-2291-491D-8D59-747469309322}" xr6:coauthVersionLast="47" xr6:coauthVersionMax="47" xr10:uidLastSave="{00000000-0000-0000-0000-000000000000}"/>
  <bookViews>
    <workbookView xWindow="-108" yWindow="-108" windowWidth="23256" windowHeight="12576" firstSheet="22" activeTab="24" xr2:uid="{34E99394-02DC-47BD-9E5D-C62B56F00FF2}"/>
  </bookViews>
  <sheets>
    <sheet name="Assumptions" sheetId="31" r:id="rId1"/>
    <sheet name="WACC" sheetId="1" r:id="rId2"/>
    <sheet name="Data-competitors" sheetId="2" r:id="rId3"/>
    <sheet name="WACC Scenario Analysis" sheetId="30" r:id="rId4"/>
    <sheet name="Kd Calculation" sheetId="23" r:id="rId5"/>
    <sheet name="Rm (S&amp;P-500 Returns)" sheetId="3" r:id="rId6"/>
    <sheet name="Beta-Twitter Inc" sheetId="4" r:id="rId7"/>
    <sheet name="Beta-Meta" sheetId="5" r:id="rId8"/>
    <sheet name="Beta-Alphabet Inc (Class A)" sheetId="10" r:id="rId9"/>
    <sheet name="Beta-SNAP Inc" sheetId="11" r:id="rId10"/>
    <sheet name="Beta-Pinterest" sheetId="21" r:id="rId11"/>
    <sheet name="Beta-Microsoft Corp" sheetId="22" r:id="rId12"/>
    <sheet name="Raw CF and Pnl Stm" sheetId="24" r:id="rId13"/>
    <sheet name="Intrinsic Growth Rate" sheetId="12" r:id="rId14"/>
    <sheet name="DCF &amp; Sensitivity Analysis" sheetId="13" r:id="rId15"/>
    <sheet name="Further Sensitivity Analysis" sheetId="14" r:id="rId16"/>
    <sheet name="Compr Scenario Analysis-DCF" sheetId="15" r:id="rId17"/>
    <sheet name="Raw Data for Relative Valuation" sheetId="16" r:id="rId18"/>
    <sheet name="Forecasting-EPS of Twitter" sheetId="17" r:id="rId19"/>
    <sheet name="Twitter-Comp company Valuation" sheetId="18" r:id="rId20"/>
    <sheet name="Raw data for precedent analysis" sheetId="28" r:id="rId21"/>
    <sheet name="Precedent Transaction Valuation" sheetId="27" r:id="rId22"/>
    <sheet name="Football Field Analysis" sheetId="19" r:id="rId23"/>
    <sheet name="Valuation Sumamry-Twitter Inc." sheetId="29" r:id="rId24"/>
    <sheet name="Gain or loss for Musk" sheetId="32" r:id="rId25"/>
  </sheets>
  <externalReferences>
    <externalReference r:id="rId26"/>
    <externalReference r:id="rId27"/>
  </externalReferences>
  <definedNames>
    <definedName name="Beta">'[1]WACC, Ke, Kd calc'!$C$5</definedName>
    <definedName name="Costofdebt">'[1]WACC, Ke, Kd calc'!$C$8</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MONTH" hidden="1">15000</definedName>
    <definedName name="IQ_NAMES_REVISION_DATE_" hidden="1">40218.8268634259</definedName>
    <definedName name="IQ_NTM" hidden="1">6000</definedName>
    <definedName name="IQ_TODAY" hidden="1">0</definedName>
    <definedName name="IQ_WEEK" hidden="1">50000</definedName>
    <definedName name="IQ_YTD" hidden="1">3000</definedName>
    <definedName name="Marketreturn">'[1]WACC, Ke, Kd calc'!$C$4</definedName>
    <definedName name="MVofdebt">'[1]WACC, Ke, Kd calc'!$C$13</definedName>
    <definedName name="MVofequity">'[1]WACC, Ke, Kd calc'!$C$12</definedName>
    <definedName name="Riskfreerate">'[1]WACC, Ke, Kd calc'!$C$3</definedName>
    <definedName name="Taxrate">'[1]WACC, Ke, Kd calc'!$C$9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32" l="1"/>
  <c r="C11" i="32"/>
  <c r="C9" i="32"/>
  <c r="B2" i="32"/>
  <c r="P29" i="18"/>
  <c r="P27" i="18"/>
  <c r="B2" i="31"/>
  <c r="P33" i="18"/>
  <c r="B34" i="30"/>
  <c r="B28" i="30"/>
  <c r="I31" i="30"/>
  <c r="H31" i="30"/>
  <c r="G31" i="30"/>
  <c r="F31" i="30"/>
  <c r="E31" i="30"/>
  <c r="D31" i="30"/>
  <c r="C31" i="30"/>
  <c r="I30" i="30"/>
  <c r="H30" i="30"/>
  <c r="G30" i="30"/>
  <c r="F30" i="30"/>
  <c r="E30" i="30"/>
  <c r="D30" i="30"/>
  <c r="C30" i="30"/>
  <c r="I29" i="30"/>
  <c r="H29" i="30"/>
  <c r="G29" i="30"/>
  <c r="F29" i="30"/>
  <c r="E29" i="30"/>
  <c r="D29" i="30"/>
  <c r="C29" i="30"/>
  <c r="I28" i="30"/>
  <c r="H28" i="30"/>
  <c r="G28" i="30"/>
  <c r="F28" i="30"/>
  <c r="E28" i="30"/>
  <c r="D28" i="30"/>
  <c r="C28" i="30"/>
  <c r="I27" i="30"/>
  <c r="H27" i="30"/>
  <c r="G27" i="30"/>
  <c r="F27" i="30"/>
  <c r="E27" i="30"/>
  <c r="D27" i="30"/>
  <c r="C27" i="30"/>
  <c r="I26" i="30"/>
  <c r="H26" i="30"/>
  <c r="G26" i="30"/>
  <c r="F26" i="30"/>
  <c r="E26" i="30"/>
  <c r="D26" i="30"/>
  <c r="C26" i="30"/>
  <c r="I25" i="30"/>
  <c r="H25" i="30"/>
  <c r="G25" i="30"/>
  <c r="F25" i="30"/>
  <c r="E25" i="30"/>
  <c r="D25" i="30"/>
  <c r="C25" i="30"/>
  <c r="I24" i="30"/>
  <c r="G24" i="30"/>
  <c r="F24" i="30"/>
  <c r="E24" i="30"/>
  <c r="D24" i="30"/>
  <c r="D23" i="30"/>
  <c r="C21" i="30"/>
  <c r="B21" i="30"/>
  <c r="B5" i="30"/>
  <c r="B18" i="30"/>
  <c r="D7" i="30"/>
  <c r="B13" i="30"/>
  <c r="I15" i="30"/>
  <c r="H15" i="30"/>
  <c r="G15" i="30"/>
  <c r="F15" i="30"/>
  <c r="E15" i="30"/>
  <c r="D15" i="30"/>
  <c r="I14" i="30"/>
  <c r="H14" i="30"/>
  <c r="G14" i="30"/>
  <c r="F14" i="30"/>
  <c r="E14" i="30"/>
  <c r="D14" i="30"/>
  <c r="I13" i="30"/>
  <c r="H13" i="30"/>
  <c r="G13" i="30"/>
  <c r="F13" i="30"/>
  <c r="E13" i="30"/>
  <c r="D13" i="30"/>
  <c r="I12" i="30"/>
  <c r="H12" i="30"/>
  <c r="G12" i="30"/>
  <c r="F12" i="30"/>
  <c r="E12" i="30"/>
  <c r="D12" i="30"/>
  <c r="I11" i="30"/>
  <c r="H11" i="30"/>
  <c r="G11" i="30"/>
  <c r="F11" i="30"/>
  <c r="E11" i="30"/>
  <c r="D11" i="30"/>
  <c r="I10" i="30"/>
  <c r="H10" i="30"/>
  <c r="G10" i="30"/>
  <c r="F10" i="30"/>
  <c r="E10" i="30"/>
  <c r="D10" i="30"/>
  <c r="I9" i="30"/>
  <c r="H9" i="30"/>
  <c r="G9" i="30"/>
  <c r="F9" i="30"/>
  <c r="E9" i="30"/>
  <c r="D9" i="30"/>
  <c r="I8" i="30"/>
  <c r="G8" i="30"/>
  <c r="F8" i="30"/>
  <c r="E8" i="30"/>
  <c r="D8" i="30"/>
  <c r="C10" i="30"/>
  <c r="C11" i="30"/>
  <c r="C12" i="30"/>
  <c r="C13" i="30"/>
  <c r="C14" i="30"/>
  <c r="C15" i="30"/>
  <c r="C9" i="30"/>
  <c r="C5" i="30"/>
  <c r="H82" i="1"/>
  <c r="H24" i="30" s="1"/>
  <c r="H66" i="1"/>
  <c r="H8" i="30" s="1"/>
  <c r="B61" i="1"/>
  <c r="B2" i="30" l="1"/>
  <c r="B2" i="29"/>
  <c r="J5" i="28"/>
  <c r="P5" i="28" s="1"/>
  <c r="G5" i="28"/>
  <c r="K5" i="28"/>
  <c r="L5" i="28" s="1"/>
  <c r="N5" i="28" s="1"/>
  <c r="E5" i="28"/>
  <c r="H5" i="28" s="1"/>
  <c r="D5" i="28"/>
  <c r="C5" i="28"/>
  <c r="B2" i="27"/>
  <c r="B15" i="27" s="1"/>
  <c r="O5" i="28" l="1"/>
  <c r="R10" i="18" l="1"/>
  <c r="R11" i="18"/>
  <c r="R12" i="18"/>
  <c r="R13" i="18"/>
  <c r="R9" i="18"/>
  <c r="R8" i="18"/>
  <c r="P17" i="27" s="1"/>
  <c r="Q10" i="18"/>
  <c r="Q11" i="18"/>
  <c r="Q12" i="18"/>
  <c r="Q13" i="18"/>
  <c r="Q9" i="18"/>
  <c r="Q8" i="18"/>
  <c r="P8" i="18"/>
  <c r="D5" i="17"/>
  <c r="D11" i="17" s="1"/>
  <c r="C6" i="17"/>
  <c r="C7" i="17" s="1"/>
  <c r="C8" i="17" s="1"/>
  <c r="C9" i="17" s="1"/>
  <c r="G67" i="24"/>
  <c r="F67" i="24"/>
  <c r="D6" i="17" s="1"/>
  <c r="E6" i="17" s="1"/>
  <c r="E67" i="24"/>
  <c r="D7" i="17" s="1"/>
  <c r="D67" i="24"/>
  <c r="D8" i="17" s="1"/>
  <c r="C67" i="24"/>
  <c r="D9" i="17" s="1"/>
  <c r="D61" i="24"/>
  <c r="E61" i="24" s="1"/>
  <c r="F61" i="24" s="1"/>
  <c r="G61" i="24" s="1"/>
  <c r="E9" i="17" l="1"/>
  <c r="E7" i="17"/>
  <c r="D13" i="17"/>
  <c r="D12" i="17"/>
  <c r="E12" i="17" s="1"/>
  <c r="R17" i="18"/>
  <c r="D14" i="17"/>
  <c r="E14" i="17" s="1"/>
  <c r="D10" i="17"/>
  <c r="R18" i="18"/>
  <c r="R19" i="18"/>
  <c r="R20" i="18"/>
  <c r="R21" i="18"/>
  <c r="R22" i="18"/>
  <c r="Q21" i="18"/>
  <c r="Q17" i="18"/>
  <c r="Q22" i="18"/>
  <c r="Q18" i="18"/>
  <c r="Q19" i="18"/>
  <c r="Q20" i="18"/>
  <c r="R27" i="18" s="1"/>
  <c r="E10" i="17" l="1"/>
  <c r="E13" i="17"/>
  <c r="E11" i="17"/>
  <c r="N30" i="18"/>
  <c r="G8" i="18"/>
  <c r="R28" i="18" s="1"/>
  <c r="R29" i="18" s="1"/>
  <c r="D8" i="18"/>
  <c r="O5" i="16"/>
  <c r="C8" i="15"/>
  <c r="D6" i="15"/>
  <c r="C6" i="15"/>
  <c r="M64" i="12"/>
  <c r="C5" i="16"/>
  <c r="E53" i="13"/>
  <c r="E51" i="13"/>
  <c r="E50" i="13"/>
  <c r="M52" i="12"/>
  <c r="M31" i="12"/>
  <c r="M30" i="12"/>
  <c r="M29" i="12"/>
  <c r="M33" i="12" s="1"/>
  <c r="O30" i="18" l="1"/>
  <c r="P30" i="18" s="1"/>
  <c r="Q30" i="18" s="1"/>
  <c r="R30" i="18" s="1"/>
  <c r="R32" i="18" s="1"/>
  <c r="R35" i="18" s="1"/>
  <c r="N20" i="27"/>
  <c r="O20" i="27" s="1"/>
  <c r="P20" i="27" s="1"/>
  <c r="N28" i="18"/>
  <c r="N18" i="27" s="1"/>
  <c r="O18" i="27" s="1"/>
  <c r="P18" i="27" s="1"/>
  <c r="P19" i="27" s="1"/>
  <c r="P21" i="27" s="1"/>
  <c r="P23" i="27" s="1"/>
  <c r="Q28" i="18"/>
  <c r="H43" i="24"/>
  <c r="H45" i="24" s="1"/>
  <c r="M49" i="12" s="1"/>
  <c r="K15" i="12"/>
  <c r="K26" i="12"/>
  <c r="M22" i="12"/>
  <c r="M21" i="12"/>
  <c r="M20" i="12"/>
  <c r="M24" i="12" s="1"/>
  <c r="M13" i="12"/>
  <c r="M15" i="12" s="1"/>
  <c r="M12" i="12"/>
  <c r="M9" i="12"/>
  <c r="M8" i="12"/>
  <c r="H15" i="12"/>
  <c r="I15" i="12"/>
  <c r="J15" i="12"/>
  <c r="L15" i="12"/>
  <c r="L26" i="12" s="1"/>
  <c r="G44" i="24"/>
  <c r="F44" i="24"/>
  <c r="E44" i="24"/>
  <c r="D44" i="24"/>
  <c r="C44" i="24"/>
  <c r="G43" i="24"/>
  <c r="F43" i="24"/>
  <c r="E43" i="24"/>
  <c r="D43" i="24"/>
  <c r="C43" i="24"/>
  <c r="C45" i="24" s="1"/>
  <c r="H49" i="12" s="1"/>
  <c r="J39" i="24"/>
  <c r="L52" i="12"/>
  <c r="K52" i="12"/>
  <c r="J52" i="12"/>
  <c r="I52" i="12"/>
  <c r="H52" i="12"/>
  <c r="D40" i="24"/>
  <c r="E40" i="24" s="1"/>
  <c r="F40" i="24" s="1"/>
  <c r="G40" i="24" s="1"/>
  <c r="D57" i="24"/>
  <c r="C57" i="24"/>
  <c r="D29" i="24"/>
  <c r="D32" i="24" s="1"/>
  <c r="D38" i="24" s="1"/>
  <c r="C29" i="24"/>
  <c r="C32" i="24" s="1"/>
  <c r="C38" i="24" s="1"/>
  <c r="D4" i="24"/>
  <c r="G18" i="1"/>
  <c r="G17" i="1"/>
  <c r="G16" i="1"/>
  <c r="G15" i="1"/>
  <c r="G14" i="1"/>
  <c r="F15" i="1"/>
  <c r="F16" i="1"/>
  <c r="F17" i="1"/>
  <c r="F18" i="1"/>
  <c r="F14" i="1"/>
  <c r="C12" i="23"/>
  <c r="C16" i="23" s="1"/>
  <c r="E33" i="1" s="1"/>
  <c r="C6" i="23"/>
  <c r="B2" i="23"/>
  <c r="L33" i="12"/>
  <c r="K33" i="12"/>
  <c r="J33" i="12"/>
  <c r="I33" i="12"/>
  <c r="H33" i="12"/>
  <c r="L24" i="12"/>
  <c r="K24" i="12"/>
  <c r="J24" i="12"/>
  <c r="J26" i="12" s="1"/>
  <c r="J36" i="12" s="1"/>
  <c r="J42" i="12" s="1"/>
  <c r="J67" i="12" s="1"/>
  <c r="I24" i="12"/>
  <c r="I26" i="12" s="1"/>
  <c r="I36" i="12" s="1"/>
  <c r="I42" i="12" s="1"/>
  <c r="H24" i="12"/>
  <c r="L10" i="12"/>
  <c r="K10" i="12"/>
  <c r="J10" i="12"/>
  <c r="I10" i="12"/>
  <c r="H10" i="12"/>
  <c r="B4" i="22"/>
  <c r="B4" i="21"/>
  <c r="D66" i="22"/>
  <c r="D65" i="22"/>
  <c r="D64" i="22"/>
  <c r="D63" i="22"/>
  <c r="D62" i="22"/>
  <c r="B62" i="22"/>
  <c r="D61" i="22"/>
  <c r="D60" i="22"/>
  <c r="D59" i="22"/>
  <c r="D58" i="22"/>
  <c r="D57" i="22"/>
  <c r="D56" i="22"/>
  <c r="D55" i="22"/>
  <c r="D54" i="22"/>
  <c r="B54" i="22"/>
  <c r="D53" i="22"/>
  <c r="D52" i="22"/>
  <c r="D51" i="22"/>
  <c r="D50" i="22"/>
  <c r="D49" i="22"/>
  <c r="D48" i="22"/>
  <c r="D47" i="22"/>
  <c r="D46" i="22"/>
  <c r="B46" i="22"/>
  <c r="D45" i="22"/>
  <c r="D44" i="22"/>
  <c r="D43" i="22"/>
  <c r="D42" i="22"/>
  <c r="D41" i="22"/>
  <c r="D40" i="22"/>
  <c r="D39" i="22"/>
  <c r="D38" i="22"/>
  <c r="B38" i="22"/>
  <c r="D37" i="22"/>
  <c r="D36" i="22"/>
  <c r="D35" i="22"/>
  <c r="D34" i="22"/>
  <c r="D33" i="22"/>
  <c r="D32" i="22"/>
  <c r="D31" i="22"/>
  <c r="D30" i="22"/>
  <c r="B30" i="22"/>
  <c r="D29" i="22"/>
  <c r="D28" i="22"/>
  <c r="D27" i="22"/>
  <c r="D26" i="22"/>
  <c r="D25" i="22"/>
  <c r="D24" i="22"/>
  <c r="D23" i="22"/>
  <c r="D22" i="22"/>
  <c r="B22" i="22"/>
  <c r="D21" i="22"/>
  <c r="D20" i="22"/>
  <c r="D19" i="22"/>
  <c r="D18" i="22"/>
  <c r="D17" i="22"/>
  <c r="D16" i="22"/>
  <c r="D15" i="22"/>
  <c r="D14" i="22"/>
  <c r="B14" i="22"/>
  <c r="D13" i="22"/>
  <c r="D12" i="22"/>
  <c r="D11" i="22"/>
  <c r="O10" i="22"/>
  <c r="K6" i="22" s="1"/>
  <c r="K10" i="22"/>
  <c r="G10" i="22"/>
  <c r="D10" i="22"/>
  <c r="D9" i="22"/>
  <c r="D8" i="22"/>
  <c r="D66" i="21"/>
  <c r="B66" i="21"/>
  <c r="D65" i="21"/>
  <c r="D64" i="21"/>
  <c r="D63" i="21"/>
  <c r="D62" i="21"/>
  <c r="D61" i="21"/>
  <c r="D60" i="21"/>
  <c r="D59" i="21"/>
  <c r="D58" i="21"/>
  <c r="B58" i="21"/>
  <c r="D57" i="21"/>
  <c r="D56" i="21"/>
  <c r="D55" i="21"/>
  <c r="D54" i="21"/>
  <c r="D53" i="21"/>
  <c r="D52" i="21"/>
  <c r="D51" i="21"/>
  <c r="D50" i="21"/>
  <c r="B50" i="21"/>
  <c r="D49" i="21"/>
  <c r="D48" i="21"/>
  <c r="D47" i="21"/>
  <c r="D46" i="21"/>
  <c r="D45" i="21"/>
  <c r="D44" i="21"/>
  <c r="D43" i="21"/>
  <c r="D42" i="21"/>
  <c r="B42" i="21"/>
  <c r="D41" i="21"/>
  <c r="D40" i="21"/>
  <c r="D39" i="21"/>
  <c r="D38" i="21"/>
  <c r="D37" i="21"/>
  <c r="D36" i="21"/>
  <c r="D35" i="21"/>
  <c r="D34" i="21"/>
  <c r="B34" i="21"/>
  <c r="D33" i="21"/>
  <c r="D32" i="21"/>
  <c r="D31" i="21"/>
  <c r="D30" i="21"/>
  <c r="D29" i="21"/>
  <c r="D28" i="21"/>
  <c r="D27" i="21"/>
  <c r="D26" i="21"/>
  <c r="B26" i="21"/>
  <c r="D25" i="21"/>
  <c r="D24" i="21"/>
  <c r="D23" i="21"/>
  <c r="D22" i="21"/>
  <c r="D21" i="21"/>
  <c r="D20" i="21"/>
  <c r="D19" i="21"/>
  <c r="D18" i="21"/>
  <c r="B18" i="21"/>
  <c r="D17" i="21"/>
  <c r="D16" i="21"/>
  <c r="D15" i="21"/>
  <c r="D14" i="21"/>
  <c r="D13" i="21"/>
  <c r="D12" i="21"/>
  <c r="D11" i="21"/>
  <c r="O10" i="21"/>
  <c r="K6" i="21" s="1"/>
  <c r="K10" i="21"/>
  <c r="G10" i="21"/>
  <c r="D10" i="21"/>
  <c r="G9" i="21"/>
  <c r="H10" i="21" s="1"/>
  <c r="D9" i="21"/>
  <c r="D8" i="21"/>
  <c r="O10" i="11"/>
  <c r="G14" i="11"/>
  <c r="G38" i="11"/>
  <c r="B10" i="11"/>
  <c r="B18" i="11"/>
  <c r="B26" i="11"/>
  <c r="B34" i="11"/>
  <c r="B42" i="11"/>
  <c r="B47" i="11"/>
  <c r="B50" i="11"/>
  <c r="B58" i="11"/>
  <c r="B66" i="11"/>
  <c r="B4" i="11"/>
  <c r="O10" i="10"/>
  <c r="G8" i="10"/>
  <c r="G8" i="11" s="1"/>
  <c r="G10" i="10"/>
  <c r="G10" i="11" s="1"/>
  <c r="G11" i="10"/>
  <c r="G16" i="10"/>
  <c r="G18" i="10"/>
  <c r="G18" i="22" s="1"/>
  <c r="G19" i="10"/>
  <c r="G24" i="10"/>
  <c r="G26" i="10"/>
  <c r="G26" i="22" s="1"/>
  <c r="G27" i="10"/>
  <c r="G32" i="10"/>
  <c r="G34" i="10"/>
  <c r="G34" i="22" s="1"/>
  <c r="G35" i="10"/>
  <c r="G40" i="10"/>
  <c r="G42" i="10"/>
  <c r="G42" i="22" s="1"/>
  <c r="G43" i="10"/>
  <c r="G48" i="10"/>
  <c r="G50" i="10"/>
  <c r="G50" i="22" s="1"/>
  <c r="G51" i="10"/>
  <c r="G56" i="10"/>
  <c r="G58" i="10"/>
  <c r="G58" i="22" s="1"/>
  <c r="G59" i="10"/>
  <c r="G64" i="10"/>
  <c r="G66" i="10"/>
  <c r="G66" i="22" s="1"/>
  <c r="G7" i="10"/>
  <c r="B10" i="10"/>
  <c r="B10" i="22" s="1"/>
  <c r="B12" i="10"/>
  <c r="B14" i="10"/>
  <c r="B14" i="21" s="1"/>
  <c r="B15" i="10"/>
  <c r="B18" i="10"/>
  <c r="B18" i="22" s="1"/>
  <c r="B22" i="10"/>
  <c r="B22" i="21" s="1"/>
  <c r="B23" i="10"/>
  <c r="B26" i="10"/>
  <c r="B26" i="22" s="1"/>
  <c r="B28" i="10"/>
  <c r="B30" i="10"/>
  <c r="B30" i="21" s="1"/>
  <c r="B31" i="10"/>
  <c r="B34" i="10"/>
  <c r="B34" i="22" s="1"/>
  <c r="B38" i="10"/>
  <c r="B38" i="21" s="1"/>
  <c r="B39" i="10"/>
  <c r="B42" i="10"/>
  <c r="B42" i="22" s="1"/>
  <c r="B44" i="10"/>
  <c r="B46" i="10"/>
  <c r="B46" i="21" s="1"/>
  <c r="B47" i="10"/>
  <c r="B50" i="10"/>
  <c r="B50" i="22" s="1"/>
  <c r="B54" i="10"/>
  <c r="B54" i="21" s="1"/>
  <c r="B55" i="10"/>
  <c r="B58" i="10"/>
  <c r="B58" i="22" s="1"/>
  <c r="B60" i="10"/>
  <c r="B62" i="10"/>
  <c r="B62" i="21" s="1"/>
  <c r="B63" i="10"/>
  <c r="B66" i="10"/>
  <c r="B66" i="22" s="1"/>
  <c r="G4" i="10"/>
  <c r="O10" i="5"/>
  <c r="G8" i="5"/>
  <c r="G9" i="5"/>
  <c r="G9" i="10" s="1"/>
  <c r="G10" i="5"/>
  <c r="G11" i="5"/>
  <c r="G12" i="5"/>
  <c r="G12" i="10" s="1"/>
  <c r="G13" i="5"/>
  <c r="G13" i="10" s="1"/>
  <c r="G14" i="5"/>
  <c r="G14" i="10" s="1"/>
  <c r="G15" i="5"/>
  <c r="G15" i="10" s="1"/>
  <c r="G16" i="5"/>
  <c r="G17" i="5"/>
  <c r="G17" i="10" s="1"/>
  <c r="G18" i="5"/>
  <c r="G19" i="5"/>
  <c r="G20" i="5"/>
  <c r="G20" i="10" s="1"/>
  <c r="G21" i="5"/>
  <c r="G21" i="10" s="1"/>
  <c r="G22" i="5"/>
  <c r="G22" i="10" s="1"/>
  <c r="G22" i="11" s="1"/>
  <c r="G23" i="5"/>
  <c r="G23" i="10" s="1"/>
  <c r="G24" i="5"/>
  <c r="G25" i="5"/>
  <c r="G25" i="10" s="1"/>
  <c r="G26" i="5"/>
  <c r="G27" i="5"/>
  <c r="G28" i="5"/>
  <c r="G28" i="10" s="1"/>
  <c r="G29" i="5"/>
  <c r="G29" i="10" s="1"/>
  <c r="G30" i="5"/>
  <c r="G30" i="10" s="1"/>
  <c r="G30" i="11" s="1"/>
  <c r="G31" i="5"/>
  <c r="G31" i="10" s="1"/>
  <c r="G32" i="5"/>
  <c r="G33" i="5"/>
  <c r="G33" i="10" s="1"/>
  <c r="G34" i="5"/>
  <c r="G35" i="5"/>
  <c r="G36" i="5"/>
  <c r="G36" i="10" s="1"/>
  <c r="G37" i="5"/>
  <c r="G37" i="10" s="1"/>
  <c r="G38" i="5"/>
  <c r="G38" i="10" s="1"/>
  <c r="G39" i="5"/>
  <c r="G39" i="10" s="1"/>
  <c r="G40" i="5"/>
  <c r="G41" i="5"/>
  <c r="G41" i="10" s="1"/>
  <c r="G42" i="5"/>
  <c r="G43" i="5"/>
  <c r="G44" i="5"/>
  <c r="G44" i="10" s="1"/>
  <c r="G45" i="5"/>
  <c r="G45" i="10" s="1"/>
  <c r="G46" i="5"/>
  <c r="G46" i="10" s="1"/>
  <c r="G47" i="5"/>
  <c r="G47" i="10" s="1"/>
  <c r="G48" i="5"/>
  <c r="G49" i="5"/>
  <c r="G49" i="10" s="1"/>
  <c r="G50" i="5"/>
  <c r="G51" i="5"/>
  <c r="G52" i="5"/>
  <c r="G52" i="10" s="1"/>
  <c r="G53" i="5"/>
  <c r="G53" i="10" s="1"/>
  <c r="G54" i="5"/>
  <c r="G54" i="10" s="1"/>
  <c r="G55" i="5"/>
  <c r="G55" i="10" s="1"/>
  <c r="G56" i="5"/>
  <c r="G57" i="5"/>
  <c r="G57" i="10" s="1"/>
  <c r="G58" i="5"/>
  <c r="G59" i="5"/>
  <c r="G60" i="5"/>
  <c r="G60" i="10" s="1"/>
  <c r="G61" i="5"/>
  <c r="G61" i="10" s="1"/>
  <c r="G62" i="5"/>
  <c r="G62" i="10" s="1"/>
  <c r="G62" i="11" s="1"/>
  <c r="G63" i="5"/>
  <c r="G63" i="10" s="1"/>
  <c r="G64" i="5"/>
  <c r="G65" i="5"/>
  <c r="G65" i="10" s="1"/>
  <c r="G66" i="5"/>
  <c r="G7" i="5"/>
  <c r="G4" i="5"/>
  <c r="B8" i="5"/>
  <c r="B8" i="10" s="1"/>
  <c r="B9" i="5"/>
  <c r="B9" i="10" s="1"/>
  <c r="B10" i="5"/>
  <c r="B11" i="5"/>
  <c r="B11" i="10" s="1"/>
  <c r="B12" i="5"/>
  <c r="B13" i="5"/>
  <c r="B13" i="10" s="1"/>
  <c r="B14" i="5"/>
  <c r="B15" i="5"/>
  <c r="B16" i="5"/>
  <c r="B16" i="10" s="1"/>
  <c r="B17" i="5"/>
  <c r="B17" i="10" s="1"/>
  <c r="B18" i="5"/>
  <c r="B19" i="5"/>
  <c r="B19" i="10" s="1"/>
  <c r="B20" i="5"/>
  <c r="B20" i="10" s="1"/>
  <c r="B21" i="5"/>
  <c r="B21" i="10" s="1"/>
  <c r="B22" i="5"/>
  <c r="B23" i="5"/>
  <c r="B24" i="5"/>
  <c r="B24" i="10" s="1"/>
  <c r="B25" i="5"/>
  <c r="B25" i="10" s="1"/>
  <c r="B26" i="5"/>
  <c r="B27" i="5"/>
  <c r="B27" i="10" s="1"/>
  <c r="B28" i="5"/>
  <c r="B29" i="5"/>
  <c r="B29" i="10" s="1"/>
  <c r="B30" i="5"/>
  <c r="B31" i="5"/>
  <c r="B32" i="5"/>
  <c r="B32" i="10" s="1"/>
  <c r="B33" i="5"/>
  <c r="B33" i="10" s="1"/>
  <c r="B34" i="5"/>
  <c r="B35" i="5"/>
  <c r="B35" i="10" s="1"/>
  <c r="B36" i="5"/>
  <c r="B36" i="10" s="1"/>
  <c r="B37" i="5"/>
  <c r="B37" i="10" s="1"/>
  <c r="B38" i="5"/>
  <c r="B39" i="5"/>
  <c r="B40" i="5"/>
  <c r="B40" i="10" s="1"/>
  <c r="B41" i="5"/>
  <c r="B41" i="10" s="1"/>
  <c r="B42" i="5"/>
  <c r="B43" i="5"/>
  <c r="B43" i="10" s="1"/>
  <c r="B44" i="5"/>
  <c r="B45" i="5"/>
  <c r="B45" i="10" s="1"/>
  <c r="B46" i="5"/>
  <c r="B47" i="5"/>
  <c r="B48" i="5"/>
  <c r="B48" i="10" s="1"/>
  <c r="B49" i="5"/>
  <c r="B49" i="10" s="1"/>
  <c r="B50" i="5"/>
  <c r="B51" i="5"/>
  <c r="B51" i="10" s="1"/>
  <c r="B52" i="5"/>
  <c r="B52" i="10" s="1"/>
  <c r="B53" i="5"/>
  <c r="B53" i="10" s="1"/>
  <c r="B54" i="5"/>
  <c r="B55" i="5"/>
  <c r="B56" i="5"/>
  <c r="B56" i="10" s="1"/>
  <c r="B57" i="5"/>
  <c r="B57" i="10" s="1"/>
  <c r="B58" i="5"/>
  <c r="B59" i="5"/>
  <c r="B59" i="10" s="1"/>
  <c r="B60" i="5"/>
  <c r="B61" i="5"/>
  <c r="B61" i="10" s="1"/>
  <c r="B62" i="5"/>
  <c r="B63" i="5"/>
  <c r="B64" i="5"/>
  <c r="B64" i="10" s="1"/>
  <c r="B65" i="5"/>
  <c r="B65" i="10" s="1"/>
  <c r="B66" i="5"/>
  <c r="B7" i="5"/>
  <c r="B7" i="10" s="1"/>
  <c r="B4" i="5"/>
  <c r="B52" i="11" l="1"/>
  <c r="B52" i="22"/>
  <c r="B52" i="21"/>
  <c r="B36" i="11"/>
  <c r="B36" i="22"/>
  <c r="B36" i="21"/>
  <c r="B20" i="11"/>
  <c r="B20" i="22"/>
  <c r="B20" i="21"/>
  <c r="B37" i="22"/>
  <c r="B37" i="11"/>
  <c r="B37" i="21"/>
  <c r="G65" i="11"/>
  <c r="G65" i="22"/>
  <c r="G65" i="21"/>
  <c r="G49" i="22"/>
  <c r="H50" i="22" s="1"/>
  <c r="G49" i="11"/>
  <c r="G49" i="21"/>
  <c r="G17" i="11"/>
  <c r="G17" i="22"/>
  <c r="G17" i="21"/>
  <c r="G27" i="11"/>
  <c r="G27" i="22"/>
  <c r="H27" i="22" s="1"/>
  <c r="G27" i="21"/>
  <c r="H27" i="21" s="1"/>
  <c r="G55" i="11"/>
  <c r="G55" i="22"/>
  <c r="G55" i="21"/>
  <c r="G15" i="11"/>
  <c r="G15" i="22"/>
  <c r="G15" i="21"/>
  <c r="H66" i="22"/>
  <c r="G24" i="21"/>
  <c r="H24" i="21" s="1"/>
  <c r="G24" i="11"/>
  <c r="G24" i="22"/>
  <c r="B61" i="22"/>
  <c r="B61" i="11"/>
  <c r="B61" i="21"/>
  <c r="B53" i="22"/>
  <c r="B53" i="11"/>
  <c r="B53" i="21"/>
  <c r="B45" i="22"/>
  <c r="B45" i="11"/>
  <c r="B45" i="21"/>
  <c r="B29" i="22"/>
  <c r="B29" i="11"/>
  <c r="B29" i="21"/>
  <c r="B21" i="22"/>
  <c r="B21" i="11"/>
  <c r="B21" i="21"/>
  <c r="B13" i="11"/>
  <c r="B13" i="22"/>
  <c r="B13" i="21"/>
  <c r="B60" i="11"/>
  <c r="B60" i="22"/>
  <c r="B60" i="21"/>
  <c r="B44" i="11"/>
  <c r="B44" i="22"/>
  <c r="B44" i="21"/>
  <c r="B28" i="11"/>
  <c r="B28" i="22"/>
  <c r="B28" i="21"/>
  <c r="B12" i="11"/>
  <c r="B12" i="22"/>
  <c r="B12" i="21"/>
  <c r="G51" i="11"/>
  <c r="G51" i="21"/>
  <c r="G51" i="22"/>
  <c r="G32" i="21"/>
  <c r="G32" i="11"/>
  <c r="G32" i="22"/>
  <c r="G57" i="11"/>
  <c r="G57" i="22"/>
  <c r="H58" i="22" s="1"/>
  <c r="G57" i="21"/>
  <c r="G41" i="22"/>
  <c r="G41" i="11"/>
  <c r="G41" i="21"/>
  <c r="G33" i="22"/>
  <c r="G33" i="11"/>
  <c r="G33" i="21"/>
  <c r="H33" i="21" s="1"/>
  <c r="G25" i="11"/>
  <c r="G25" i="22"/>
  <c r="G25" i="21"/>
  <c r="G9" i="22"/>
  <c r="G9" i="11"/>
  <c r="B7" i="22"/>
  <c r="B7" i="11"/>
  <c r="B7" i="21"/>
  <c r="B59" i="22"/>
  <c r="B59" i="11"/>
  <c r="B59" i="21"/>
  <c r="B51" i="22"/>
  <c r="B51" i="11"/>
  <c r="B51" i="21"/>
  <c r="B43" i="22"/>
  <c r="B43" i="11"/>
  <c r="B43" i="21"/>
  <c r="B35" i="22"/>
  <c r="B35" i="11"/>
  <c r="B35" i="21"/>
  <c r="B27" i="22"/>
  <c r="B27" i="11"/>
  <c r="B27" i="21"/>
  <c r="B19" i="22"/>
  <c r="B19" i="11"/>
  <c r="B19" i="21"/>
  <c r="B11" i="11"/>
  <c r="B11" i="22"/>
  <c r="B11" i="21"/>
  <c r="B55" i="22"/>
  <c r="B55" i="11"/>
  <c r="B55" i="21"/>
  <c r="B39" i="11"/>
  <c r="B39" i="22"/>
  <c r="B39" i="21"/>
  <c r="B23" i="22"/>
  <c r="B23" i="11"/>
  <c r="B23" i="21"/>
  <c r="G7" i="11"/>
  <c r="G7" i="21"/>
  <c r="G7" i="22"/>
  <c r="G48" i="21"/>
  <c r="G48" i="11"/>
  <c r="G48" i="22"/>
  <c r="H26" i="22"/>
  <c r="G63" i="11"/>
  <c r="G63" i="22"/>
  <c r="G63" i="21"/>
  <c r="B33" i="22"/>
  <c r="B33" i="11"/>
  <c r="B33" i="21"/>
  <c r="B9" i="21"/>
  <c r="B9" i="22"/>
  <c r="B9" i="11"/>
  <c r="G46" i="22"/>
  <c r="G46" i="21"/>
  <c r="H46" i="21" s="1"/>
  <c r="G22" i="22"/>
  <c r="G22" i="21"/>
  <c r="G14" i="22"/>
  <c r="H14" i="22" s="1"/>
  <c r="G14" i="21"/>
  <c r="G4" i="22"/>
  <c r="G4" i="11"/>
  <c r="G64" i="21"/>
  <c r="G64" i="11"/>
  <c r="G64" i="22"/>
  <c r="H42" i="22"/>
  <c r="G19" i="11"/>
  <c r="G19" i="22"/>
  <c r="G19" i="21"/>
  <c r="G39" i="11"/>
  <c r="G39" i="22"/>
  <c r="H39" i="22" s="1"/>
  <c r="G39" i="21"/>
  <c r="G31" i="11"/>
  <c r="G31" i="22"/>
  <c r="G31" i="21"/>
  <c r="H31" i="21" s="1"/>
  <c r="G23" i="11"/>
  <c r="G23" i="22"/>
  <c r="H23" i="22" s="1"/>
  <c r="G23" i="21"/>
  <c r="H23" i="21" s="1"/>
  <c r="G43" i="11"/>
  <c r="G43" i="22"/>
  <c r="H43" i="22" s="1"/>
  <c r="G43" i="21"/>
  <c r="B65" i="22"/>
  <c r="B65" i="11"/>
  <c r="B65" i="21"/>
  <c r="G54" i="22"/>
  <c r="G54" i="21"/>
  <c r="G38" i="22"/>
  <c r="H38" i="22" s="1"/>
  <c r="G38" i="21"/>
  <c r="H38" i="21" s="1"/>
  <c r="G4" i="21"/>
  <c r="B49" i="22"/>
  <c r="B49" i="11"/>
  <c r="B49" i="21"/>
  <c r="B17" i="22"/>
  <c r="B17" i="11"/>
  <c r="B17" i="21"/>
  <c r="G30" i="22"/>
  <c r="H30" i="22" s="1"/>
  <c r="G30" i="21"/>
  <c r="B64" i="22"/>
  <c r="B64" i="21"/>
  <c r="B64" i="11"/>
  <c r="B56" i="22"/>
  <c r="B56" i="21"/>
  <c r="B56" i="11"/>
  <c r="B48" i="22"/>
  <c r="B48" i="21"/>
  <c r="B48" i="11"/>
  <c r="B40" i="22"/>
  <c r="B40" i="21"/>
  <c r="B40" i="11"/>
  <c r="B32" i="22"/>
  <c r="B32" i="21"/>
  <c r="B32" i="11"/>
  <c r="B24" i="22"/>
  <c r="B24" i="21"/>
  <c r="B24" i="11"/>
  <c r="B16" i="22"/>
  <c r="B16" i="21"/>
  <c r="B16" i="11"/>
  <c r="B8" i="21"/>
  <c r="B8" i="11"/>
  <c r="B8" i="22"/>
  <c r="G61" i="22"/>
  <c r="G61" i="21"/>
  <c r="G61" i="11"/>
  <c r="G53" i="22"/>
  <c r="H53" i="22" s="1"/>
  <c r="G53" i="21"/>
  <c r="G53" i="11"/>
  <c r="G45" i="22"/>
  <c r="H45" i="22" s="1"/>
  <c r="G45" i="21"/>
  <c r="G45" i="11"/>
  <c r="G37" i="22"/>
  <c r="H37" i="22" s="1"/>
  <c r="G37" i="21"/>
  <c r="G37" i="11"/>
  <c r="G29" i="22"/>
  <c r="G29" i="21"/>
  <c r="G29" i="11"/>
  <c r="G13" i="22"/>
  <c r="H13" i="22" s="1"/>
  <c r="G13" i="21"/>
  <c r="G13" i="11"/>
  <c r="G59" i="11"/>
  <c r="G59" i="22"/>
  <c r="G59" i="21"/>
  <c r="G40" i="21"/>
  <c r="G40" i="11"/>
  <c r="G40" i="22"/>
  <c r="H18" i="22"/>
  <c r="G60" i="21"/>
  <c r="H60" i="21" s="1"/>
  <c r="G60" i="22"/>
  <c r="G60" i="11"/>
  <c r="G52" i="21"/>
  <c r="H52" i="21" s="1"/>
  <c r="G52" i="22"/>
  <c r="H52" i="22" s="1"/>
  <c r="G52" i="11"/>
  <c r="G44" i="21"/>
  <c r="H44" i="21" s="1"/>
  <c r="G44" i="22"/>
  <c r="G44" i="11"/>
  <c r="G36" i="21"/>
  <c r="G36" i="22"/>
  <c r="H36" i="22" s="1"/>
  <c r="G36" i="11"/>
  <c r="G28" i="21"/>
  <c r="G28" i="22"/>
  <c r="H28" i="22" s="1"/>
  <c r="G28" i="11"/>
  <c r="G20" i="21"/>
  <c r="G20" i="22"/>
  <c r="H20" i="22" s="1"/>
  <c r="G20" i="11"/>
  <c r="G12" i="21"/>
  <c r="G12" i="22"/>
  <c r="G12" i="11"/>
  <c r="B63" i="22"/>
  <c r="B63" i="11"/>
  <c r="B63" i="21"/>
  <c r="B47" i="22"/>
  <c r="B47" i="21"/>
  <c r="B31" i="22"/>
  <c r="B31" i="11"/>
  <c r="B31" i="21"/>
  <c r="B15" i="22"/>
  <c r="B15" i="11"/>
  <c r="B15" i="21"/>
  <c r="G35" i="11"/>
  <c r="G35" i="21"/>
  <c r="G35" i="22"/>
  <c r="G16" i="21"/>
  <c r="H16" i="21" s="1"/>
  <c r="G16" i="11"/>
  <c r="G16" i="22"/>
  <c r="H16" i="22" s="1"/>
  <c r="G54" i="11"/>
  <c r="G47" i="11"/>
  <c r="G47" i="22"/>
  <c r="G47" i="21"/>
  <c r="B57" i="21"/>
  <c r="B57" i="22"/>
  <c r="B57" i="11"/>
  <c r="B41" i="21"/>
  <c r="B41" i="22"/>
  <c r="B41" i="11"/>
  <c r="B25" i="22"/>
  <c r="B25" i="11"/>
  <c r="B25" i="21"/>
  <c r="G62" i="22"/>
  <c r="H62" i="22" s="1"/>
  <c r="G62" i="21"/>
  <c r="H62" i="21" s="1"/>
  <c r="G21" i="22"/>
  <c r="G21" i="21"/>
  <c r="H21" i="21" s="1"/>
  <c r="G21" i="11"/>
  <c r="G56" i="21"/>
  <c r="H56" i="21" s="1"/>
  <c r="G56" i="11"/>
  <c r="G56" i="22"/>
  <c r="H56" i="22" s="1"/>
  <c r="H34" i="22"/>
  <c r="G11" i="11"/>
  <c r="G11" i="22"/>
  <c r="H11" i="22" s="1"/>
  <c r="G11" i="21"/>
  <c r="G46" i="11"/>
  <c r="K50" i="12"/>
  <c r="B10" i="21"/>
  <c r="M10" i="12"/>
  <c r="P57" i="12"/>
  <c r="B62" i="11"/>
  <c r="B54" i="11"/>
  <c r="B46" i="11"/>
  <c r="B38" i="11"/>
  <c r="B30" i="11"/>
  <c r="B22" i="11"/>
  <c r="B14" i="11"/>
  <c r="G66" i="11"/>
  <c r="G58" i="11"/>
  <c r="G50" i="11"/>
  <c r="G42" i="11"/>
  <c r="G34" i="11"/>
  <c r="G26" i="11"/>
  <c r="G18" i="11"/>
  <c r="M26" i="12"/>
  <c r="M36" i="12" s="1"/>
  <c r="M42" i="12" s="1"/>
  <c r="M67" i="12" s="1"/>
  <c r="G8" i="22"/>
  <c r="H8" i="22" s="1"/>
  <c r="G8" i="21"/>
  <c r="K12" i="21"/>
  <c r="K17" i="1" s="1"/>
  <c r="G18" i="21"/>
  <c r="H18" i="21" s="1"/>
  <c r="G26" i="21"/>
  <c r="H26" i="21" s="1"/>
  <c r="G34" i="21"/>
  <c r="G42" i="21"/>
  <c r="H42" i="21" s="1"/>
  <c r="G50" i="21"/>
  <c r="H50" i="21" s="1"/>
  <c r="G58" i="21"/>
  <c r="H58" i="21" s="1"/>
  <c r="G66" i="21"/>
  <c r="K12" i="22"/>
  <c r="K18" i="1" s="1"/>
  <c r="H10" i="22"/>
  <c r="G45" i="24"/>
  <c r="L49" i="12" s="1"/>
  <c r="D45" i="24"/>
  <c r="I49" i="12" s="1"/>
  <c r="E45" i="24"/>
  <c r="J49" i="12" s="1"/>
  <c r="H54" i="12"/>
  <c r="O57" i="12"/>
  <c r="J6" i="13" s="1"/>
  <c r="F45" i="24"/>
  <c r="K49" i="12" s="1"/>
  <c r="K56" i="12" s="1"/>
  <c r="H26" i="12"/>
  <c r="K36" i="12"/>
  <c r="K42" i="12" s="1"/>
  <c r="K67" i="12" s="1"/>
  <c r="J50" i="12"/>
  <c r="L36" i="12"/>
  <c r="L42" i="12" s="1"/>
  <c r="L67" i="12" s="1"/>
  <c r="I50" i="12"/>
  <c r="H12" i="22"/>
  <c r="H17" i="22"/>
  <c r="H21" i="22"/>
  <c r="H25" i="22"/>
  <c r="H33" i="22"/>
  <c r="H49" i="22"/>
  <c r="H51" i="22"/>
  <c r="H55" i="22"/>
  <c r="H59" i="22"/>
  <c r="H61" i="22"/>
  <c r="H65" i="22"/>
  <c r="H15" i="22"/>
  <c r="H19" i="22"/>
  <c r="H35" i="22"/>
  <c r="H41" i="22"/>
  <c r="H47" i="22"/>
  <c r="H63" i="22"/>
  <c r="H9" i="21"/>
  <c r="H11" i="21"/>
  <c r="H39" i="21" l="1"/>
  <c r="H59" i="21"/>
  <c r="H53" i="21"/>
  <c r="H54" i="21"/>
  <c r="H32" i="22"/>
  <c r="H15" i="21"/>
  <c r="H40" i="21"/>
  <c r="H64" i="21"/>
  <c r="H65" i="21"/>
  <c r="H47" i="21"/>
  <c r="H35" i="21"/>
  <c r="H54" i="22"/>
  <c r="H19" i="21"/>
  <c r="H17" i="21"/>
  <c r="H34" i="21"/>
  <c r="H31" i="22"/>
  <c r="H57" i="22"/>
  <c r="H36" i="21"/>
  <c r="H60" i="22"/>
  <c r="H37" i="21"/>
  <c r="H14" i="21"/>
  <c r="H48" i="22"/>
  <c r="H41" i="21"/>
  <c r="H32" i="21"/>
  <c r="L50" i="12"/>
  <c r="H61" i="21"/>
  <c r="H9" i="22"/>
  <c r="H55" i="21"/>
  <c r="H29" i="22"/>
  <c r="M50" i="12"/>
  <c r="M56" i="12" s="1"/>
  <c r="H12" i="21"/>
  <c r="H20" i="21"/>
  <c r="H44" i="22"/>
  <c r="H13" i="21"/>
  <c r="H22" i="21"/>
  <c r="H48" i="21"/>
  <c r="H25" i="21"/>
  <c r="H51" i="21"/>
  <c r="H24" i="22"/>
  <c r="H49" i="21"/>
  <c r="H63" i="21"/>
  <c r="H28" i="21"/>
  <c r="H29" i="21"/>
  <c r="H46" i="22"/>
  <c r="H66" i="21"/>
  <c r="H8" i="21"/>
  <c r="H40" i="22"/>
  <c r="H45" i="21"/>
  <c r="H30" i="21"/>
  <c r="H43" i="21"/>
  <c r="H64" i="22"/>
  <c r="H22" i="22"/>
  <c r="H57" i="21"/>
  <c r="I56" i="12"/>
  <c r="L56" i="12"/>
  <c r="J56" i="12"/>
  <c r="H36" i="12"/>
  <c r="H42" i="12" s="1"/>
  <c r="H67" i="12" s="1"/>
  <c r="H50" i="12"/>
  <c r="O8" i="22" l="1"/>
  <c r="O6" i="21"/>
  <c r="O8" i="21"/>
  <c r="J12" i="13"/>
  <c r="H56" i="12"/>
  <c r="H58" i="12" s="1"/>
  <c r="O6" i="22"/>
  <c r="H66" i="12"/>
  <c r="Q10" i="4" l="1"/>
  <c r="B4" i="4" l="1"/>
  <c r="C19" i="3"/>
  <c r="C18" i="3"/>
  <c r="D6" i="2"/>
  <c r="G5" i="16"/>
  <c r="F8" i="18" s="1"/>
  <c r="Q5" i="16"/>
  <c r="P5" i="16"/>
  <c r="H18" i="1"/>
  <c r="I18" i="1"/>
  <c r="J18" i="1"/>
  <c r="M11" i="16"/>
  <c r="F12" i="2"/>
  <c r="B15" i="1"/>
  <c r="B16" i="1"/>
  <c r="B17" i="1"/>
  <c r="B14" i="1"/>
  <c r="B2" i="1"/>
  <c r="B2" i="2"/>
  <c r="B2" i="19"/>
  <c r="P13" i="18"/>
  <c r="L13" i="18"/>
  <c r="K13" i="18"/>
  <c r="J13" i="18"/>
  <c r="H13" i="18"/>
  <c r="G13" i="18"/>
  <c r="D13" i="18"/>
  <c r="P12" i="18"/>
  <c r="K12" i="18"/>
  <c r="J12" i="18"/>
  <c r="H12" i="18"/>
  <c r="G12" i="18"/>
  <c r="E12" i="18"/>
  <c r="D12" i="18"/>
  <c r="P11" i="18"/>
  <c r="L11" i="18"/>
  <c r="K11" i="18"/>
  <c r="J11" i="18"/>
  <c r="H11" i="18"/>
  <c r="G11" i="18"/>
  <c r="E11" i="18"/>
  <c r="D11" i="18"/>
  <c r="P10" i="18"/>
  <c r="L10" i="18"/>
  <c r="K10" i="18"/>
  <c r="J10" i="18"/>
  <c r="H10" i="18"/>
  <c r="G10" i="18"/>
  <c r="E10" i="18"/>
  <c r="D10" i="18"/>
  <c r="P9" i="18"/>
  <c r="L9" i="18"/>
  <c r="K9" i="18"/>
  <c r="J9" i="18"/>
  <c r="H9" i="18"/>
  <c r="G9" i="18"/>
  <c r="D9" i="18"/>
  <c r="H8" i="18"/>
  <c r="B3" i="18"/>
  <c r="B25" i="18" s="1"/>
  <c r="E8" i="17"/>
  <c r="B3" i="17"/>
  <c r="Q11" i="16"/>
  <c r="P11" i="16"/>
  <c r="O11" i="16"/>
  <c r="G11" i="16"/>
  <c r="F13" i="18" s="1"/>
  <c r="E13" i="18"/>
  <c r="C11" i="16"/>
  <c r="Q10" i="16"/>
  <c r="P10" i="16"/>
  <c r="M10" i="16"/>
  <c r="L12" i="18"/>
  <c r="G10" i="16"/>
  <c r="F12" i="18" s="1"/>
  <c r="O10" i="16"/>
  <c r="C10" i="16"/>
  <c r="Q9" i="16"/>
  <c r="P9" i="16"/>
  <c r="O9" i="16"/>
  <c r="M9" i="16"/>
  <c r="G9" i="16"/>
  <c r="F11" i="18" s="1"/>
  <c r="C9" i="16"/>
  <c r="Q8" i="16"/>
  <c r="P8" i="16"/>
  <c r="O8" i="16"/>
  <c r="M8" i="16"/>
  <c r="G8" i="16"/>
  <c r="F10" i="18" s="1"/>
  <c r="C8" i="16"/>
  <c r="Q7" i="16"/>
  <c r="P7" i="16"/>
  <c r="M7" i="16"/>
  <c r="G7" i="16"/>
  <c r="F9" i="18" s="1"/>
  <c r="E9" i="18"/>
  <c r="L8" i="18"/>
  <c r="J8" i="18"/>
  <c r="N17" i="27" s="1"/>
  <c r="N19" i="27" s="1"/>
  <c r="N21" i="27" s="1"/>
  <c r="E8" i="18"/>
  <c r="B5" i="16"/>
  <c r="B8" i="18" s="1"/>
  <c r="E10" i="15"/>
  <c r="D10" i="15"/>
  <c r="C10" i="15"/>
  <c r="E9" i="15"/>
  <c r="D9" i="15"/>
  <c r="C9" i="15"/>
  <c r="E8" i="15"/>
  <c r="D8" i="15"/>
  <c r="E7" i="15"/>
  <c r="D7" i="15"/>
  <c r="C7" i="15"/>
  <c r="E6" i="15"/>
  <c r="B2" i="15"/>
  <c r="E45" i="14"/>
  <c r="E31" i="14"/>
  <c r="L16" i="14"/>
  <c r="M16" i="14" s="1"/>
  <c r="N16" i="14" s="1"/>
  <c r="O16" i="14" s="1"/>
  <c r="P16" i="14" s="1"/>
  <c r="Q16" i="14" s="1"/>
  <c r="R16" i="14" s="1"/>
  <c r="S16" i="14" s="1"/>
  <c r="B2" i="14"/>
  <c r="F58" i="13"/>
  <c r="E47" i="14"/>
  <c r="E44" i="14"/>
  <c r="E33" i="13"/>
  <c r="L16" i="13"/>
  <c r="M16" i="13" s="1"/>
  <c r="N16" i="13" s="1"/>
  <c r="O16" i="13" s="1"/>
  <c r="P16" i="13" s="1"/>
  <c r="Q16" i="13" s="1"/>
  <c r="R16" i="13" s="1"/>
  <c r="S16" i="13" s="1"/>
  <c r="J8" i="13"/>
  <c r="J8" i="14" s="1"/>
  <c r="K8" i="14" s="1"/>
  <c r="L8" i="14" s="1"/>
  <c r="M8" i="14" s="1"/>
  <c r="N8" i="14" s="1"/>
  <c r="O8" i="14" s="1"/>
  <c r="P8" i="14" s="1"/>
  <c r="B2" i="13"/>
  <c r="B67" i="12"/>
  <c r="B66" i="12"/>
  <c r="I53" i="12"/>
  <c r="B29" i="12"/>
  <c r="H47" i="12"/>
  <c r="H64" i="12" s="1"/>
  <c r="B2" i="12"/>
  <c r="H66" i="11"/>
  <c r="D66" i="11"/>
  <c r="H65" i="11"/>
  <c r="D65" i="11"/>
  <c r="H64" i="11"/>
  <c r="D64" i="11"/>
  <c r="H63" i="11"/>
  <c r="D63" i="11"/>
  <c r="H62" i="11"/>
  <c r="D62" i="11"/>
  <c r="H61" i="11"/>
  <c r="D61" i="11"/>
  <c r="H60" i="11"/>
  <c r="D60" i="11"/>
  <c r="H59" i="11"/>
  <c r="D59" i="11"/>
  <c r="H58" i="11"/>
  <c r="D58" i="11"/>
  <c r="H57" i="11"/>
  <c r="D57" i="11"/>
  <c r="H56" i="11"/>
  <c r="D56" i="11"/>
  <c r="H55" i="11"/>
  <c r="D55" i="11"/>
  <c r="H54" i="11"/>
  <c r="D54" i="11"/>
  <c r="H53" i="11"/>
  <c r="D53" i="11"/>
  <c r="H52" i="11"/>
  <c r="D52" i="11"/>
  <c r="H51" i="11"/>
  <c r="D51" i="11"/>
  <c r="H50" i="11"/>
  <c r="D50" i="11"/>
  <c r="H49" i="11"/>
  <c r="D49" i="11"/>
  <c r="H48" i="11"/>
  <c r="D48" i="11"/>
  <c r="H47" i="11"/>
  <c r="D47" i="11"/>
  <c r="H46" i="11"/>
  <c r="D46" i="11"/>
  <c r="H45" i="11"/>
  <c r="D45" i="11"/>
  <c r="H44" i="11"/>
  <c r="D44" i="11"/>
  <c r="H43" i="11"/>
  <c r="D43" i="11"/>
  <c r="H42" i="11"/>
  <c r="D42" i="11"/>
  <c r="H41" i="11"/>
  <c r="D41" i="11"/>
  <c r="H40" i="11"/>
  <c r="D40" i="11"/>
  <c r="H39" i="11"/>
  <c r="D39" i="11"/>
  <c r="H38" i="11"/>
  <c r="D38" i="11"/>
  <c r="H37" i="11"/>
  <c r="D37" i="11"/>
  <c r="H36" i="11"/>
  <c r="D36" i="11"/>
  <c r="H35" i="11"/>
  <c r="D35" i="11"/>
  <c r="H34" i="11"/>
  <c r="D34" i="11"/>
  <c r="H33" i="11"/>
  <c r="D33" i="11"/>
  <c r="H32" i="11"/>
  <c r="D32" i="11"/>
  <c r="H31" i="11"/>
  <c r="D31" i="11"/>
  <c r="H30" i="11"/>
  <c r="D30" i="11"/>
  <c r="H29" i="11"/>
  <c r="D29" i="11"/>
  <c r="H28" i="11"/>
  <c r="D28" i="11"/>
  <c r="H27" i="11"/>
  <c r="D27" i="11"/>
  <c r="H26" i="11"/>
  <c r="D26" i="11"/>
  <c r="H25" i="11"/>
  <c r="D25" i="11"/>
  <c r="H24" i="11"/>
  <c r="D24" i="11"/>
  <c r="H23" i="11"/>
  <c r="D23" i="11"/>
  <c r="H22" i="11"/>
  <c r="D22" i="11"/>
  <c r="H21" i="11"/>
  <c r="D21" i="11"/>
  <c r="H20" i="11"/>
  <c r="D20" i="11"/>
  <c r="H19" i="11"/>
  <c r="D19" i="11"/>
  <c r="H18" i="11"/>
  <c r="D18" i="11"/>
  <c r="H17" i="11"/>
  <c r="D17" i="11"/>
  <c r="H16" i="11"/>
  <c r="D16" i="11"/>
  <c r="H15" i="11"/>
  <c r="D15" i="11"/>
  <c r="H14" i="11"/>
  <c r="D14" i="11"/>
  <c r="H13" i="11"/>
  <c r="D13" i="11"/>
  <c r="H12" i="11"/>
  <c r="D12" i="11"/>
  <c r="H11" i="11"/>
  <c r="D11" i="11"/>
  <c r="K6" i="11"/>
  <c r="K10" i="11"/>
  <c r="H10" i="11"/>
  <c r="D10" i="11"/>
  <c r="H9" i="11"/>
  <c r="D9" i="11"/>
  <c r="H8" i="11"/>
  <c r="D8" i="11"/>
  <c r="H66" i="10"/>
  <c r="D66" i="10"/>
  <c r="H65" i="10"/>
  <c r="D65" i="10"/>
  <c r="H64" i="10"/>
  <c r="D64" i="10"/>
  <c r="H63" i="10"/>
  <c r="D63" i="10"/>
  <c r="H62" i="10"/>
  <c r="D62" i="10"/>
  <c r="H61" i="10"/>
  <c r="D61" i="10"/>
  <c r="H60" i="10"/>
  <c r="D60" i="10"/>
  <c r="H59" i="10"/>
  <c r="D59" i="10"/>
  <c r="H58" i="10"/>
  <c r="D58" i="10"/>
  <c r="H57" i="10"/>
  <c r="D57" i="10"/>
  <c r="H56" i="10"/>
  <c r="D56" i="10"/>
  <c r="H55" i="10"/>
  <c r="D55" i="10"/>
  <c r="H54" i="10"/>
  <c r="D54" i="10"/>
  <c r="H53" i="10"/>
  <c r="D53" i="10"/>
  <c r="H52" i="10"/>
  <c r="D52" i="10"/>
  <c r="H51" i="10"/>
  <c r="D51" i="10"/>
  <c r="H50" i="10"/>
  <c r="D50" i="10"/>
  <c r="H49" i="10"/>
  <c r="D49" i="10"/>
  <c r="H48" i="10"/>
  <c r="D48" i="10"/>
  <c r="H47" i="10"/>
  <c r="D47" i="10"/>
  <c r="H46" i="10"/>
  <c r="D46" i="10"/>
  <c r="H45" i="10"/>
  <c r="D45" i="10"/>
  <c r="H44" i="10"/>
  <c r="D44" i="10"/>
  <c r="H43" i="10"/>
  <c r="D43" i="10"/>
  <c r="H42" i="10"/>
  <c r="D42" i="10"/>
  <c r="H41" i="10"/>
  <c r="D41" i="10"/>
  <c r="H40" i="10"/>
  <c r="D40" i="10"/>
  <c r="H39" i="10"/>
  <c r="D39" i="10"/>
  <c r="H38" i="10"/>
  <c r="D38" i="10"/>
  <c r="H37" i="10"/>
  <c r="D37" i="10"/>
  <c r="H36" i="10"/>
  <c r="D36" i="10"/>
  <c r="H35" i="10"/>
  <c r="D35" i="10"/>
  <c r="H34" i="10"/>
  <c r="D34" i="10"/>
  <c r="H33" i="10"/>
  <c r="D33" i="10"/>
  <c r="H32" i="10"/>
  <c r="D32" i="10"/>
  <c r="H31" i="10"/>
  <c r="D31" i="10"/>
  <c r="H30" i="10"/>
  <c r="D30" i="10"/>
  <c r="H29" i="10"/>
  <c r="D29" i="10"/>
  <c r="H28" i="10"/>
  <c r="D28" i="10"/>
  <c r="H27" i="10"/>
  <c r="D27" i="10"/>
  <c r="H26" i="10"/>
  <c r="D26" i="10"/>
  <c r="H25" i="10"/>
  <c r="D25" i="10"/>
  <c r="H24" i="10"/>
  <c r="D24" i="10"/>
  <c r="H23" i="10"/>
  <c r="D23" i="10"/>
  <c r="H22" i="10"/>
  <c r="D22" i="10"/>
  <c r="H21" i="10"/>
  <c r="D21" i="10"/>
  <c r="H20" i="10"/>
  <c r="D20" i="10"/>
  <c r="H19" i="10"/>
  <c r="D19" i="10"/>
  <c r="H18" i="10"/>
  <c r="D18" i="10"/>
  <c r="H17" i="10"/>
  <c r="D17" i="10"/>
  <c r="H16" i="10"/>
  <c r="D16" i="10"/>
  <c r="H15" i="10"/>
  <c r="D15" i="10"/>
  <c r="H14" i="10"/>
  <c r="D14" i="10"/>
  <c r="H13" i="10"/>
  <c r="D13" i="10"/>
  <c r="H12" i="10"/>
  <c r="D12" i="10"/>
  <c r="H11" i="10"/>
  <c r="D11" i="10"/>
  <c r="K6" i="10"/>
  <c r="K10" i="10"/>
  <c r="H10" i="10"/>
  <c r="D10" i="10"/>
  <c r="H9" i="10"/>
  <c r="D9" i="10"/>
  <c r="H8" i="10"/>
  <c r="D8" i="10"/>
  <c r="H66" i="5"/>
  <c r="D66" i="5"/>
  <c r="H65" i="5"/>
  <c r="D65" i="5"/>
  <c r="H64" i="5"/>
  <c r="D64" i="5"/>
  <c r="H63" i="5"/>
  <c r="D63" i="5"/>
  <c r="H62" i="5"/>
  <c r="D62" i="5"/>
  <c r="H61" i="5"/>
  <c r="D61" i="5"/>
  <c r="H60" i="5"/>
  <c r="D60" i="5"/>
  <c r="H59" i="5"/>
  <c r="D59" i="5"/>
  <c r="H58" i="5"/>
  <c r="D58" i="5"/>
  <c r="H57" i="5"/>
  <c r="D57" i="5"/>
  <c r="H56" i="5"/>
  <c r="D56" i="5"/>
  <c r="H55" i="5"/>
  <c r="D55" i="5"/>
  <c r="H54" i="5"/>
  <c r="D54" i="5"/>
  <c r="H53" i="5"/>
  <c r="D53" i="5"/>
  <c r="H52" i="5"/>
  <c r="D52" i="5"/>
  <c r="H51" i="5"/>
  <c r="D51" i="5"/>
  <c r="H50" i="5"/>
  <c r="D50" i="5"/>
  <c r="H49" i="5"/>
  <c r="D49" i="5"/>
  <c r="H48" i="5"/>
  <c r="D48" i="5"/>
  <c r="H47" i="5"/>
  <c r="D47" i="5"/>
  <c r="H46" i="5"/>
  <c r="D46" i="5"/>
  <c r="H45" i="5"/>
  <c r="D45" i="5"/>
  <c r="H44" i="5"/>
  <c r="D44" i="5"/>
  <c r="H43" i="5"/>
  <c r="D43" i="5"/>
  <c r="H42" i="5"/>
  <c r="D42" i="5"/>
  <c r="H41" i="5"/>
  <c r="D41" i="5"/>
  <c r="H40" i="5"/>
  <c r="D40" i="5"/>
  <c r="H39" i="5"/>
  <c r="D39" i="5"/>
  <c r="H38" i="5"/>
  <c r="D38" i="5"/>
  <c r="H37" i="5"/>
  <c r="D37" i="5"/>
  <c r="H36" i="5"/>
  <c r="D36" i="5"/>
  <c r="H35" i="5"/>
  <c r="D35" i="5"/>
  <c r="H34" i="5"/>
  <c r="D34" i="5"/>
  <c r="H33" i="5"/>
  <c r="D33" i="5"/>
  <c r="H32" i="5"/>
  <c r="D32" i="5"/>
  <c r="H31" i="5"/>
  <c r="D31" i="5"/>
  <c r="H30" i="5"/>
  <c r="D30" i="5"/>
  <c r="H29" i="5"/>
  <c r="D29" i="5"/>
  <c r="H28" i="5"/>
  <c r="D28" i="5"/>
  <c r="H27" i="5"/>
  <c r="D27" i="5"/>
  <c r="H26" i="5"/>
  <c r="D26" i="5"/>
  <c r="H25" i="5"/>
  <c r="D25" i="5"/>
  <c r="H24" i="5"/>
  <c r="D24" i="5"/>
  <c r="H23" i="5"/>
  <c r="D23" i="5"/>
  <c r="H22" i="5"/>
  <c r="D22" i="5"/>
  <c r="H21" i="5"/>
  <c r="D21" i="5"/>
  <c r="H20" i="5"/>
  <c r="D20" i="5"/>
  <c r="H19" i="5"/>
  <c r="D19" i="5"/>
  <c r="H18" i="5"/>
  <c r="D18" i="5"/>
  <c r="H17" i="5"/>
  <c r="D17" i="5"/>
  <c r="H16" i="5"/>
  <c r="D16" i="5"/>
  <c r="H15" i="5"/>
  <c r="D15" i="5"/>
  <c r="H14" i="5"/>
  <c r="D14" i="5"/>
  <c r="H13" i="5"/>
  <c r="D13" i="5"/>
  <c r="H12" i="5"/>
  <c r="D12" i="5"/>
  <c r="H11" i="5"/>
  <c r="D11" i="5"/>
  <c r="K6" i="5"/>
  <c r="K10" i="5"/>
  <c r="H10" i="5"/>
  <c r="D10" i="5"/>
  <c r="H9" i="5"/>
  <c r="D9" i="5"/>
  <c r="H8" i="5"/>
  <c r="D8" i="5"/>
  <c r="H66" i="4"/>
  <c r="D66" i="4"/>
  <c r="H65" i="4"/>
  <c r="D65" i="4"/>
  <c r="H64" i="4"/>
  <c r="D64" i="4"/>
  <c r="H63" i="4"/>
  <c r="D63" i="4"/>
  <c r="H62" i="4"/>
  <c r="D62" i="4"/>
  <c r="H61" i="4"/>
  <c r="D61" i="4"/>
  <c r="H60" i="4"/>
  <c r="D60" i="4"/>
  <c r="H59" i="4"/>
  <c r="D59" i="4"/>
  <c r="H58" i="4"/>
  <c r="D58" i="4"/>
  <c r="H57" i="4"/>
  <c r="D57" i="4"/>
  <c r="H56" i="4"/>
  <c r="D56" i="4"/>
  <c r="H55" i="4"/>
  <c r="D55" i="4"/>
  <c r="H54" i="4"/>
  <c r="D54" i="4"/>
  <c r="H53" i="4"/>
  <c r="D53" i="4"/>
  <c r="H52" i="4"/>
  <c r="D52" i="4"/>
  <c r="H51" i="4"/>
  <c r="D51" i="4"/>
  <c r="H50" i="4"/>
  <c r="D50" i="4"/>
  <c r="H49" i="4"/>
  <c r="D49" i="4"/>
  <c r="H48" i="4"/>
  <c r="D48" i="4"/>
  <c r="H47" i="4"/>
  <c r="D47" i="4"/>
  <c r="H46" i="4"/>
  <c r="D46" i="4"/>
  <c r="H45" i="4"/>
  <c r="D45" i="4"/>
  <c r="H44" i="4"/>
  <c r="D44" i="4"/>
  <c r="H43" i="4"/>
  <c r="D43" i="4"/>
  <c r="H42" i="4"/>
  <c r="D42" i="4"/>
  <c r="H41" i="4"/>
  <c r="D41" i="4"/>
  <c r="H40" i="4"/>
  <c r="D40" i="4"/>
  <c r="H39" i="4"/>
  <c r="D39" i="4"/>
  <c r="H38" i="4"/>
  <c r="D38" i="4"/>
  <c r="H37" i="4"/>
  <c r="D37" i="4"/>
  <c r="H36" i="4"/>
  <c r="D36" i="4"/>
  <c r="H35" i="4"/>
  <c r="D35" i="4"/>
  <c r="H34" i="4"/>
  <c r="D34" i="4"/>
  <c r="H33" i="4"/>
  <c r="D33" i="4"/>
  <c r="H32" i="4"/>
  <c r="D32" i="4"/>
  <c r="H31" i="4"/>
  <c r="D31" i="4"/>
  <c r="H30" i="4"/>
  <c r="D30" i="4"/>
  <c r="H29" i="4"/>
  <c r="D29" i="4"/>
  <c r="H28" i="4"/>
  <c r="D28" i="4"/>
  <c r="H27" i="4"/>
  <c r="D27" i="4"/>
  <c r="H26" i="4"/>
  <c r="D26" i="4"/>
  <c r="H25" i="4"/>
  <c r="D25" i="4"/>
  <c r="H24" i="4"/>
  <c r="D24" i="4"/>
  <c r="H23" i="4"/>
  <c r="D23" i="4"/>
  <c r="H22" i="4"/>
  <c r="D22" i="4"/>
  <c r="H21" i="4"/>
  <c r="D21" i="4"/>
  <c r="H20" i="4"/>
  <c r="D20" i="4"/>
  <c r="H19" i="4"/>
  <c r="D19" i="4"/>
  <c r="H18" i="4"/>
  <c r="D18" i="4"/>
  <c r="H17" i="4"/>
  <c r="D17" i="4"/>
  <c r="H16" i="4"/>
  <c r="D16" i="4"/>
  <c r="H15" i="4"/>
  <c r="D15" i="4"/>
  <c r="H14" i="4"/>
  <c r="D14" i="4"/>
  <c r="H13" i="4"/>
  <c r="D13" i="4"/>
  <c r="H12" i="4"/>
  <c r="D12" i="4"/>
  <c r="H11" i="4"/>
  <c r="D11" i="4"/>
  <c r="K6" i="4"/>
  <c r="K10" i="4"/>
  <c r="H10" i="4"/>
  <c r="D10" i="4"/>
  <c r="H9" i="4"/>
  <c r="D9" i="4"/>
  <c r="H8" i="4"/>
  <c r="D8" i="4"/>
  <c r="J3" i="4"/>
  <c r="L34" i="1"/>
  <c r="L35" i="1" s="1"/>
  <c r="B10" i="3"/>
  <c r="B9" i="3" s="1"/>
  <c r="B8" i="3" s="1"/>
  <c r="B7" i="3" s="1"/>
  <c r="F11" i="2"/>
  <c r="F10" i="2"/>
  <c r="F9" i="2"/>
  <c r="F8" i="2"/>
  <c r="F6" i="2"/>
  <c r="H17" i="1"/>
  <c r="H16" i="1"/>
  <c r="H15" i="1"/>
  <c r="H14" i="1"/>
  <c r="G12" i="1"/>
  <c r="C44" i="1" s="1"/>
  <c r="F12" i="1"/>
  <c r="C43" i="1" s="1"/>
  <c r="C8" i="23" s="1"/>
  <c r="K12" i="4" l="1"/>
  <c r="K12" i="1" s="1"/>
  <c r="K12" i="10"/>
  <c r="K15" i="1" s="1"/>
  <c r="Q8" i="4"/>
  <c r="Q6" i="4"/>
  <c r="N23" i="27"/>
  <c r="L18" i="1"/>
  <c r="P22" i="18"/>
  <c r="P20" i="18"/>
  <c r="Q32" i="18" s="1"/>
  <c r="Q35" i="18" s="1"/>
  <c r="P21" i="18"/>
  <c r="P17" i="18"/>
  <c r="P19" i="18"/>
  <c r="P18" i="18"/>
  <c r="N12" i="18"/>
  <c r="Q8" i="14"/>
  <c r="I54" i="12"/>
  <c r="I58" i="12" s="1"/>
  <c r="J53" i="12"/>
  <c r="K12" i="11"/>
  <c r="K16" i="1" s="1"/>
  <c r="O8" i="11"/>
  <c r="O6" i="10"/>
  <c r="O8" i="10"/>
  <c r="O6" i="5"/>
  <c r="K12" i="5"/>
  <c r="K14" i="1" s="1"/>
  <c r="I5" i="12"/>
  <c r="I47" i="12" s="1"/>
  <c r="K4" i="13"/>
  <c r="L4" i="13" s="1"/>
  <c r="M4" i="13" s="1"/>
  <c r="N4" i="13" s="1"/>
  <c r="O4" i="13" s="1"/>
  <c r="P4" i="13" s="1"/>
  <c r="Q4" i="13" s="1"/>
  <c r="R4" i="13" s="1"/>
  <c r="S4" i="13" s="1"/>
  <c r="O9" i="18"/>
  <c r="O10" i="18"/>
  <c r="O11" i="18"/>
  <c r="O12" i="18"/>
  <c r="P28" i="18"/>
  <c r="N11" i="18"/>
  <c r="M5" i="16"/>
  <c r="N9" i="18"/>
  <c r="C7" i="16"/>
  <c r="O13" i="18"/>
  <c r="I17" i="1"/>
  <c r="L17" i="1" s="1"/>
  <c r="I14" i="1"/>
  <c r="I16" i="1"/>
  <c r="L16" i="1" s="1"/>
  <c r="R6" i="19"/>
  <c r="Q6" i="19" s="1"/>
  <c r="H20" i="1"/>
  <c r="I15" i="1"/>
  <c r="L15" i="1" s="1"/>
  <c r="J17" i="1"/>
  <c r="J14" i="1"/>
  <c r="J16" i="1"/>
  <c r="R7" i="19"/>
  <c r="Q7" i="19" s="1"/>
  <c r="R5" i="19"/>
  <c r="Q5" i="19" s="1"/>
  <c r="J10" i="13"/>
  <c r="J14" i="13" s="1"/>
  <c r="J6" i="14"/>
  <c r="C45" i="1"/>
  <c r="D45" i="1" s="1"/>
  <c r="E45" i="1" s="1"/>
  <c r="N10" i="18"/>
  <c r="O7" i="16"/>
  <c r="N13" i="18"/>
  <c r="H21" i="1"/>
  <c r="E34" i="1" s="1"/>
  <c r="L45" i="1" s="1"/>
  <c r="K8" i="18"/>
  <c r="I12" i="1"/>
  <c r="L12" i="1" s="1"/>
  <c r="O8" i="5"/>
  <c r="K8" i="13"/>
  <c r="L8" i="13" s="1"/>
  <c r="M8" i="13" s="1"/>
  <c r="N8" i="13" s="1"/>
  <c r="O8" i="13" s="1"/>
  <c r="P8" i="13" s="1"/>
  <c r="Q8" i="13" s="1"/>
  <c r="R8" i="13" s="1"/>
  <c r="S8" i="13" s="1"/>
  <c r="N8" i="18"/>
  <c r="P6" i="19"/>
  <c r="O6" i="19" s="1"/>
  <c r="J15" i="1"/>
  <c r="J12" i="1"/>
  <c r="O6" i="11"/>
  <c r="P5" i="19"/>
  <c r="O5" i="19" s="1"/>
  <c r="P7" i="19"/>
  <c r="O7" i="19" s="1"/>
  <c r="O8" i="18" l="1"/>
  <c r="O17" i="18" s="1"/>
  <c r="O17" i="27"/>
  <c r="O19" i="27" s="1"/>
  <c r="O21" i="27" s="1"/>
  <c r="L14" i="1"/>
  <c r="K20" i="1"/>
  <c r="K21" i="1"/>
  <c r="L21" i="1"/>
  <c r="L43" i="1" s="1"/>
  <c r="P32" i="18"/>
  <c r="P35" i="18" s="1"/>
  <c r="Q29" i="18"/>
  <c r="Q27" i="18" s="1"/>
  <c r="N18" i="18"/>
  <c r="N20" i="18"/>
  <c r="N27" i="18" s="1"/>
  <c r="N29" i="18" s="1"/>
  <c r="N19" i="18"/>
  <c r="N17" i="18"/>
  <c r="N21" i="18"/>
  <c r="N22" i="18"/>
  <c r="R8" i="14"/>
  <c r="K53" i="12"/>
  <c r="J54" i="12"/>
  <c r="J58" i="12" s="1"/>
  <c r="L20" i="1"/>
  <c r="I64" i="12"/>
  <c r="J5" i="12"/>
  <c r="I66" i="12"/>
  <c r="J4" i="14"/>
  <c r="K4" i="14" s="1"/>
  <c r="L4" i="14" s="1"/>
  <c r="M4" i="14" s="1"/>
  <c r="N4" i="14" s="1"/>
  <c r="O4" i="14" s="1"/>
  <c r="P4" i="14" s="1"/>
  <c r="Q4" i="14" s="1"/>
  <c r="R4" i="14" s="1"/>
  <c r="S4" i="14" s="1"/>
  <c r="O28" i="18"/>
  <c r="I21" i="1"/>
  <c r="I20" i="1"/>
  <c r="D44" i="1"/>
  <c r="D43" i="1"/>
  <c r="J20" i="1"/>
  <c r="E43" i="1" s="1"/>
  <c r="E44" i="1" s="1"/>
  <c r="L51" i="1" s="1"/>
  <c r="E35" i="1"/>
  <c r="L53" i="1" s="1"/>
  <c r="J21" i="1"/>
  <c r="J10" i="14"/>
  <c r="O21" i="18" l="1"/>
  <c r="O18" i="18"/>
  <c r="O19" i="18"/>
  <c r="O27" i="18" s="1"/>
  <c r="O29" i="18" s="1"/>
  <c r="O20" i="18"/>
  <c r="O22" i="18"/>
  <c r="O23" i="27"/>
  <c r="P8" i="19"/>
  <c r="O8" i="19" s="1"/>
  <c r="R8" i="19"/>
  <c r="Q8" i="19" s="1"/>
  <c r="S8" i="14"/>
  <c r="J66" i="12"/>
  <c r="J69" i="12" s="1"/>
  <c r="K5" i="12"/>
  <c r="J47" i="12"/>
  <c r="J64" i="12" s="1"/>
  <c r="L53" i="12"/>
  <c r="K54" i="12"/>
  <c r="K58" i="12" s="1"/>
  <c r="N32" i="18"/>
  <c r="O32" i="18"/>
  <c r="O35" i="18" s="1"/>
  <c r="D47" i="1"/>
  <c r="L54" i="1"/>
  <c r="E47" i="1"/>
  <c r="L44" i="1" s="1"/>
  <c r="L46" i="1" s="1"/>
  <c r="L36" i="1" s="1"/>
  <c r="L37" i="1" s="1"/>
  <c r="N35" i="18" l="1"/>
  <c r="R4" i="19"/>
  <c r="Q4" i="19" s="1"/>
  <c r="P4" i="19"/>
  <c r="O4" i="19" s="1"/>
  <c r="L50" i="1"/>
  <c r="L56" i="1" s="1"/>
  <c r="L54" i="12"/>
  <c r="L58" i="12" s="1"/>
  <c r="L66" i="12" s="1"/>
  <c r="L69" i="12" s="1"/>
  <c r="M53" i="12"/>
  <c r="M54" i="12" s="1"/>
  <c r="M58" i="12" s="1"/>
  <c r="M66" i="12" s="1"/>
  <c r="M69" i="12" s="1"/>
  <c r="P58" i="12"/>
  <c r="L5" i="12"/>
  <c r="L47" i="12" s="1"/>
  <c r="L64" i="12" s="1"/>
  <c r="K47" i="12"/>
  <c r="K64" i="12" s="1"/>
  <c r="K66" i="12"/>
  <c r="K69" i="12" s="1"/>
  <c r="C82" i="1" l="1"/>
  <c r="C24" i="30" s="1"/>
  <c r="C66" i="1"/>
  <c r="C8" i="30" s="1"/>
  <c r="E23" i="13"/>
  <c r="P17" i="13" s="1"/>
  <c r="E23" i="14"/>
  <c r="O17" i="14" s="1"/>
  <c r="O58" i="12"/>
  <c r="O17" i="13" l="1"/>
  <c r="E32" i="13"/>
  <c r="S17" i="13"/>
  <c r="N17" i="14"/>
  <c r="L17" i="13"/>
  <c r="P17" i="14"/>
  <c r="Q17" i="14"/>
  <c r="R17" i="14"/>
  <c r="S17" i="14"/>
  <c r="N17" i="13"/>
  <c r="M17" i="13"/>
  <c r="E30" i="14"/>
  <c r="R17" i="13"/>
  <c r="M17" i="14"/>
  <c r="K17" i="13"/>
  <c r="Q17" i="13"/>
  <c r="K17" i="14"/>
  <c r="L17" i="14"/>
  <c r="I67" i="12" l="1"/>
  <c r="I69" i="12" s="1"/>
  <c r="H69" i="12" l="1"/>
  <c r="O71" i="12" l="1"/>
  <c r="O72" i="12"/>
  <c r="P59" i="12"/>
  <c r="O59" i="12"/>
  <c r="E21" i="13" s="1"/>
  <c r="K12" i="13"/>
  <c r="L12" i="13" s="1"/>
  <c r="M12" i="13" s="1"/>
  <c r="N12" i="13" s="1"/>
  <c r="O12" i="13" s="1"/>
  <c r="P12" i="13" s="1"/>
  <c r="Q12" i="13" s="1"/>
  <c r="R12" i="13" s="1"/>
  <c r="S12" i="13" s="1"/>
  <c r="J12" i="14"/>
  <c r="E21" i="14" l="1"/>
  <c r="K6" i="14" s="1"/>
  <c r="K6" i="13"/>
  <c r="K12" i="14"/>
  <c r="L12" i="14" s="1"/>
  <c r="M12" i="14" s="1"/>
  <c r="N12" i="14" s="1"/>
  <c r="O12" i="14" s="1"/>
  <c r="P12" i="14" s="1"/>
  <c r="Q12" i="14" s="1"/>
  <c r="R12" i="14" s="1"/>
  <c r="S12" i="14" s="1"/>
  <c r="J14" i="14"/>
  <c r="L6" i="13" l="1"/>
  <c r="K10" i="13"/>
  <c r="K14" i="13" s="1"/>
  <c r="K19" i="13" s="1"/>
  <c r="K10" i="14"/>
  <c r="K14" i="14" s="1"/>
  <c r="K19" i="14" s="1"/>
  <c r="L6" i="14"/>
  <c r="M6" i="14" l="1"/>
  <c r="L10" i="14"/>
  <c r="L14" i="14" s="1"/>
  <c r="L19" i="14" s="1"/>
  <c r="L10" i="13"/>
  <c r="L14" i="13" s="1"/>
  <c r="L19" i="13" s="1"/>
  <c r="M6" i="13"/>
  <c r="N6" i="13" l="1"/>
  <c r="M10" i="13"/>
  <c r="M14" i="13" s="1"/>
  <c r="M19" i="13" s="1"/>
  <c r="N6" i="14"/>
  <c r="M10" i="14"/>
  <c r="M14" i="14" s="1"/>
  <c r="M19" i="14" s="1"/>
  <c r="N10" i="14" l="1"/>
  <c r="N14" i="14" s="1"/>
  <c r="N19" i="14" s="1"/>
  <c r="O6" i="14"/>
  <c r="O6" i="13"/>
  <c r="N10" i="13"/>
  <c r="N14" i="13" s="1"/>
  <c r="N19" i="13" s="1"/>
  <c r="O10" i="14" l="1"/>
  <c r="O14" i="14" s="1"/>
  <c r="P6" i="14"/>
  <c r="O10" i="13"/>
  <c r="O14" i="13" s="1"/>
  <c r="O19" i="13" s="1"/>
  <c r="P6" i="13"/>
  <c r="O19" i="14" l="1"/>
  <c r="Q6" i="14"/>
  <c r="P10" i="14"/>
  <c r="P14" i="14" s="1"/>
  <c r="P19" i="14" s="1"/>
  <c r="P10" i="13"/>
  <c r="P14" i="13" s="1"/>
  <c r="P19" i="13" s="1"/>
  <c r="Q6" i="13"/>
  <c r="R6" i="14" l="1"/>
  <c r="Q10" i="14"/>
  <c r="Q14" i="14" s="1"/>
  <c r="Q19" i="14" s="1"/>
  <c r="R6" i="13"/>
  <c r="Q10" i="13"/>
  <c r="Q14" i="13" s="1"/>
  <c r="Q19" i="13" s="1"/>
  <c r="S6" i="14" l="1"/>
  <c r="S10" i="14" s="1"/>
  <c r="S14" i="14" s="1"/>
  <c r="R10" i="14"/>
  <c r="R14" i="14" s="1"/>
  <c r="R19" i="14" s="1"/>
  <c r="S6" i="13"/>
  <c r="S10" i="13" s="1"/>
  <c r="S14" i="13" s="1"/>
  <c r="E31" i="13" s="1"/>
  <c r="R10" i="13"/>
  <c r="R14" i="13" s="1"/>
  <c r="R19" i="13" s="1"/>
  <c r="S19" i="14" l="1"/>
  <c r="E40" i="14" s="1"/>
  <c r="E29" i="14"/>
  <c r="E33" i="14" s="1"/>
  <c r="E41" i="14" s="1"/>
  <c r="E35" i="13"/>
  <c r="E47" i="13" s="1"/>
  <c r="S19" i="13"/>
  <c r="E46" i="13" s="1"/>
  <c r="E42" i="14" l="1"/>
  <c r="E46" i="14" s="1"/>
  <c r="E48" i="14" s="1"/>
  <c r="K43" i="14" s="1"/>
  <c r="E48" i="13"/>
  <c r="E52" i="13" s="1"/>
  <c r="E54" i="13" s="1"/>
  <c r="L33" i="13" s="1"/>
  <c r="K57" i="14" l="1"/>
  <c r="K28" i="14"/>
  <c r="E58"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L9" authorId="0" shapeId="0" xr:uid="{40148685-5C17-46A4-B6EF-860ED4ADFE12}">
      <text>
        <r>
          <rPr>
            <b/>
            <sz val="9"/>
            <color indexed="81"/>
            <rFont val="Tahoma"/>
            <family val="2"/>
          </rPr>
          <t>Hussain Muhammad:</t>
        </r>
        <r>
          <rPr>
            <sz val="9"/>
            <color indexed="81"/>
            <rFont val="Tahoma"/>
            <family val="2"/>
          </rPr>
          <t xml:space="preserve">
This is also known as Ba or Beta Asset. It is calculated as Be*/(1+(1-tax rate)*debt/equity ratio)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CE8D30ED-EA20-48A3-93C4-4EE11207A726}">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85463735-E1D7-440A-B6F7-7D554E8860D6}">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C3F8432B-9161-4194-85CE-65B9B38994FC}">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5E446227-D733-470D-B03B-4D7E7E0C518C}">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1ADCC69F-8E64-433C-BFC6-1135F6444CE0}">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F4D88A5A-FCA3-46C9-AD3C-B29FF5D2BF76}">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B16" authorId="0" shapeId="0" xr:uid="{FAA038AD-C09E-41AD-9032-7907473C3794}">
      <text>
        <r>
          <rPr>
            <b/>
            <sz val="9"/>
            <color indexed="81"/>
            <rFont val="Tahoma"/>
            <family val="2"/>
          </rPr>
          <t>Hussain Muhammad:</t>
        </r>
        <r>
          <rPr>
            <sz val="9"/>
            <color indexed="81"/>
            <rFont val="Tahoma"/>
            <family val="2"/>
          </rPr>
          <t xml:space="preserve">
It is general practice to not assume both cases
1) CFs arose constantly throughout the year
2) CFs arose at year end
So we use the mid-way path assuming that half CFs arose consistently and other half at year end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B16" authorId="0" shapeId="0" xr:uid="{14C465DE-5030-4919-857C-163F0921DB76}">
      <text>
        <r>
          <rPr>
            <b/>
            <sz val="9"/>
            <color indexed="81"/>
            <rFont val="Tahoma"/>
            <family val="2"/>
          </rPr>
          <t>Hussain Muhammad:</t>
        </r>
        <r>
          <rPr>
            <sz val="9"/>
            <color indexed="81"/>
            <rFont val="Tahoma"/>
            <family val="2"/>
          </rPr>
          <t xml:space="preserve">
It is general practice to not assume both cases
1) CFs arose constantly throughout the year
2) CFs arose at year end
So we use the mid-way path assuming that half CFs arose consistently and other half at year end</t>
        </r>
      </text>
    </comment>
  </commentList>
</comments>
</file>

<file path=xl/sharedStrings.xml><?xml version="1.0" encoding="utf-8"?>
<sst xmlns="http://schemas.openxmlformats.org/spreadsheetml/2006/main" count="793" uniqueCount="407">
  <si>
    <t xml:space="preserve">Weighted Average cost of Capital </t>
  </si>
  <si>
    <t>Peer/Comparable companies</t>
  </si>
  <si>
    <t>Debt/</t>
  </si>
  <si>
    <t>Levered</t>
  </si>
  <si>
    <t xml:space="preserve">Unlevered </t>
  </si>
  <si>
    <t>Name of the companies</t>
  </si>
  <si>
    <t>Country</t>
  </si>
  <si>
    <t>Total Debt</t>
  </si>
  <si>
    <t>Total Equity</t>
  </si>
  <si>
    <r>
      <t xml:space="preserve">Tax rate </t>
    </r>
    <r>
      <rPr>
        <vertAlign val="superscript"/>
        <sz val="11"/>
        <color theme="1"/>
        <rFont val="Calibri"/>
        <family val="2"/>
        <scheme val="minor"/>
      </rPr>
      <t>1</t>
    </r>
  </si>
  <si>
    <t>Equity</t>
  </si>
  <si>
    <t>Capital</t>
  </si>
  <si>
    <r>
      <t xml:space="preserve">Beta </t>
    </r>
    <r>
      <rPr>
        <vertAlign val="superscript"/>
        <sz val="11"/>
        <color theme="1"/>
        <rFont val="Calibri"/>
        <family val="2"/>
        <scheme val="minor"/>
      </rPr>
      <t>2</t>
    </r>
  </si>
  <si>
    <r>
      <t xml:space="preserve">Beta </t>
    </r>
    <r>
      <rPr>
        <vertAlign val="superscript"/>
        <sz val="11"/>
        <color theme="1"/>
        <rFont val="Calibri"/>
        <family val="2"/>
        <scheme val="minor"/>
      </rPr>
      <t>3</t>
    </r>
  </si>
  <si>
    <t xml:space="preserve">Average </t>
  </si>
  <si>
    <t xml:space="preserve"> </t>
  </si>
  <si>
    <t>Median</t>
  </si>
  <si>
    <t>Cost of Debt</t>
  </si>
  <si>
    <t>Cost of Equity</t>
  </si>
  <si>
    <r>
      <t>Pre-tax Cost of debt</t>
    </r>
    <r>
      <rPr>
        <vertAlign val="superscript"/>
        <sz val="11"/>
        <color theme="1"/>
        <rFont val="Calibri"/>
        <family val="2"/>
        <scheme val="minor"/>
      </rPr>
      <t>N1</t>
    </r>
  </si>
  <si>
    <t>Risk-free rate</t>
  </si>
  <si>
    <t>Tax rate</t>
  </si>
  <si>
    <t>Return from market</t>
  </si>
  <si>
    <t>Post-tax Cost of debt</t>
  </si>
  <si>
    <t>Equity Risk Premium (Rm-Rf)</t>
  </si>
  <si>
    <r>
      <t xml:space="preserve">Levered Beta </t>
    </r>
    <r>
      <rPr>
        <vertAlign val="superscript"/>
        <sz val="11"/>
        <color theme="1"/>
        <rFont val="Calibri"/>
        <family val="2"/>
        <scheme val="minor"/>
      </rPr>
      <t>4</t>
    </r>
  </si>
  <si>
    <t>Levered Beta (Be)</t>
  </si>
  <si>
    <t xml:space="preserve">Current </t>
  </si>
  <si>
    <t>Target</t>
  </si>
  <si>
    <t>Competitor Companies Median Unlevered Beta (Ba)</t>
  </si>
  <si>
    <t>Target Debt/Equity</t>
  </si>
  <si>
    <t>Total Capital</t>
  </si>
  <si>
    <t>Debt/Equity</t>
  </si>
  <si>
    <t>Weighted Average Cost of Capital</t>
  </si>
  <si>
    <t>N1</t>
  </si>
  <si>
    <t>Equity Weight</t>
  </si>
  <si>
    <t>Debt Weight</t>
  </si>
  <si>
    <t>WACC</t>
  </si>
  <si>
    <t>Companies</t>
  </si>
  <si>
    <t>Market Capitalization</t>
  </si>
  <si>
    <t>Debt</t>
  </si>
  <si>
    <t>Equity (Book value) on the FS</t>
  </si>
  <si>
    <r>
      <t>Nill-</t>
    </r>
    <r>
      <rPr>
        <vertAlign val="superscript"/>
        <sz val="11"/>
        <color theme="1"/>
        <rFont val="Calibri"/>
        <family val="2"/>
        <scheme val="minor"/>
      </rPr>
      <t>Note 2</t>
    </r>
  </si>
  <si>
    <t>Note 1</t>
  </si>
  <si>
    <t>Note 2</t>
  </si>
  <si>
    <t>At the Time of the IPO of PABC, its Market capitalization is taken as Nil since the number of shares subscribed and the strike price were determined post-IPO</t>
  </si>
  <si>
    <t>Note 3</t>
  </si>
  <si>
    <t>At the Time of the IPO of PABC, there is no publicly available information on the Debt/Equity Ratio. Also, before the IPO the company was operating as a Pvt Ltd Company and therefore did not have the requirement to publish its financial statements via the Annual Report</t>
  </si>
  <si>
    <t>Years</t>
  </si>
  <si>
    <t>Returns</t>
  </si>
  <si>
    <t>Average</t>
  </si>
  <si>
    <t>Note</t>
  </si>
  <si>
    <t>Regression Beta-2 years weekly</t>
  </si>
  <si>
    <t>Beta Drifting</t>
  </si>
  <si>
    <t>Date</t>
  </si>
  <si>
    <t>Closing Price</t>
  </si>
  <si>
    <t>Return</t>
  </si>
  <si>
    <t>Levered Raw Beta</t>
  </si>
  <si>
    <t xml:space="preserve">Beta 1 </t>
  </si>
  <si>
    <t>Using the slope formula</t>
  </si>
  <si>
    <t>Beta Weight</t>
  </si>
  <si>
    <t>Beta 2</t>
  </si>
  <si>
    <t>using the covariance/variance formula</t>
  </si>
  <si>
    <t>Market Beta</t>
  </si>
  <si>
    <t>Market Beta Weight</t>
  </si>
  <si>
    <t>Beta 3</t>
  </si>
  <si>
    <t>using the data analysis tool</t>
  </si>
  <si>
    <t>Adjusted Beta</t>
  </si>
  <si>
    <t>Beta drifting refers to the tendency of a stock's beta (a measure of its volatility relative to the market) to change over time. Beta is not static, and as a company’s risk profile evolves due to factors like changing business conditions, leverage, or market sentiment, its beta can "drift" from its original value.
Beta drifting is done to adjust a stock’s beta toward 1 (the market beta) because over time, individual stock betas tend to revert to the market average due to several factors. This process, also called adjusted beta calculation, is commonly used to make predictions more realistic for future returns.
This is done by all Major Investment banks like JP Morgan, Morgan Stanley, CitiBank etc. with different weights being attached to the market beta of 1 as per their standard practice.</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</si>
  <si>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</si>
  <si>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</si>
  <si>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</si>
  <si>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</si>
  <si>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</si>
  <si>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</si>
  <si>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</si>
  <si>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</si>
  <si>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</si>
  <si>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</si>
  <si>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</si>
  <si>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</si>
  <si>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</si>
  <si>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</si>
  <si>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</si>
  <si>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</si>
  <si>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</si>
  <si>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</si>
  <si>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</si>
  <si>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</si>
  <si>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</si>
  <si>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</si>
  <si>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</si>
  <si>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</si>
  <si>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</si>
  <si>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t>
  </si>
  <si>
    <t xml:space="preserve">Calculation of Return on Invested Capital </t>
  </si>
  <si>
    <t>Explanation of the ROIC and Reinvestment Rate for Growth Rate</t>
  </si>
  <si>
    <t>Usually as per Gordon's growth Model</t>
  </si>
  <si>
    <t>Current assets</t>
  </si>
  <si>
    <t>G=b*r</t>
  </si>
  <si>
    <t>Cash &amp; Equivalents</t>
  </si>
  <si>
    <t>Short-Term Investments</t>
  </si>
  <si>
    <t>where g is growth rate in dividends</t>
  </si>
  <si>
    <t>b=retention ratio</t>
  </si>
  <si>
    <t>r=ROE</t>
  </si>
  <si>
    <t>Now for growth rate for business</t>
  </si>
  <si>
    <t>Other Current Assets</t>
  </si>
  <si>
    <t>b=reinvestment ratio</t>
  </si>
  <si>
    <t>r-ROIC</t>
  </si>
  <si>
    <t>Total Current Assets (excluding cash and cash equivalents)</t>
  </si>
  <si>
    <t>Current liabilities</t>
  </si>
  <si>
    <t>Accounts Payable</t>
  </si>
  <si>
    <t>Other Current Liabilities</t>
  </si>
  <si>
    <t>Total Current Liabilities</t>
  </si>
  <si>
    <t>Net Working Capital (excluding cash and cash equivalents)</t>
  </si>
  <si>
    <t>Non-current assets</t>
  </si>
  <si>
    <t>Other Long-Term Assets</t>
  </si>
  <si>
    <t>Total Non-Current Assets</t>
  </si>
  <si>
    <t>Invested Capital</t>
  </si>
  <si>
    <t>EBIT</t>
  </si>
  <si>
    <t>Return on Invested Capital (ROIC)</t>
  </si>
  <si>
    <t>Calculation of Reinvestment rate</t>
  </si>
  <si>
    <t>Net Capital Expenditure (Capex)</t>
  </si>
  <si>
    <t>Change in Working Capital</t>
  </si>
  <si>
    <t xml:space="preserve">EBIT </t>
  </si>
  <si>
    <t>Margnial Tax Rate</t>
  </si>
  <si>
    <t>EBIT (1-Tax Rate)</t>
  </si>
  <si>
    <t>Reinvestment Amount</t>
  </si>
  <si>
    <t>Reinvestment Rate</t>
  </si>
  <si>
    <t>Calculation of Growth Rate</t>
  </si>
  <si>
    <t>Intrinsic Growth Rate</t>
  </si>
  <si>
    <t>Actual</t>
  </si>
  <si>
    <t>Calculation of Present Value of Free Cashflows to Firm (PV of FCFF)</t>
  </si>
  <si>
    <t>Tax Rate</t>
  </si>
  <si>
    <t>Less: Reinvestment Rate</t>
  </si>
  <si>
    <t>Free Cashflows to Firm</t>
  </si>
  <si>
    <t>Mid Year Convention</t>
  </si>
  <si>
    <t>Discounting factor</t>
  </si>
  <si>
    <t>PV of FCFF</t>
  </si>
  <si>
    <t>Expected Growth</t>
  </si>
  <si>
    <r>
      <t xml:space="preserve">Terminal Growth </t>
    </r>
    <r>
      <rPr>
        <vertAlign val="superscript"/>
        <sz val="11"/>
        <color theme="1"/>
        <rFont val="Calibri"/>
        <family val="2"/>
        <scheme val="minor"/>
      </rPr>
      <t>N1</t>
    </r>
  </si>
  <si>
    <r>
      <t xml:space="preserve">Terminal Growth </t>
    </r>
    <r>
      <rPr>
        <b/>
        <vertAlign val="superscript"/>
        <sz val="11"/>
        <color rgb="FF002060"/>
        <rFont val="Calibri"/>
        <family val="2"/>
        <scheme val="minor"/>
      </rPr>
      <t>N1</t>
    </r>
  </si>
  <si>
    <t>Calculation of Terminal Value</t>
  </si>
  <si>
    <t>FCFF (N+1)</t>
  </si>
  <si>
    <t>Sensitivity Analysis-Value Per Share</t>
  </si>
  <si>
    <t>Terminal Growth Rate</t>
  </si>
  <si>
    <r>
      <t>Terminal Value-</t>
    </r>
    <r>
      <rPr>
        <vertAlign val="superscript"/>
        <sz val="11"/>
        <color theme="1"/>
        <rFont val="Calibri"/>
        <family val="2"/>
        <scheme val="minor"/>
      </rPr>
      <t>N2</t>
    </r>
  </si>
  <si>
    <t>The Terminal Value is calculated using the Gordon's Growth Model. The Gordon Growth Model calculates terminal value by assuming perpetual growth of free cash flows beyond a forecast period. 
The formula is:
Terminal Value={ Final Year Free Cash Flow × (1+ Expected Growth Rate)}/(Discount Rate-Terminal Growth Rate)</t>
  </si>
  <si>
    <t>These Values represent the different Values of "Value Per Share" that will occur in case of different WACC and Terminal Growth Rate</t>
  </si>
  <si>
    <t>Calculation of Equity Value</t>
  </si>
  <si>
    <t>PV of Terminal Value</t>
  </si>
  <si>
    <t>Enterprise Value</t>
  </si>
  <si>
    <t>Add: Cash</t>
  </si>
  <si>
    <t>Less: Debt</t>
  </si>
  <si>
    <t>Equity Value</t>
  </si>
  <si>
    <t>Fair Value Per Share as per DCF Model</t>
  </si>
  <si>
    <t>Explanation</t>
  </si>
  <si>
    <t>Changing Expected Growth Rate of FCFF</t>
  </si>
  <si>
    <t>Sensitivity Analysis-Value per share</t>
  </si>
  <si>
    <t>These Values represent the different Values of Value per share that will occur in case of different WACC and Expected Growth Rate</t>
  </si>
  <si>
    <t>Changing Tax rate</t>
  </si>
  <si>
    <t>No. of Shares</t>
  </si>
  <si>
    <t>Value Per Share</t>
  </si>
  <si>
    <t>These Values represent the different Values of Value per share that will occur in case of different WACC and Marginal Tax Rate</t>
  </si>
  <si>
    <t>Changing Reinvestment Rate</t>
  </si>
  <si>
    <t>Value per share</t>
  </si>
  <si>
    <t>Changing Factor</t>
  </si>
  <si>
    <t>Base Case</t>
  </si>
  <si>
    <t>Best Case</t>
  </si>
  <si>
    <t>Worst Case</t>
  </si>
  <si>
    <t>Expected Growth Rate of FCFF</t>
  </si>
  <si>
    <r>
      <t xml:space="preserve">These are the values of </t>
    </r>
    <r>
      <rPr>
        <b/>
        <i/>
        <sz val="11"/>
        <color rgb="FF002060"/>
        <rFont val="Calibri"/>
        <family val="2"/>
        <scheme val="minor"/>
      </rPr>
      <t>"Value per share "</t>
    </r>
    <r>
      <rPr>
        <i/>
        <sz val="11"/>
        <color rgb="FF002060"/>
        <rFont val="Calibri"/>
        <family val="2"/>
        <scheme val="minor"/>
      </rPr>
      <t xml:space="preserve"> under the </t>
    </r>
    <r>
      <rPr>
        <b/>
        <i/>
        <sz val="11"/>
        <color rgb="FF002060"/>
        <rFont val="Calibri"/>
        <family val="2"/>
        <scheme val="minor"/>
      </rPr>
      <t>DCF Method</t>
    </r>
    <r>
      <rPr>
        <i/>
        <sz val="11"/>
        <color rgb="FF002060"/>
        <rFont val="Calibri"/>
        <family val="2"/>
        <scheme val="minor"/>
      </rPr>
      <t xml:space="preserve"> at the Base Case, Best Case, and the Worst Case by changing the multiple elements involved in the DCF Equation, one at a time while keeping all the other factors the same. All the values are calculated from the various sensitivity analysis performed. </t>
    </r>
  </si>
  <si>
    <t>Mkt Cap</t>
  </si>
  <si>
    <t>Shares outsdanding</t>
  </si>
  <si>
    <t>EBITDA %</t>
  </si>
  <si>
    <t>Enterprise value/Share</t>
  </si>
  <si>
    <t>EV/Sales</t>
  </si>
  <si>
    <t>EV/EBITDA</t>
  </si>
  <si>
    <t>PE Ratio</t>
  </si>
  <si>
    <t>Price to book ratio</t>
  </si>
  <si>
    <t>N/A</t>
  </si>
  <si>
    <t>EBIT Margin</t>
  </si>
  <si>
    <t>Linear Regression</t>
  </si>
  <si>
    <t>Year Weight</t>
  </si>
  <si>
    <t>Year</t>
  </si>
  <si>
    <t>EPS</t>
  </si>
  <si>
    <t>EPS Growth</t>
  </si>
  <si>
    <t xml:space="preserve">We used the Forecast Excel Formula which forecasts the figures based on regression analysis. </t>
  </si>
  <si>
    <t>Market Data</t>
  </si>
  <si>
    <t>Financials</t>
  </si>
  <si>
    <t>Valuation</t>
  </si>
  <si>
    <t>Company</t>
  </si>
  <si>
    <t>Ticker</t>
  </si>
  <si>
    <t>Share
Price</t>
  </si>
  <si>
    <t>Shares 
Outsdanding</t>
  </si>
  <si>
    <t>Equity 
Value</t>
  </si>
  <si>
    <t>Net Debt
 (Add Cash and Less Debt)</t>
  </si>
  <si>
    <t>Enterprise
 Value</t>
  </si>
  <si>
    <t>Revenue</t>
  </si>
  <si>
    <t>EBITDA</t>
  </si>
  <si>
    <t>Net Income 
(PAT)</t>
  </si>
  <si>
    <t>High</t>
  </si>
  <si>
    <t>75th Percentile</t>
  </si>
  <si>
    <t>25th Percentile</t>
  </si>
  <si>
    <t>Low</t>
  </si>
  <si>
    <t>Implied Enterprise Value</t>
  </si>
  <si>
    <t>Net Debt</t>
  </si>
  <si>
    <t>Implied Market Value (Equity Value)</t>
  </si>
  <si>
    <t>Shares Outsdanding</t>
  </si>
  <si>
    <t>Implied Fair Value per share</t>
  </si>
  <si>
    <t>Summary</t>
  </si>
  <si>
    <t>Football Field Analysis-Data</t>
  </si>
  <si>
    <t>OpenLow</t>
  </si>
  <si>
    <t>OpenHigh</t>
  </si>
  <si>
    <t>N4</t>
  </si>
  <si>
    <t>Comps (Relative Valuation)</t>
  </si>
  <si>
    <t>N2</t>
  </si>
  <si>
    <t>DCF Best case</t>
  </si>
  <si>
    <t>N5</t>
  </si>
  <si>
    <t>DCF Base</t>
  </si>
  <si>
    <t>DCF Worst Case</t>
  </si>
  <si>
    <t>N3</t>
  </si>
  <si>
    <t>The Implied Share Value calculated using the Comparable Company Valuation Method is used in this case. The highest Value per Share is taken as "High" and vice versa.</t>
  </si>
  <si>
    <t>DCF Base case is the current scenario with the current WACC calculated</t>
  </si>
  <si>
    <t>All figures are in USD unless stated otherwise</t>
  </si>
  <si>
    <t>Twitter Inc.</t>
  </si>
  <si>
    <t>USA</t>
  </si>
  <si>
    <t>Meta Platforms, Inc.</t>
  </si>
  <si>
    <t>Alphabet Inc.</t>
  </si>
  <si>
    <t>Snap Inc.</t>
  </si>
  <si>
    <t>Pinterest, Inc.</t>
  </si>
  <si>
    <r>
      <t xml:space="preserve">LinkedIn Corporation </t>
    </r>
    <r>
      <rPr>
        <b/>
        <vertAlign val="superscript"/>
        <sz val="11"/>
        <color theme="1"/>
        <rFont val="Calibri"/>
        <family val="2"/>
        <scheme val="minor"/>
      </rPr>
      <t>(Note 1)</t>
    </r>
  </si>
  <si>
    <r>
      <t xml:space="preserve">Since LinkedIn is a privately held company under Microsoft's ownership, detailed financial metrics like </t>
    </r>
    <r>
      <rPr>
        <b/>
        <i/>
        <sz val="11"/>
        <color rgb="FF002060"/>
        <rFont val="Calibri"/>
        <family val="2"/>
        <scheme val="minor"/>
      </rPr>
      <t>Debt-to-Equity (D/E)</t>
    </r>
    <r>
      <rPr>
        <i/>
        <sz val="11"/>
        <color rgb="FF002060"/>
        <rFont val="Calibri"/>
        <family val="2"/>
        <scheme val="minor"/>
      </rPr>
      <t xml:space="preserve"> ratio and </t>
    </r>
    <r>
      <rPr>
        <b/>
        <i/>
        <sz val="11"/>
        <color rgb="FF002060"/>
        <rFont val="Calibri"/>
        <family val="2"/>
        <scheme val="minor"/>
      </rPr>
      <t>Beta</t>
    </r>
    <r>
      <rPr>
        <i/>
        <sz val="11"/>
        <color rgb="FF002060"/>
        <rFont val="Calibri"/>
        <family val="2"/>
        <scheme val="minor"/>
      </rPr>
      <t xml:space="preserve"> are not publicly disclosed as it were before its acquisition. Therefore, we used the data of Microsoft Inc. assuming it to be a peer company of Twitter.</t>
    </r>
  </si>
  <si>
    <t>Microsoft Corporation</t>
  </si>
  <si>
    <t>All figures taken from the Consolidated Financial Statements provided in the Annual Report and the numbers mentioned in the wesbsite "Investing.com" and "StockAnalysis.com" as at year ended December 31st 2021 (The year befpre the acquisition occured-October 2022)
For companies whose financial year is from July-June, the figures were taken as at year ended June 30 2022.</t>
  </si>
  <si>
    <t>USD M</t>
  </si>
  <si>
    <t xml:space="preserve"> M</t>
  </si>
  <si>
    <t>Share Price on 27th Oct 2022 (date of acquisition)</t>
  </si>
  <si>
    <t>Cash and bank balance at the end of latets Annual report before Acquisition</t>
  </si>
  <si>
    <t>Revenue from the Latest Annual Report before Acquisition</t>
  </si>
  <si>
    <t>PAT from the Latest Annual Report before Acquisition</t>
  </si>
  <si>
    <t>EBITDA from the Latest Annual Report before Acquisition</t>
  </si>
  <si>
    <r>
      <t>Alphabet Inc.-</t>
    </r>
    <r>
      <rPr>
        <b/>
        <vertAlign val="superscript"/>
        <sz val="11"/>
        <color theme="1"/>
        <rFont val="Calibri"/>
        <family val="2"/>
        <scheme val="minor"/>
      </rPr>
      <t>Note 2</t>
    </r>
  </si>
  <si>
    <r>
      <t xml:space="preserve">All of the data for the aforementioned companies was taken from the website </t>
    </r>
    <r>
      <rPr>
        <b/>
        <i/>
        <sz val="11"/>
        <color rgb="FF002060"/>
        <rFont val="Calibri"/>
        <family val="2"/>
        <scheme val="minor"/>
      </rPr>
      <t>"StockAnalysis.com"</t>
    </r>
    <r>
      <rPr>
        <i/>
        <sz val="11"/>
        <color rgb="FF002060"/>
        <rFont val="Calibri"/>
        <family val="2"/>
        <scheme val="minor"/>
      </rPr>
      <t xml:space="preserve"> and </t>
    </r>
    <r>
      <rPr>
        <b/>
        <i/>
        <sz val="11"/>
        <color rgb="FF002060"/>
        <rFont val="Calibri"/>
        <family val="2"/>
        <scheme val="minor"/>
      </rPr>
      <t>"Investing.com</t>
    </r>
    <r>
      <rPr>
        <i/>
        <sz val="11"/>
        <color rgb="FF002060"/>
        <rFont val="Calibri"/>
        <family val="2"/>
        <scheme val="minor"/>
      </rPr>
      <t xml:space="preserve">", and also cross-checked from the Annual Reports of the respective companies as at the year end date of the year ended </t>
    </r>
    <r>
      <rPr>
        <b/>
        <i/>
        <sz val="11"/>
        <color rgb="FF002060"/>
        <rFont val="Calibri"/>
        <family val="2"/>
        <scheme val="minor"/>
      </rPr>
      <t>December 31st 2021</t>
    </r>
    <r>
      <rPr>
        <i/>
        <sz val="11"/>
        <color rgb="FF002060"/>
        <rFont val="Calibri"/>
        <family val="2"/>
        <scheme val="minor"/>
      </rPr>
      <t xml:space="preserve"> or </t>
    </r>
    <r>
      <rPr>
        <b/>
        <i/>
        <sz val="11"/>
        <color rgb="FF002060"/>
        <rFont val="Calibri"/>
        <family val="2"/>
        <scheme val="minor"/>
      </rPr>
      <t>30th June 2022</t>
    </r>
    <r>
      <rPr>
        <i/>
        <sz val="11"/>
        <color rgb="FF002060"/>
        <rFont val="Calibri"/>
        <family val="2"/>
        <scheme val="minor"/>
      </rPr>
      <t xml:space="preserve"> (if fiscal year is July-June)</t>
    </r>
  </si>
  <si>
    <r>
      <t>In calculating the Market Value of Equity for Alphabet Inc. and subsequently the Weighted Average Cost of Capital (WACC), I have used the "</t>
    </r>
    <r>
      <rPr>
        <b/>
        <i/>
        <sz val="11"/>
        <color rgb="FF002060"/>
        <rFont val="Calibri"/>
        <family val="2"/>
        <scheme val="minor"/>
      </rPr>
      <t>Class A shares"</t>
    </r>
    <r>
      <rPr>
        <i/>
        <sz val="11"/>
        <color rgb="FF002060"/>
        <rFont val="Calibri"/>
        <family val="2"/>
        <scheme val="minor"/>
      </rPr>
      <t xml:space="preserve"> (GOOGL). These shares are considered ordinary shares because they carry </t>
    </r>
    <r>
      <rPr>
        <b/>
        <i/>
        <sz val="11"/>
        <color rgb="FF002060"/>
        <rFont val="Calibri"/>
        <family val="2"/>
        <scheme val="minor"/>
      </rPr>
      <t>voting rights</t>
    </r>
    <r>
      <rPr>
        <i/>
        <sz val="11"/>
        <color rgb="FF002060"/>
        <rFont val="Calibri"/>
        <family val="2"/>
        <scheme val="minor"/>
      </rPr>
      <t xml:space="preserve">, making them a better representation of the company's true ownership structure and shareholder influence. Ordinary shares, like Class A, are more suited for this calculation because: 
</t>
    </r>
    <r>
      <rPr>
        <b/>
        <i/>
        <sz val="11"/>
        <color rgb="FF002060"/>
        <rFont val="Calibri"/>
        <family val="2"/>
        <scheme val="minor"/>
      </rPr>
      <t>1) Voting Rights:</t>
    </r>
    <r>
      <rPr>
        <i/>
        <sz val="11"/>
        <color rgb="FF002060"/>
        <rFont val="Calibri"/>
        <family val="2"/>
        <scheme val="minor"/>
      </rPr>
      <t xml:space="preserve"> They reflect the ownership stake of shareholders who have decision-making power in the company, which is crucial when assessing the cost of equity.
</t>
    </r>
    <r>
      <rPr>
        <b/>
        <i/>
        <sz val="11"/>
        <color rgb="FF002060"/>
        <rFont val="Calibri"/>
        <family val="2"/>
        <scheme val="minor"/>
      </rPr>
      <t>2) Market Perception:</t>
    </r>
    <r>
      <rPr>
        <i/>
        <sz val="11"/>
        <color rgb="FF002060"/>
        <rFont val="Calibri"/>
        <family val="2"/>
        <scheme val="minor"/>
      </rPr>
      <t xml:space="preserve"> The market typically values shares with voting rights higher, making them a more accurate indicator of the equity value that influences corporate decisions.
</t>
    </r>
    <r>
      <rPr>
        <b/>
        <i/>
        <sz val="11"/>
        <color rgb="FF002060"/>
        <rFont val="Calibri"/>
        <family val="2"/>
        <scheme val="minor"/>
      </rPr>
      <t>3) Risk and Return Alignment:</t>
    </r>
    <r>
      <rPr>
        <i/>
        <sz val="11"/>
        <color rgb="FF002060"/>
        <rFont val="Calibri"/>
        <family val="2"/>
        <scheme val="minor"/>
      </rPr>
      <t xml:space="preserve"> Ordinary shares better align with the expectations of shareholders in terms of risk and return, which directly impacts the company's capital cost. By using Class A shares, we ensure the WACC reflects the interests and expectations of active equity stakeholders, providing a more precise valuation.</t>
    </r>
  </si>
  <si>
    <t>S&amp;P 500 Annual Returns</t>
  </si>
  <si>
    <t>https://www.macrotrends.net/2526/sp-500-historical-annual-returns</t>
  </si>
  <si>
    <t>Source</t>
  </si>
  <si>
    <t>S&amp;P 500 Returns</t>
  </si>
  <si>
    <t>Alphabet Inc. (Class A Shares)</t>
  </si>
  <si>
    <t>Receivables</t>
  </si>
  <si>
    <t xml:space="preserve">Cash and Cash Equivalents </t>
  </si>
  <si>
    <t>Current Debt</t>
  </si>
  <si>
    <t>Goodwill and Intangibles</t>
  </si>
  <si>
    <t>Taken as the Average Return on the S&amp;P-500 Index for the last 10 years</t>
  </si>
  <si>
    <t xml:space="preserve">Taken as the 10-year U.S. Treasury Yield </t>
  </si>
  <si>
    <t>https://home.treasury.gov/policy-issues/financing-the-government/interest-rate-statistics?data=yield</t>
  </si>
  <si>
    <t>Capital Structure-Twitter Inc.</t>
  </si>
  <si>
    <t>Finance costs-2021 (the year before Acquisition)</t>
  </si>
  <si>
    <t>Method 1) Finance Cost by Total Debt Method</t>
  </si>
  <si>
    <t>Kd</t>
  </si>
  <si>
    <t>Unrealistic</t>
  </si>
  <si>
    <t>Method 2) Risk Free Rate + Credit Spread</t>
  </si>
  <si>
    <t>Risk-Free Rate (As of October 28 2024)</t>
  </si>
  <si>
    <r>
      <t>Credit Spread-</t>
    </r>
    <r>
      <rPr>
        <vertAlign val="superscript"/>
        <sz val="11"/>
        <color theme="1"/>
        <rFont val="Calibri"/>
        <family val="2"/>
        <scheme val="minor"/>
      </rPr>
      <t>Note 2</t>
    </r>
  </si>
  <si>
    <r>
      <t xml:space="preserve">Estimating Twitter's cost of debt using the Risk-Free Rate plus Credit Spread method involves determining an appropriate credit spread that reflects the company's credit risk. A credit spread represents the additional yield that investors demand for holding a bond with higher credit risk compared to a risk-free bond. Given Twitter's status as a prominent technology company, we can look at credit spreads for similar firms. For </t>
    </r>
    <r>
      <rPr>
        <b/>
        <i/>
        <sz val="11"/>
        <color rgb="FF002060"/>
        <rFont val="Calibri"/>
        <family val="2"/>
        <scheme val="minor"/>
      </rPr>
      <t>"Baa-Rated"</t>
    </r>
    <r>
      <rPr>
        <i/>
        <sz val="11"/>
        <color rgb="FF002060"/>
        <rFont val="Calibri"/>
        <family val="2"/>
        <scheme val="minor"/>
      </rPr>
      <t xml:space="preserve"> Technology companies, the credit spreads range from </t>
    </r>
    <r>
      <rPr>
        <b/>
        <i/>
        <sz val="11"/>
        <color rgb="FF002060"/>
        <rFont val="Calibri"/>
        <family val="2"/>
        <scheme val="minor"/>
      </rPr>
      <t>2%</t>
    </r>
    <r>
      <rPr>
        <i/>
        <sz val="11"/>
        <color rgb="FF002060"/>
        <rFont val="Calibri"/>
        <family val="2"/>
        <scheme val="minor"/>
      </rPr>
      <t xml:space="preserve"> to </t>
    </r>
    <r>
      <rPr>
        <b/>
        <i/>
        <sz val="11"/>
        <color rgb="FF002060"/>
        <rFont val="Calibri"/>
        <family val="2"/>
        <scheme val="minor"/>
      </rPr>
      <t>3%</t>
    </r>
    <r>
      <rPr>
        <i/>
        <sz val="11"/>
        <color rgb="FF002060"/>
        <rFont val="Calibri"/>
        <family val="2"/>
        <scheme val="minor"/>
      </rPr>
      <t xml:space="preserve"> as taken from estimates of </t>
    </r>
    <r>
      <rPr>
        <b/>
        <i/>
        <sz val="11"/>
        <color rgb="FF002060"/>
        <rFont val="Calibri"/>
        <family val="2"/>
        <scheme val="minor"/>
      </rPr>
      <t>"Bloomberg"</t>
    </r>
    <r>
      <rPr>
        <i/>
        <sz val="11"/>
        <color rgb="FF002060"/>
        <rFont val="Calibri"/>
        <family val="2"/>
        <scheme val="minor"/>
      </rPr>
      <t xml:space="preserve"> and </t>
    </r>
    <r>
      <rPr>
        <b/>
        <i/>
        <sz val="11"/>
        <color rgb="FF002060"/>
        <rFont val="Calibri"/>
        <family val="2"/>
        <scheme val="minor"/>
      </rPr>
      <t>"Reuters".</t>
    </r>
  </si>
  <si>
    <t>Realistic</t>
  </si>
  <si>
    <t>Raw CF and Pnl</t>
  </si>
  <si>
    <t>CASH FLOWS FROM OPERATING ACTIVITIES</t>
  </si>
  <si>
    <t>Profit before taxation</t>
  </si>
  <si>
    <t>Adjustments for:</t>
  </si>
  <si>
    <t>Depreciation on property, plant and equipment</t>
  </si>
  <si>
    <t>Depreciation on right-of-use asset</t>
  </si>
  <si>
    <t>Loss on disposal of property, plant and equipment</t>
  </si>
  <si>
    <t>Provision for staff retirement benefits</t>
  </si>
  <si>
    <t>Provision for impairment of property, plant and equipment - net</t>
  </si>
  <si>
    <t>Mark-up on long term borrowings and leases</t>
  </si>
  <si>
    <t>Return on short term investments held at fair value through profit or loss</t>
  </si>
  <si>
    <t>Return on savings accounts</t>
  </si>
  <si>
    <t>Changes in working capital:</t>
  </si>
  <si>
    <t>Stores and spares</t>
  </si>
  <si>
    <t>Stock in trade - net</t>
  </si>
  <si>
    <t>Trade debts</t>
  </si>
  <si>
    <t>Loans and advances</t>
  </si>
  <si>
    <t>Trade deposits and short term prepayments</t>
  </si>
  <si>
    <t>Sales tax refundable</t>
  </si>
  <si>
    <t>Other receivables</t>
  </si>
  <si>
    <t>Trade and other payables</t>
  </si>
  <si>
    <t>Provisions</t>
  </si>
  <si>
    <t>Cash generated from operations (carried forward)</t>
  </si>
  <si>
    <t>Cash generated from operations (brought forward)</t>
  </si>
  <si>
    <t>Mark up paid</t>
  </si>
  <si>
    <t>Income tax paid</t>
  </si>
  <si>
    <t>Decrease in long term loans</t>
  </si>
  <si>
    <t>Net cash generated from operating activities</t>
  </si>
  <si>
    <t>CASH FLOWS FROM INVESTING ACTIVITIES</t>
  </si>
  <si>
    <t>Purchase of property, plant and equipment</t>
  </si>
  <si>
    <t>Proceeds from disposal of property, plant and equipment</t>
  </si>
  <si>
    <t>CASH FLOWS FROM FINANCING ACTIVITIES</t>
  </si>
  <si>
    <t>Lease liability payments</t>
  </si>
  <si>
    <t>Proceeds from long term financing</t>
  </si>
  <si>
    <t>Repayment of long term loan</t>
  </si>
  <si>
    <t>Dividends paid</t>
  </si>
  <si>
    <t>Net cash used in financing activities</t>
  </si>
  <si>
    <t>Net increase in cash and cash equivalents</t>
  </si>
  <si>
    <t>Cash and cash equivalents at beginning of the year</t>
  </si>
  <si>
    <t>Cash and cash equivalents at end of the year</t>
  </si>
  <si>
    <t>Raw Pnl</t>
  </si>
  <si>
    <t>PAT</t>
  </si>
  <si>
    <t>We only extracted these figures from the Consolidated Cash Flow Statement of Twitter Inc. because we needed only the amounts invested in Acquisition and sale of PPE for the Capital Expenditure Amount.</t>
  </si>
  <si>
    <t>Net Capital Expenditure</t>
  </si>
  <si>
    <t>5-Year Average</t>
  </si>
  <si>
    <t>All these were forecast years at the date of Acquisition</t>
  </si>
  <si>
    <t>5-Year Median</t>
  </si>
  <si>
    <t>Growth Rate</t>
  </si>
  <si>
    <r>
      <t>Actual-</t>
    </r>
    <r>
      <rPr>
        <b/>
        <i/>
        <vertAlign val="superscript"/>
        <sz val="11"/>
        <color theme="1"/>
        <rFont val="Calibri"/>
        <family val="2"/>
        <scheme val="minor"/>
      </rPr>
      <t>Note 3</t>
    </r>
  </si>
  <si>
    <t xml:space="preserve">The reason we did not take the actual EBIT of 2021 is because it was negative and would result in a negative PV of FCFF and hence give a negative value of the company. Therefore, we took the average EBIT of last 6 years as the actual number to eliminate bias and also keep the foreacted valuation figure reasonable and realistic. </t>
  </si>
  <si>
    <t>We have taken the Growth rate of USA's GDP in 2024 as forecasted by the Federal Reserve.</t>
  </si>
  <si>
    <t>Actual Price of Acquisition</t>
  </si>
  <si>
    <t>Premium Paid by Elon Musk</t>
  </si>
  <si>
    <t>N/A (no longer listed)</t>
  </si>
  <si>
    <t>META</t>
  </si>
  <si>
    <t>GOOGL</t>
  </si>
  <si>
    <t>Alphabet Inc.- (Class A Shares)</t>
  </si>
  <si>
    <t>SNAP</t>
  </si>
  <si>
    <t>PINS</t>
  </si>
  <si>
    <t>MSFT</t>
  </si>
  <si>
    <t>Analysis</t>
  </si>
  <si>
    <r>
      <t xml:space="preserve">PE Ratio </t>
    </r>
    <r>
      <rPr>
        <b/>
        <vertAlign val="superscript"/>
        <sz val="11"/>
        <color theme="0"/>
        <rFont val="Calibri"/>
        <family val="2"/>
        <scheme val="minor"/>
      </rPr>
      <t>(method 2)</t>
    </r>
  </si>
  <si>
    <t>2022-F</t>
  </si>
  <si>
    <t>PB Ratio</t>
  </si>
  <si>
    <t>Book Value of Equity</t>
  </si>
  <si>
    <t>2023-F</t>
  </si>
  <si>
    <t>2024-F</t>
  </si>
  <si>
    <t>2025-F</t>
  </si>
  <si>
    <t>2026-F</t>
  </si>
  <si>
    <r>
      <t xml:space="preserve">We got the Market value of equity by multiplying the </t>
    </r>
    <r>
      <rPr>
        <b/>
        <i/>
        <sz val="11"/>
        <color rgb="FF002060"/>
        <rFont val="Calibri"/>
        <family val="2"/>
        <scheme val="minor"/>
      </rPr>
      <t>Latest PAT</t>
    </r>
    <r>
      <rPr>
        <i/>
        <sz val="11"/>
        <color rgb="FF002060"/>
        <rFont val="Calibri"/>
        <family val="2"/>
        <scheme val="minor"/>
      </rPr>
      <t xml:space="preserve"> of the company (which was negative) with the </t>
    </r>
    <r>
      <rPr>
        <b/>
        <i/>
        <sz val="11"/>
        <color rgb="FF002060"/>
        <rFont val="Calibri"/>
        <family val="2"/>
        <scheme val="minor"/>
      </rPr>
      <t>Comps Median PE Ratio</t>
    </r>
    <r>
      <rPr>
        <i/>
        <sz val="11"/>
        <color rgb="FF002060"/>
        <rFont val="Calibri"/>
        <family val="2"/>
        <scheme val="minor"/>
      </rPr>
      <t xml:space="preserve">. This gave us a negative Vale per share which is unrealistic. Therefore we have used further multiples like Price-tobook ratio and PE Ratio (with EPS forecasting).
The Mehtod 2 of PE Ratio was multiplying the Forecasted EPS for 2022 with the Median Comps PE Ratio which also resulted in a negative value making the PE Ratio method not reasonable for "Relative Valuation". </t>
    </r>
  </si>
  <si>
    <r>
      <t xml:space="preserve">Comparable Company Analysis (Comp Analysis) is a valuation method that involves comparing the financial metrics (like EV/EBITDA, EV/Sales, and P/E ratio) of a target company with similar publicly traded companies. Here the purpose of this analysis was to calculate the Fair value per share using the comparable company method so that we can compare the results with the actual price </t>
    </r>
    <r>
      <rPr>
        <b/>
        <i/>
        <sz val="11"/>
        <color rgb="FF002060"/>
        <rFont val="Calibri"/>
        <family val="2"/>
        <scheme val="minor"/>
      </rPr>
      <t>"Elon Musk"</t>
    </r>
    <r>
      <rPr>
        <i/>
        <sz val="11"/>
        <color rgb="FF002060"/>
        <rFont val="Calibri"/>
        <family val="2"/>
        <scheme val="minor"/>
      </rPr>
      <t xml:space="preserve"> paid which was </t>
    </r>
    <r>
      <rPr>
        <b/>
        <i/>
        <sz val="11"/>
        <color rgb="FF002060"/>
        <rFont val="Calibri"/>
        <family val="2"/>
        <scheme val="minor"/>
      </rPr>
      <t>"54$"</t>
    </r>
    <r>
      <rPr>
        <i/>
        <sz val="11"/>
        <color rgb="FF002060"/>
        <rFont val="Calibri"/>
        <family val="2"/>
        <scheme val="minor"/>
      </rPr>
      <t xml:space="preserve">.
 </t>
    </r>
    <r>
      <rPr>
        <b/>
        <i/>
        <sz val="11"/>
        <color rgb="FF002060"/>
        <rFont val="Calibri"/>
        <family val="2"/>
        <scheme val="minor"/>
      </rPr>
      <t>If the Fair value per share calculated is greater than that, it can be infered that Elon Musk</t>
    </r>
    <r>
      <rPr>
        <i/>
        <sz val="11"/>
        <color rgb="FF002060"/>
        <rFont val="Calibri"/>
        <family val="2"/>
        <scheme val="minor"/>
      </rPr>
      <t xml:space="preserve"> 
1) Underpaid (got a discounted deal).
</t>
    </r>
    <r>
      <rPr>
        <b/>
        <i/>
        <sz val="11"/>
        <color rgb="FF002060"/>
        <rFont val="Calibri"/>
        <family val="2"/>
        <scheme val="minor"/>
      </rPr>
      <t xml:space="preserve"> If the fair value per share is Lesser than 54$,</t>
    </r>
    <r>
      <rPr>
        <i/>
        <sz val="11"/>
        <color rgb="FF002060"/>
        <rFont val="Calibri"/>
        <family val="2"/>
        <scheme val="minor"/>
      </rPr>
      <t xml:space="preserve"> it can be infered that he 
1) Overpaid 
2) Took a leap of faith while making the acquisition assuming the forecasted growth of the social media platform
3)  Put a high monetay value on the Staretgic Premium on the Deal </t>
    </r>
  </si>
  <si>
    <t>Dividend per share</t>
  </si>
  <si>
    <t>Nill</t>
  </si>
  <si>
    <r>
      <t xml:space="preserve">Precedent Transaction method involves looking at similar acquisitions or IPOs in the same sector (social media/technology) and using the multiples or valuation metrics from those deals to assess Twitter’s value at the time of Acquisition. It gives you a market-driven comparison by considering actual prices paid in past transactions, which reflect real-world deal dynamics. 
The method is to identify similar companies that were acquired or went public before Twitter’s acquisition, and use their transaction multiples (e.g., P/E, EV/Sales, EV/EBITDA) to estimate Twitter's valuation.
The Transaction we are using is </t>
    </r>
    <r>
      <rPr>
        <b/>
        <i/>
        <sz val="11"/>
        <color rgb="FF002060"/>
        <rFont val="Calibri"/>
        <family val="2"/>
        <scheme val="minor"/>
      </rPr>
      <t>"Microsoft's Acquisition of LinkedIn (2016)"</t>
    </r>
  </si>
  <si>
    <t xml:space="preserve">Revenue </t>
  </si>
  <si>
    <t>Number of shares outsdanding</t>
  </si>
  <si>
    <t>LinkedIn</t>
  </si>
  <si>
    <t>at the time of Acquisition (USD M)</t>
  </si>
  <si>
    <r>
      <t xml:space="preserve">All of the data for the aforementioned company was taken from the website </t>
    </r>
    <r>
      <rPr>
        <b/>
        <i/>
        <sz val="11"/>
        <color rgb="FF002060"/>
        <rFont val="Calibri"/>
        <family val="2"/>
        <scheme val="minor"/>
      </rPr>
      <t>"StockAnalysis.com"</t>
    </r>
    <r>
      <rPr>
        <i/>
        <sz val="11"/>
        <color rgb="FF002060"/>
        <rFont val="Calibri"/>
        <family val="2"/>
        <scheme val="minor"/>
      </rPr>
      <t xml:space="preserve"> and </t>
    </r>
    <r>
      <rPr>
        <b/>
        <i/>
        <sz val="11"/>
        <color rgb="FF002060"/>
        <rFont val="Calibri"/>
        <family val="2"/>
        <scheme val="minor"/>
      </rPr>
      <t>"Investing.com</t>
    </r>
    <r>
      <rPr>
        <i/>
        <sz val="11"/>
        <color rgb="FF002060"/>
        <rFont val="Calibri"/>
        <family val="2"/>
        <scheme val="minor"/>
      </rPr>
      <t xml:space="preserve">", and also cross-checked from the Annual Reports of the respective company as at the year end date of the year ended </t>
    </r>
    <r>
      <rPr>
        <b/>
        <i/>
        <sz val="11"/>
        <color rgb="FF002060"/>
        <rFont val="Calibri"/>
        <family val="2"/>
        <scheme val="minor"/>
      </rPr>
      <t>December 31st 2016.</t>
    </r>
  </si>
  <si>
    <t>Price Paid at Acq</t>
  </si>
  <si>
    <t>N/A since Earnings were negative</t>
  </si>
  <si>
    <t>Book value of Equity (Total Assets-Total Liab)</t>
  </si>
  <si>
    <t>Book value per share</t>
  </si>
  <si>
    <t xml:space="preserve">Mkt Cap </t>
  </si>
  <si>
    <t>Deal Vale (Enterprise Value)</t>
  </si>
  <si>
    <t>Precdent Transaction Analysis</t>
  </si>
  <si>
    <t>DCF Best Case is the case where WACC is the Lowest or Other factors are highest</t>
  </si>
  <si>
    <t>DCF Worst Case is the case where WACC is the Highest or Other factors are worst</t>
  </si>
  <si>
    <t>The Implied Share Value calculated using the Precedent Transaction Valuation Method is used in this case. The highest Value per Share is taken as "High" and vice versa.</t>
  </si>
  <si>
    <t>1) Key Highlights (overview of valuation approaches)</t>
  </si>
  <si>
    <t>2) Valuation Overview (methodologies used)</t>
  </si>
  <si>
    <t>3) Transaction Rationale (strategic justification)</t>
  </si>
  <si>
    <t>4) Final Recommendation (supported by analysis)</t>
  </si>
  <si>
    <t>Valuation Overview of Twitter, Inc.</t>
  </si>
  <si>
    <t>Key Highlights:</t>
  </si>
  <si>
    <t>Valuation Approaches:</t>
  </si>
  <si>
    <t>A multi-method approach was used to value Twitter, leveraging DCF analysis, relative valuation, and precedent transaction analysis. The analysis supports a price range close to $54 per share, reflecting both intrinsic value and market-driven strategic considerations.</t>
  </si>
  <si>
    <r>
      <rPr>
        <b/>
        <i/>
        <sz val="11"/>
        <color rgb="FF002060"/>
        <rFont val="Calibri"/>
        <family val="2"/>
        <scheme val="minor"/>
      </rPr>
      <t xml:space="preserve">Intrinsic Growth &amp; Reinvestment Rate: </t>
    </r>
    <r>
      <rPr>
        <i/>
        <sz val="11"/>
        <color rgb="FF002060"/>
        <rFont val="Calibri"/>
        <family val="2"/>
        <scheme val="minor"/>
      </rPr>
      <t>Calculated using Twitter’s historical Reinvestment patterns, Capex Trend, and Changes in Working Capital. Growth Rate calculated using the ROIC and Reinvestment Rate. (See the sheet for detailed calculaion)</t>
    </r>
  </si>
  <si>
    <r>
      <rPr>
        <b/>
        <i/>
        <sz val="11"/>
        <color rgb="FF002060"/>
        <rFont val="Calibri"/>
        <family val="2"/>
        <scheme val="minor"/>
      </rPr>
      <t>Discounted Cash Flow (DCF) Analysis:</t>
    </r>
    <r>
      <rPr>
        <i/>
        <sz val="11"/>
        <color rgb="FF002060"/>
        <rFont val="Calibri"/>
        <family val="2"/>
        <scheme val="minor"/>
      </rPr>
      <t>The DCF method provided a forward-looking valuation based on projected cash flows and was stress-tested with a sensitivity analysis to account for changes in key assumptions like growth rate and discount rate.</t>
    </r>
  </si>
  <si>
    <r>
      <rPr>
        <b/>
        <i/>
        <sz val="11"/>
        <color rgb="FF002060"/>
        <rFont val="Calibri"/>
        <family val="2"/>
        <scheme val="minor"/>
      </rPr>
      <t>Comparable Company Valuation:</t>
    </r>
    <r>
      <rPr>
        <i/>
        <sz val="11"/>
        <color rgb="FF002060"/>
        <rFont val="Calibri"/>
        <family val="2"/>
        <scheme val="minor"/>
      </rPr>
      <t xml:space="preserve"> Twitter’s value was benchmarked against peer companies such as Meta, Alphabet, and Snap, using key financial multiples (P/E, EV/EBITDA, EV/Sales), which provided context for market-based valuations.</t>
    </r>
  </si>
  <si>
    <r>
      <rPr>
        <b/>
        <i/>
        <sz val="11"/>
        <color rgb="FF002060"/>
        <rFont val="Calibri"/>
        <family val="2"/>
        <scheme val="minor"/>
      </rPr>
      <t>Precedent Transaction Analysis:</t>
    </r>
    <r>
      <rPr>
        <i/>
        <sz val="11"/>
        <color rgb="FF002060"/>
        <rFont val="Calibri"/>
        <family val="2"/>
        <scheme val="minor"/>
      </rPr>
      <t xml:space="preserve"> High-profile and recent acquisitions in the Tech Industry such as Microsoft’s purchase of LinkedIn (2016) were used to assess market premiums and strategic value. The multiples used here were the same as used in the Relative Valuation Method. </t>
    </r>
  </si>
  <si>
    <r>
      <rPr>
        <b/>
        <i/>
        <sz val="11"/>
        <color rgb="FF002060"/>
        <rFont val="Calibri"/>
        <family val="2"/>
        <scheme val="minor"/>
      </rPr>
      <t xml:space="preserve">Kd Calculation: </t>
    </r>
    <r>
      <rPr>
        <i/>
        <sz val="11"/>
        <color rgb="FF002060"/>
        <rFont val="Calibri"/>
        <family val="2"/>
        <scheme val="minor"/>
      </rPr>
      <t xml:space="preserve">The Kd was calculated using 2 methods. First by dividing the finance cost by the Total Debt which gave an unrealistically low number. The other method was the "Rf+Credit Spread Method". See the Sheet for more details. </t>
    </r>
  </si>
  <si>
    <r>
      <rPr>
        <b/>
        <i/>
        <sz val="11"/>
        <color rgb="FF002060"/>
        <rFont val="Calibri"/>
        <family val="2"/>
        <scheme val="minor"/>
      </rPr>
      <t>Beta Calculation:</t>
    </r>
    <r>
      <rPr>
        <i/>
        <sz val="11"/>
        <color rgb="FF002060"/>
        <rFont val="Calibri"/>
        <family val="2"/>
        <scheme val="minor"/>
      </rPr>
      <t xml:space="preserve"> Beta was calculated using Twitter’s historical performance, capturing market volatility relative to broader indices. This was essential for deriving an accurate cost of equity. Beta for all competitor companies was also calculated. </t>
    </r>
  </si>
  <si>
    <r>
      <rPr>
        <b/>
        <i/>
        <sz val="11"/>
        <color rgb="FF002060"/>
        <rFont val="Calibri"/>
        <family val="2"/>
        <scheme val="minor"/>
      </rPr>
      <t xml:space="preserve">Football Field Analysis: </t>
    </r>
    <r>
      <rPr>
        <i/>
        <sz val="11"/>
        <color rgb="FF002060"/>
        <rFont val="Calibri"/>
        <family val="2"/>
        <scheme val="minor"/>
      </rPr>
      <t>A football field chart was used to visually integrate the different valuation approaches, showing a range of outcomes based on various models. This supported the decision that the target price near $54 per share was well-justified.</t>
    </r>
  </si>
  <si>
    <r>
      <rPr>
        <b/>
        <i/>
        <sz val="11"/>
        <color rgb="FF002060"/>
        <rFont val="Calibri"/>
        <family val="2"/>
        <scheme val="minor"/>
      </rPr>
      <t>Transaction Rationale:</t>
    </r>
    <r>
      <rPr>
        <i/>
        <sz val="11"/>
        <color rgb="FF002060"/>
        <rFont val="Calibri"/>
        <family val="2"/>
        <scheme val="minor"/>
      </rPr>
      <t xml:space="preserve"> The price paid reflects a strategic premium, factoring in future growth potential, network effects, and synergies from platform control. Musk’s acquisition is aligned with industry trends (Microsoft Acquiring LinkedIn), (Facebook's Acquisition of Whatsapp), (Salesforce Acquisition of Slack), where strategic acquisitions are priced above intrinsic value to capture future upside.</t>
    </r>
  </si>
  <si>
    <r>
      <rPr>
        <b/>
        <i/>
        <sz val="11"/>
        <color rgb="FF002060"/>
        <rFont val="Calibri"/>
        <family val="2"/>
        <scheme val="minor"/>
      </rPr>
      <t>Final Recommendation:</t>
    </r>
    <r>
      <rPr>
        <i/>
        <sz val="11"/>
        <color rgb="FF002060"/>
        <rFont val="Calibri"/>
        <family val="2"/>
        <scheme val="minor"/>
      </rPr>
      <t xml:space="preserve">The valuation supports a price range that justifies the </t>
    </r>
    <r>
      <rPr>
        <b/>
        <i/>
        <sz val="11"/>
        <color rgb="FF002060"/>
        <rFont val="Calibri"/>
        <family val="2"/>
        <scheme val="minor"/>
      </rPr>
      <t>$54</t>
    </r>
    <r>
      <rPr>
        <i/>
        <sz val="11"/>
        <color rgb="FF002060"/>
        <rFont val="Calibri"/>
        <family val="2"/>
        <scheme val="minor"/>
      </rPr>
      <t xml:space="preserve"> per share paid for Twitter, combining intrinsic valuation with strategic considerations and comparative analysis. This price reflects a balance between financial fundamentals and the long-term potential of the platform.</t>
    </r>
  </si>
  <si>
    <r>
      <t xml:space="preserve">A football field analysis is a visual representation used in investment banking to compare a range of valuation methods and show potential Equity Values or the Value Per Share. It typically displays different valuation approaches, such as Discounted Cash Flow (DCF), Comparable Company Analysis, Precedent Transactions, and more, all on a single chart. 
The range of valuations from each method is plotted as a horizontal bar, similar to a football field's layout, helping to compare and assess different valuations at a glance. This analysis is often used in M&amp;A, IPOs, and investment presentations to summarize valuation outcomes for easier decision-making.
We used 3 methods for calculating the Equity Value and the Value per Share, namely  </t>
    </r>
    <r>
      <rPr>
        <b/>
        <i/>
        <sz val="11"/>
        <color rgb="FF002060"/>
        <rFont val="Calibri"/>
        <family val="2"/>
        <scheme val="minor"/>
      </rPr>
      <t>"Precedent Transaction Valuation"</t>
    </r>
    <r>
      <rPr>
        <i/>
        <sz val="11"/>
        <color rgb="FF002060"/>
        <rFont val="Calibri"/>
        <family val="2"/>
        <scheme val="minor"/>
      </rPr>
      <t xml:space="preserve"> </t>
    </r>
    <r>
      <rPr>
        <b/>
        <i/>
        <sz val="11"/>
        <color rgb="FF002060"/>
        <rFont val="Calibri"/>
        <family val="2"/>
        <scheme val="minor"/>
      </rPr>
      <t>"Comparable Company Valuation (Relative Valuation)"</t>
    </r>
    <r>
      <rPr>
        <i/>
        <sz val="11"/>
        <color rgb="FF002060"/>
        <rFont val="Calibri"/>
        <family val="2"/>
        <scheme val="minor"/>
      </rPr>
      <t xml:space="preserve"> and the </t>
    </r>
    <r>
      <rPr>
        <b/>
        <i/>
        <sz val="11"/>
        <color rgb="FF002060"/>
        <rFont val="Calibri"/>
        <family val="2"/>
        <scheme val="minor"/>
      </rPr>
      <t>"DCF Method"</t>
    </r>
    <r>
      <rPr>
        <i/>
        <sz val="11"/>
        <color rgb="FF002060"/>
        <rFont val="Calibri"/>
        <family val="2"/>
        <scheme val="minor"/>
      </rPr>
      <t>. The calculations from both methods is done in the previous sheets. The Highest and Lowest Value per Share from both methods is displayed in the Chart above.</t>
    </r>
  </si>
  <si>
    <t>Scenario Analysis</t>
  </si>
  <si>
    <t>Risk-Free Rate</t>
  </si>
  <si>
    <t>These values represent the WACC figure for various levels of Debt and Equity Weights</t>
  </si>
  <si>
    <t>What will be the WACC Figure if the Debt Weight and the Equity Weight both keep fluctuating.</t>
  </si>
  <si>
    <t>What will be the WACC Figure if the Risk-free Rate and the Return from the Market both keep fluctuating.</t>
  </si>
  <si>
    <t>Return from the Market</t>
  </si>
  <si>
    <t>These values represent the WACC figure for various levels of Rf and Rm</t>
  </si>
  <si>
    <t xml:space="preserve">The Acquisition occurred in 2022. Therefore publicly available data is from 2021 and before. </t>
  </si>
  <si>
    <r>
      <t xml:space="preserve">Using the DCF model, I calculated Twitter’s </t>
    </r>
    <r>
      <rPr>
        <b/>
        <i/>
        <sz val="11"/>
        <color rgb="FF002060"/>
        <rFont val="Calibri"/>
        <family val="2"/>
        <scheme val="minor"/>
      </rPr>
      <t>"Intrinsic value"</t>
    </r>
    <r>
      <rPr>
        <i/>
        <sz val="11"/>
        <color rgb="FF002060"/>
        <rFont val="Calibri"/>
        <family val="2"/>
        <scheme val="minor"/>
      </rPr>
      <t xml:space="preserve"> at </t>
    </r>
    <r>
      <rPr>
        <b/>
        <i/>
        <sz val="11"/>
        <color rgb="FF002060"/>
        <rFont val="Calibri"/>
        <family val="2"/>
        <scheme val="minor"/>
      </rPr>
      <t>"$40.5"</t>
    </r>
    <r>
      <rPr>
        <i/>
        <sz val="11"/>
        <color rgb="FF002060"/>
        <rFont val="Calibri"/>
        <family val="2"/>
        <scheme val="minor"/>
      </rPr>
      <t xml:space="preserve"> Per Share, which is close to the </t>
    </r>
    <r>
      <rPr>
        <b/>
        <i/>
        <sz val="11"/>
        <color rgb="FF002060"/>
        <rFont val="Calibri"/>
        <family val="2"/>
        <scheme val="minor"/>
      </rPr>
      <t>"$54"</t>
    </r>
    <r>
      <rPr>
        <i/>
        <sz val="11"/>
        <color rgb="FF002060"/>
        <rFont val="Calibri"/>
        <family val="2"/>
        <scheme val="minor"/>
      </rPr>
      <t xml:space="preserve"> per share paid by Elon Musk during the acquisition. The difference reflects a </t>
    </r>
    <r>
      <rPr>
        <b/>
        <i/>
        <sz val="11"/>
        <color rgb="FF002060"/>
        <rFont val="Calibri"/>
        <family val="2"/>
        <scheme val="minor"/>
      </rPr>
      <t xml:space="preserve">"Premium" </t>
    </r>
    <r>
      <rPr>
        <i/>
        <sz val="11"/>
        <color rgb="FF002060"/>
        <rFont val="Calibri"/>
        <family val="2"/>
        <scheme val="minor"/>
      </rPr>
      <t xml:space="preserve">typically paid in strategic deals, accounting for factors like control and future growth potential.
While my valuation used conservative assumptions, </t>
    </r>
    <r>
      <rPr>
        <b/>
        <i/>
        <sz val="11"/>
        <color rgb="FF002060"/>
        <rFont val="Calibri"/>
        <family val="2"/>
        <scheme val="minor"/>
      </rPr>
      <t>"Morgan Stanley"</t>
    </r>
    <r>
      <rPr>
        <i/>
        <sz val="11"/>
        <color rgb="FF002060"/>
        <rFont val="Calibri"/>
        <family val="2"/>
        <scheme val="minor"/>
      </rPr>
      <t xml:space="preserve">, who advised Musk, likely used different inputs, such as:
1) Higher </t>
    </r>
    <r>
      <rPr>
        <b/>
        <i/>
        <sz val="11"/>
        <color rgb="FF002060"/>
        <rFont val="Calibri"/>
        <family val="2"/>
        <scheme val="minor"/>
      </rPr>
      <t>Revenue</t>
    </r>
    <r>
      <rPr>
        <i/>
        <sz val="11"/>
        <color rgb="FF002060"/>
        <rFont val="Calibri"/>
        <family val="2"/>
        <scheme val="minor"/>
      </rPr>
      <t xml:space="preserve"> and </t>
    </r>
    <r>
      <rPr>
        <b/>
        <i/>
        <sz val="11"/>
        <color rgb="FF002060"/>
        <rFont val="Calibri"/>
        <family val="2"/>
        <scheme val="minor"/>
      </rPr>
      <t>EBIT</t>
    </r>
    <r>
      <rPr>
        <i/>
        <sz val="11"/>
        <color rgb="FF002060"/>
        <rFont val="Calibri"/>
        <family val="2"/>
        <scheme val="minor"/>
      </rPr>
      <t xml:space="preserve"> growth projections based on future monetization strategies.
2) A lower </t>
    </r>
    <r>
      <rPr>
        <b/>
        <i/>
        <sz val="11"/>
        <color rgb="FF002060"/>
        <rFont val="Calibri"/>
        <family val="2"/>
        <scheme val="minor"/>
      </rPr>
      <t>WACC</t>
    </r>
    <r>
      <rPr>
        <i/>
        <sz val="11"/>
        <color rgb="FF002060"/>
        <rFont val="Calibri"/>
        <family val="2"/>
        <scheme val="minor"/>
      </rPr>
      <t xml:space="preserve"> due to using Market value of debt and equity as opposed to book values used by me.
3) Difference in </t>
    </r>
    <r>
      <rPr>
        <b/>
        <i/>
        <sz val="11"/>
        <color rgb="FF002060"/>
        <rFont val="Calibri"/>
        <family val="2"/>
        <scheme val="minor"/>
      </rPr>
      <t>Beta</t>
    </r>
    <r>
      <rPr>
        <i/>
        <sz val="11"/>
        <color rgb="FF002060"/>
        <rFont val="Calibri"/>
        <family val="2"/>
        <scheme val="minor"/>
      </rPr>
      <t xml:space="preserve"> and Cost of Equity Calculation
4) Difference in Cost of Debt </t>
    </r>
    <r>
      <rPr>
        <b/>
        <i/>
        <sz val="11"/>
        <color rgb="FF002060"/>
        <rFont val="Calibri"/>
        <family val="2"/>
        <scheme val="minor"/>
      </rPr>
      <t>(Kd)</t>
    </r>
    <r>
      <rPr>
        <i/>
        <sz val="11"/>
        <color rgb="FF002060"/>
        <rFont val="Calibri"/>
        <family val="2"/>
        <scheme val="minor"/>
      </rPr>
      <t xml:space="preserve"> Calcualtion
5) Different method of calculating the </t>
    </r>
    <r>
      <rPr>
        <b/>
        <i/>
        <sz val="11"/>
        <color rgb="FF002060"/>
        <rFont val="Calibri"/>
        <family val="2"/>
        <scheme val="minor"/>
      </rPr>
      <t>"Intrinsic Growth Rate"</t>
    </r>
    <r>
      <rPr>
        <i/>
        <sz val="11"/>
        <color rgb="FF002060"/>
        <rFont val="Calibri"/>
        <family val="2"/>
        <scheme val="minor"/>
      </rPr>
      <t xml:space="preserve"> and </t>
    </r>
    <r>
      <rPr>
        <b/>
        <i/>
        <sz val="11"/>
        <color rgb="FF002060"/>
        <rFont val="Calibri"/>
        <family val="2"/>
        <scheme val="minor"/>
      </rPr>
      <t>"Reinvestment Rate"</t>
    </r>
    <r>
      <rPr>
        <i/>
        <sz val="11"/>
        <color rgb="FF002060"/>
        <rFont val="Calibri"/>
        <family val="2"/>
        <scheme val="minor"/>
      </rPr>
      <t xml:space="preserve">
5) Different </t>
    </r>
    <r>
      <rPr>
        <b/>
        <i/>
        <sz val="11"/>
        <color rgb="FF002060"/>
        <rFont val="Calibri"/>
        <family val="2"/>
        <scheme val="minor"/>
      </rPr>
      <t>Tax Rate</t>
    </r>
    <r>
      <rPr>
        <i/>
        <sz val="11"/>
        <color rgb="FF002060"/>
        <rFont val="Calibri"/>
        <family val="2"/>
        <scheme val="minor"/>
      </rPr>
      <t xml:space="preserve"> assumption 
6) A more optimistic </t>
    </r>
    <r>
      <rPr>
        <b/>
        <i/>
        <sz val="11"/>
        <color rgb="FF002060"/>
        <rFont val="Calibri"/>
        <family val="2"/>
        <scheme val="minor"/>
      </rPr>
      <t>Terminal value</t>
    </r>
    <r>
      <rPr>
        <i/>
        <sz val="11"/>
        <color rgb="FF002060"/>
        <rFont val="Calibri"/>
        <family val="2"/>
        <scheme val="minor"/>
      </rPr>
      <t xml:space="preserve">, forecasting stronger long-term market positioning or Terminal Value using the "Exit Multiple" Method. 
The premium also reflects Expectations of Synergies, such as cost efficiencies, and the strategic value of owning a key social media platform.
</t>
    </r>
  </si>
  <si>
    <r>
      <rPr>
        <b/>
        <i/>
        <sz val="11"/>
        <color rgb="FF002060"/>
        <rFont val="Calibri"/>
        <family val="2"/>
        <scheme val="minor"/>
      </rPr>
      <t xml:space="preserve">WACC Calculation: </t>
    </r>
    <r>
      <rPr>
        <i/>
        <sz val="11"/>
        <color rgb="FF002060"/>
        <rFont val="Calibri"/>
        <family val="2"/>
        <scheme val="minor"/>
      </rPr>
      <t xml:space="preserve">A custom Weighted Average Cost of Capital (WACC) was developed based on Twitter’s capital structure, beta, and cost of debt. This rate served as the discount rate for the DCF.
Furthermore, WACC Scenario Analysis was also conducted to give various levels of WACC for various input levels of Rf, Rm, Tax-Rate, Debt and Equity Weight. </t>
    </r>
  </si>
  <si>
    <r>
      <rPr>
        <b/>
        <i/>
        <sz val="11"/>
        <color rgb="FF002060"/>
        <rFont val="Calibri"/>
        <family val="2"/>
        <scheme val="minor"/>
      </rPr>
      <t>1)</t>
    </r>
    <r>
      <rPr>
        <i/>
        <sz val="11"/>
        <color rgb="FF002060"/>
        <rFont val="Calibri"/>
        <family val="2"/>
        <scheme val="minor"/>
      </rPr>
      <t xml:space="preserve"> Cost of Equity calculated using CAPM Model</t>
    </r>
  </si>
  <si>
    <r>
      <rPr>
        <b/>
        <i/>
        <sz val="11"/>
        <color rgb="FF002060"/>
        <rFont val="Calibri"/>
        <family val="2"/>
        <scheme val="minor"/>
      </rPr>
      <t>2)</t>
    </r>
    <r>
      <rPr>
        <i/>
        <sz val="11"/>
        <color rgb="FF002060"/>
        <rFont val="Calibri"/>
        <family val="2"/>
        <scheme val="minor"/>
      </rPr>
      <t xml:space="preserve"> Cost of Debt calculated using Rf+Credit Spread Method</t>
    </r>
  </si>
  <si>
    <r>
      <rPr>
        <b/>
        <i/>
        <sz val="11"/>
        <color rgb="FF002060"/>
        <rFont val="Calibri"/>
        <family val="2"/>
        <scheme val="minor"/>
      </rPr>
      <t>3)</t>
    </r>
    <r>
      <rPr>
        <i/>
        <sz val="11"/>
        <color rgb="FF002060"/>
        <rFont val="Calibri"/>
        <family val="2"/>
        <scheme val="minor"/>
      </rPr>
      <t xml:space="preserve"> Rf Taken as the 10-year U.S. Treasury Yield </t>
    </r>
  </si>
  <si>
    <r>
      <rPr>
        <b/>
        <i/>
        <sz val="11"/>
        <color rgb="FF002060"/>
        <rFont val="Calibri"/>
        <family val="2"/>
        <scheme val="minor"/>
      </rPr>
      <t>4)</t>
    </r>
    <r>
      <rPr>
        <i/>
        <sz val="11"/>
        <color rgb="FF002060"/>
        <rFont val="Calibri"/>
        <family val="2"/>
        <scheme val="minor"/>
      </rPr>
      <t xml:space="preserve"> Rm Taken as the Average Return on the S&amp;P-500 Index for the last 10 years</t>
    </r>
  </si>
  <si>
    <r>
      <rPr>
        <b/>
        <i/>
        <sz val="11"/>
        <color rgb="FF002060"/>
        <rFont val="Calibri"/>
        <family val="2"/>
        <scheme val="minor"/>
      </rPr>
      <t>5)</t>
    </r>
    <r>
      <rPr>
        <i/>
        <sz val="11"/>
        <color rgb="FF002060"/>
        <rFont val="Calibri"/>
        <family val="2"/>
        <scheme val="minor"/>
      </rPr>
      <t xml:space="preserve"> Beta for Twitter and Peer Companies calculated using the "Variance/Covariance and Slope Formula".</t>
    </r>
  </si>
  <si>
    <r>
      <rPr>
        <b/>
        <i/>
        <sz val="11"/>
        <color rgb="FF002060"/>
        <rFont val="Calibri"/>
        <family val="2"/>
        <scheme val="minor"/>
      </rPr>
      <t xml:space="preserve">6) </t>
    </r>
    <r>
      <rPr>
        <i/>
        <sz val="11"/>
        <color rgb="FF002060"/>
        <rFont val="Calibri"/>
        <family val="2"/>
        <scheme val="minor"/>
      </rPr>
      <t>Tax rate taken as 25% both in WACC Calculation and DCF Calculation</t>
    </r>
  </si>
  <si>
    <r>
      <rPr>
        <b/>
        <i/>
        <sz val="11"/>
        <color rgb="FF002060"/>
        <rFont val="Calibri"/>
        <family val="2"/>
        <scheme val="minor"/>
      </rPr>
      <t>12)</t>
    </r>
    <r>
      <rPr>
        <i/>
        <sz val="11"/>
        <color rgb="FF002060"/>
        <rFont val="Calibri"/>
        <family val="2"/>
        <scheme val="minor"/>
      </rPr>
      <t xml:space="preserve"> Microsoft's Acquisition of LinkedIn (2016) used as the Transaction for Precedent Transaction Valuation</t>
    </r>
  </si>
  <si>
    <r>
      <rPr>
        <b/>
        <i/>
        <sz val="11"/>
        <color rgb="FF002060"/>
        <rFont val="Calibri"/>
        <family val="2"/>
        <scheme val="minor"/>
      </rPr>
      <t>11)</t>
    </r>
    <r>
      <rPr>
        <i/>
        <sz val="11"/>
        <color rgb="FF002060"/>
        <rFont val="Calibri"/>
        <family val="2"/>
        <scheme val="minor"/>
      </rPr>
      <t xml:space="preserve"> For using the PE ratio as a mutiple for Relative Valuation, EPS of Twitter Forecasted using "Linear Regression". </t>
    </r>
  </si>
  <si>
    <r>
      <rPr>
        <b/>
        <i/>
        <sz val="11"/>
        <color rgb="FF002060"/>
        <rFont val="Calibri"/>
        <family val="2"/>
        <scheme val="minor"/>
      </rPr>
      <t>10)</t>
    </r>
    <r>
      <rPr>
        <i/>
        <sz val="11"/>
        <color rgb="FF002060"/>
        <rFont val="Calibri"/>
        <family val="2"/>
        <scheme val="minor"/>
      </rPr>
      <t xml:space="preserve"> Alphabet's Class A Shares used for data in the Relative Valuation.</t>
    </r>
  </si>
  <si>
    <r>
      <rPr>
        <b/>
        <i/>
        <sz val="11"/>
        <color rgb="FF002060"/>
        <rFont val="Calibri"/>
        <family val="2"/>
        <scheme val="minor"/>
      </rPr>
      <t>9)</t>
    </r>
    <r>
      <rPr>
        <i/>
        <sz val="11"/>
        <color rgb="FF002060"/>
        <rFont val="Calibri"/>
        <family val="2"/>
        <scheme val="minor"/>
      </rPr>
      <t xml:space="preserve"> Multiples like EV/EBITDA, EV/Sales, and Price-to-book ratio used for Relative Valuation</t>
    </r>
  </si>
  <si>
    <r>
      <rPr>
        <b/>
        <i/>
        <sz val="11"/>
        <color rgb="FF002060"/>
        <rFont val="Calibri"/>
        <family val="2"/>
        <scheme val="minor"/>
      </rPr>
      <t>8)</t>
    </r>
    <r>
      <rPr>
        <i/>
        <sz val="11"/>
        <color rgb="FF002060"/>
        <rFont val="Calibri"/>
        <family val="2"/>
        <scheme val="minor"/>
      </rPr>
      <t xml:space="preserve"> Terminal Value in DCF Calculated using the "Gordon's Growth Model"</t>
    </r>
  </si>
  <si>
    <r>
      <rPr>
        <b/>
        <i/>
        <sz val="11"/>
        <color rgb="FF002060"/>
        <rFont val="Calibri"/>
        <family val="2"/>
        <scheme val="minor"/>
      </rPr>
      <t>7)</t>
    </r>
    <r>
      <rPr>
        <i/>
        <sz val="11"/>
        <color rgb="FF002060"/>
        <rFont val="Calibri"/>
        <family val="2"/>
        <scheme val="minor"/>
      </rPr>
      <t xml:space="preserve"> Intrinsic Growth Rate of the company calculated using the Formula
Growth Rate=ROIC*Reinvestment Rate
where ROIC is Return on Invested Capital
Reinvestment Rate= Reinvestment Amount/EBIT(1-Tax)
Reinvestment Amount=Net Capex Investment+Working Capital Change</t>
    </r>
  </si>
  <si>
    <r>
      <rPr>
        <b/>
        <i/>
        <sz val="11"/>
        <color rgb="FF002060"/>
        <rFont val="Calibri"/>
        <family val="2"/>
        <scheme val="minor"/>
      </rPr>
      <t>13)</t>
    </r>
    <r>
      <rPr>
        <i/>
        <sz val="11"/>
        <color rgb="FF002060"/>
        <rFont val="Calibri"/>
        <family val="2"/>
        <scheme val="minor"/>
      </rPr>
      <t xml:space="preserve"> Dividend Discounting Valuation Method Could NOT be used due to near 0% Payout Ratio and inconsistent dividend history of Twitter before Acqusisition. </t>
    </r>
  </si>
  <si>
    <t>No. of Shares offered at the time of Acquisition (M)</t>
  </si>
  <si>
    <r>
      <rPr>
        <b/>
        <i/>
        <sz val="11"/>
        <color rgb="FF002060"/>
        <rFont val="Calibri"/>
        <family val="2"/>
        <scheme val="minor"/>
      </rPr>
      <t>14)</t>
    </r>
    <r>
      <rPr>
        <i/>
        <sz val="11"/>
        <color rgb="FF002060"/>
        <rFont val="Calibri"/>
        <family val="2"/>
        <scheme val="minor"/>
      </rPr>
      <t xml:space="preserve"> PE Ratio method could not be used directly in the relative valuation since the latest PAT was negative. Therefore, we used the EPS forecasting method to get a reliable estimate of the EPS and get the value per share by multiplying it with the median comps PE Ratio. The EPS was forecasted using the Linear Regression method. </t>
    </r>
  </si>
  <si>
    <t>Price Paid by Musk at Acquisition for 100% Stake</t>
  </si>
  <si>
    <t>Current Market Value estimated by Fidelity</t>
  </si>
  <si>
    <t>B$</t>
  </si>
  <si>
    <t>Loss on investment</t>
  </si>
  <si>
    <t>As a %</t>
  </si>
  <si>
    <r>
      <t xml:space="preserve">Fidelity's valuation of X (formerly Twitter) at $9.4 billion (as of October 2024) is based on their internal assessment of fair market value for private investments, particularly in their funds. Following are the reasons why Fidelity has assessed such a low valuation for X
</t>
    </r>
    <r>
      <rPr>
        <b/>
        <i/>
        <sz val="11"/>
        <color rgb="FF002060"/>
        <rFont val="Calibri"/>
        <family val="2"/>
        <scheme val="minor"/>
      </rPr>
      <t>1) Revenue Trends</t>
    </r>
    <r>
      <rPr>
        <i/>
        <sz val="11"/>
        <color rgb="FF002060"/>
        <rFont val="Calibri"/>
        <family val="2"/>
        <scheme val="minor"/>
      </rPr>
      <t xml:space="preserve">: X's advertising revenue reportedly dropped significantly after Elon Musk's acquisition, with many advertisers leaving the platform.
Subscription-based revenue (like X Premium) might not have compensated for the decline.
</t>
    </r>
    <r>
      <rPr>
        <b/>
        <i/>
        <sz val="11"/>
        <color rgb="FF002060"/>
        <rFont val="Calibri"/>
        <family val="2"/>
        <scheme val="minor"/>
      </rPr>
      <t>2) Profitability and Cash Flow:</t>
    </r>
    <r>
      <rPr>
        <i/>
        <sz val="11"/>
        <color rgb="FF002060"/>
        <rFont val="Calibri"/>
        <family val="2"/>
        <scheme val="minor"/>
      </rPr>
      <t xml:space="preserve"> High debt servicing costs from the leveraged buyout </t>
    </r>
    <r>
      <rPr>
        <b/>
        <i/>
        <sz val="11"/>
        <color rgb="FF002060"/>
        <rFont val="Calibri"/>
        <family val="2"/>
        <scheme val="minor"/>
      </rPr>
      <t>($13 billion in debt)</t>
    </r>
    <r>
      <rPr>
        <i/>
        <sz val="11"/>
        <color rgb="FF002060"/>
        <rFont val="Calibri"/>
        <family val="2"/>
        <scheme val="minor"/>
      </rPr>
      <t xml:space="preserve"> would have strained profitability.
</t>
    </r>
    <r>
      <rPr>
        <b/>
        <i/>
        <sz val="11"/>
        <color rgb="FF002060"/>
        <rFont val="Calibri"/>
        <family val="2"/>
        <scheme val="minor"/>
      </rPr>
      <t xml:space="preserve">3) Market Sentiment: </t>
    </r>
    <r>
      <rPr>
        <i/>
        <sz val="11"/>
        <color rgb="FF002060"/>
        <rFont val="Calibri"/>
        <family val="2"/>
        <scheme val="minor"/>
      </rPr>
      <t xml:space="preserve">Fidelity might have factored in negative public sentiment, advertiser hesitancy, and competition from platforms like Threads by Meta.
The platform's rebranding to X introduced uncertainty around its long-term positioning and monetization potential.
</t>
    </r>
    <r>
      <rPr>
        <b/>
        <i/>
        <sz val="11"/>
        <color rgb="FF002060"/>
        <rFont val="Calibri"/>
        <family val="2"/>
        <scheme val="minor"/>
      </rPr>
      <t>4) Comparable Company Valuations:</t>
    </r>
    <r>
      <rPr>
        <i/>
        <sz val="11"/>
        <color rgb="FF002060"/>
        <rFont val="Calibri"/>
        <family val="2"/>
        <scheme val="minor"/>
      </rPr>
      <t xml:space="preserve"> Valuation comparisons to other social media or digital advertising companies like Meta, Snap, or Pinterest would have played a role.
Declines in revenue multiples (price-to-revenue ratios) for the social media sector may have impacted their assessment.
</t>
    </r>
    <r>
      <rPr>
        <b/>
        <i/>
        <sz val="11"/>
        <color rgb="FF002060"/>
        <rFont val="Calibri"/>
        <family val="2"/>
        <scheme val="minor"/>
      </rPr>
      <t>5) Private Investment Discount:</t>
    </r>
    <r>
      <rPr>
        <i/>
        <sz val="11"/>
        <color rgb="FF002060"/>
        <rFont val="Calibri"/>
        <family val="2"/>
        <scheme val="minor"/>
      </rPr>
      <t xml:space="preserve"> As X is no longer publicly traded, Fidelity would have applied a liquidity discount to account for the challenges of valuing and exiting a private company.</t>
    </r>
  </si>
  <si>
    <t>Did Elon Musk Actually Lose Money on X</t>
  </si>
  <si>
    <r>
      <rPr>
        <b/>
        <i/>
        <sz val="11"/>
        <color rgb="FF002060"/>
        <rFont val="Calibri"/>
        <family val="2"/>
        <scheme val="minor"/>
      </rPr>
      <t>Why X Might Not Be a Loss for Musk</t>
    </r>
    <r>
      <rPr>
        <i/>
        <sz val="11"/>
        <color rgb="FF002060"/>
        <rFont val="Calibri"/>
        <family val="2"/>
        <scheme val="minor"/>
      </rPr>
      <t xml:space="preserve">
</t>
    </r>
    <r>
      <rPr>
        <b/>
        <i/>
        <sz val="11"/>
        <color rgb="FF002060"/>
        <rFont val="Calibri"/>
        <family val="2"/>
        <scheme val="minor"/>
      </rPr>
      <t xml:space="preserve">
1) Cost Savings for Advertising: </t>
    </r>
    <r>
      <rPr>
        <i/>
        <sz val="11"/>
        <color rgb="FF002060"/>
        <rFont val="Calibri"/>
        <family val="2"/>
        <scheme val="minor"/>
      </rPr>
      <t xml:space="preserve">Musk uses X as a platform for Tesla, SpaceX, and Starlink promotions, reducing reliance on external advertising.
If Tesla spends </t>
    </r>
    <r>
      <rPr>
        <b/>
        <i/>
        <sz val="11"/>
        <color rgb="FF002060"/>
        <rFont val="Calibri"/>
        <family val="2"/>
        <scheme val="minor"/>
      </rPr>
      <t>$1 billion</t>
    </r>
    <r>
      <rPr>
        <i/>
        <sz val="11"/>
        <color rgb="FF002060"/>
        <rFont val="Calibri"/>
        <family val="2"/>
        <scheme val="minor"/>
      </rPr>
      <t xml:space="preserve"> annually on advertising, redirecting just </t>
    </r>
    <r>
      <rPr>
        <b/>
        <i/>
        <sz val="11"/>
        <color rgb="FF002060"/>
        <rFont val="Calibri"/>
        <family val="2"/>
        <scheme val="minor"/>
      </rPr>
      <t>10-20%</t>
    </r>
    <r>
      <rPr>
        <i/>
        <sz val="11"/>
        <color rgb="FF002060"/>
        <rFont val="Calibri"/>
        <family val="2"/>
        <scheme val="minor"/>
      </rPr>
      <t xml:space="preserve"> of this budget to X could save </t>
    </r>
    <r>
      <rPr>
        <b/>
        <i/>
        <sz val="11"/>
        <color rgb="FF002060"/>
        <rFont val="Calibri"/>
        <family val="2"/>
        <scheme val="minor"/>
      </rPr>
      <t>$100-200 Million</t>
    </r>
    <r>
      <rPr>
        <i/>
        <sz val="11"/>
        <color rgb="FF002060"/>
        <rFont val="Calibri"/>
        <family val="2"/>
        <scheme val="minor"/>
      </rPr>
      <t xml:space="preserve"> annually.
</t>
    </r>
    <r>
      <rPr>
        <b/>
        <i/>
        <sz val="11"/>
        <color rgb="FF002060"/>
        <rFont val="Calibri"/>
        <family val="2"/>
        <scheme val="minor"/>
      </rPr>
      <t>2) Cross-Promotional Revenue:</t>
    </r>
    <r>
      <rPr>
        <i/>
        <sz val="11"/>
        <color rgb="FF002060"/>
        <rFont val="Calibri"/>
        <family val="2"/>
        <scheme val="minor"/>
      </rPr>
      <t xml:space="preserve"> By integrating X into his ecosystem, Musk could funnel traffic to Tesla and Starlink, driving indirect revenue.
For instance, </t>
    </r>
    <r>
      <rPr>
        <b/>
        <i/>
        <sz val="11"/>
        <color rgb="FF002060"/>
        <rFont val="Calibri"/>
        <family val="2"/>
        <scheme val="minor"/>
      </rPr>
      <t xml:space="preserve">a 10% </t>
    </r>
    <r>
      <rPr>
        <i/>
        <sz val="11"/>
        <color rgb="FF002060"/>
        <rFont val="Calibri"/>
        <family val="2"/>
        <scheme val="minor"/>
      </rPr>
      <t>boost in Tesla's</t>
    </r>
    <r>
      <rPr>
        <b/>
        <i/>
        <sz val="11"/>
        <color rgb="FF002060"/>
        <rFont val="Calibri"/>
        <family val="2"/>
        <scheme val="minor"/>
      </rPr>
      <t xml:space="preserve"> $25 billion </t>
    </r>
    <r>
      <rPr>
        <i/>
        <sz val="11"/>
        <color rgb="FF002060"/>
        <rFont val="Calibri"/>
        <family val="2"/>
        <scheme val="minor"/>
      </rPr>
      <t>net income equals a</t>
    </r>
    <r>
      <rPr>
        <b/>
        <i/>
        <sz val="11"/>
        <color rgb="FF002060"/>
        <rFont val="Calibri"/>
        <family val="2"/>
        <scheme val="minor"/>
      </rPr>
      <t xml:space="preserve"> $2.5 billion </t>
    </r>
    <r>
      <rPr>
        <i/>
        <sz val="11"/>
        <color rgb="FF002060"/>
        <rFont val="Calibri"/>
        <family val="2"/>
        <scheme val="minor"/>
      </rPr>
      <t xml:space="preserve">gain annually.
</t>
    </r>
    <r>
      <rPr>
        <b/>
        <i/>
        <sz val="11"/>
        <color rgb="FF002060"/>
        <rFont val="Calibri"/>
        <family val="2"/>
        <scheme val="minor"/>
      </rPr>
      <t>3) Platform Control:</t>
    </r>
    <r>
      <rPr>
        <i/>
        <sz val="11"/>
        <color rgb="FF002060"/>
        <rFont val="Calibri"/>
        <family val="2"/>
        <scheme val="minor"/>
      </rPr>
      <t xml:space="preserve"> Owning X gives Musk direct influence over public discourse, valuable for shaping perceptions about his ventures.
This control might not have a direct monetary value but is critical for managing crises and promoting innovation.
</t>
    </r>
    <r>
      <rPr>
        <b/>
        <i/>
        <sz val="11"/>
        <color rgb="FF002060"/>
        <rFont val="Calibri"/>
        <family val="2"/>
        <scheme val="minor"/>
      </rPr>
      <t xml:space="preserve">4) Potential Upside from X Premium: </t>
    </r>
    <r>
      <rPr>
        <i/>
        <sz val="11"/>
        <color rgb="FF002060"/>
        <rFont val="Calibri"/>
        <family val="2"/>
        <scheme val="minor"/>
      </rPr>
      <t xml:space="preserve">With X Premium (formerly Twitter Blue) generating new subscription revenue, the platform could gradually reduce its reliance on advertising. Even 10 million premium subscribers paying $8/month would yield $960 million annually.
</t>
    </r>
    <r>
      <rPr>
        <b/>
        <i/>
        <sz val="11"/>
        <color rgb="FF002060"/>
        <rFont val="Calibri"/>
        <family val="2"/>
        <scheme val="minor"/>
      </rPr>
      <t xml:space="preserve">5) Tech Ecosystem Synergy: </t>
    </r>
    <r>
      <rPr>
        <i/>
        <sz val="11"/>
        <color rgb="FF002060"/>
        <rFont val="Calibri"/>
        <family val="2"/>
        <scheme val="minor"/>
      </rPr>
      <t xml:space="preserve">Integrating X with AI initiatives (e.g., xAI) and monetizing user data could unlock untapped value in the future.
</t>
    </r>
    <r>
      <rPr>
        <b/>
        <i/>
        <sz val="11"/>
        <color rgb="FF002060"/>
        <rFont val="Calibri"/>
        <family val="2"/>
        <scheme val="minor"/>
      </rPr>
      <t>Conclusion:</t>
    </r>
    <r>
      <rPr>
        <i/>
        <sz val="11"/>
        <color rgb="FF002060"/>
        <rFont val="Calibri"/>
        <family val="2"/>
        <scheme val="minor"/>
      </rPr>
      <t xml:space="preserve">
While X's standalone valuation has dropped to $9.4 billion, its strategic value across Musk’s businesses—through cost savings, indirect revenue, and platform control—likely mitigates the apparent financial loss.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</si>
</sst>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000_);_(* \(#,##0.000\);_(* &quot;-&quot;??_);_(@_)"/>
    <numFmt numFmtId="165" formatCode="_(* #,##0_);_(* \(#,##0\);_(* &quot;-&quot;??_);_(@_)"/>
    <numFmt numFmtId="166" formatCode="0.000%"/>
    <numFmt numFmtId="167" formatCode="0.00000%"/>
    <numFmt numFmtId="168" formatCode="[$-409]d\-mmm\-yy;@"/>
    <numFmt numFmtId="169" formatCode="0.0000%"/>
    <numFmt numFmtId="170" formatCode="0.00\x"/>
  </numFmts>
  <fonts count="3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i/>
      <sz val="10"/>
      <color theme="1"/>
      <name val="Calibri"/>
      <family val="2"/>
      <scheme val="minor"/>
    </font>
    <font>
      <vertAlign val="superscript"/>
      <sz val="11"/>
      <color theme="1"/>
      <name val="Calibri"/>
      <family val="2"/>
      <scheme val="minor"/>
    </font>
    <font>
      <sz val="11"/>
      <color rgb="FF002060"/>
      <name val="Calibri"/>
      <family val="2"/>
      <scheme val="minor"/>
    </font>
    <font>
      <b/>
      <sz val="11"/>
      <color rgb="FF002060"/>
      <name val="Calibri"/>
      <family val="2"/>
      <scheme val="minor"/>
    </font>
    <font>
      <b/>
      <i/>
      <sz val="11"/>
      <color theme="0"/>
      <name val="Calibri"/>
      <family val="2"/>
      <scheme val="minor"/>
    </font>
    <font>
      <sz val="11"/>
      <name val="Calibri"/>
      <family val="2"/>
      <scheme val="minor"/>
    </font>
    <font>
      <b/>
      <vertAlign val="superscript"/>
      <sz val="11"/>
      <color theme="1"/>
      <name val="Calibri"/>
      <family val="2"/>
      <scheme val="minor"/>
    </font>
    <font>
      <b/>
      <sz val="9"/>
      <color indexed="81"/>
      <name val="Tahoma"/>
      <family val="2"/>
    </font>
    <font>
      <sz val="9"/>
      <color indexed="81"/>
      <name val="Tahoma"/>
      <family val="2"/>
    </font>
    <font>
      <sz val="11"/>
      <color rgb="FF000000"/>
      <name val="Calibri"/>
      <family val="2"/>
    </font>
    <font>
      <b/>
      <sz val="11"/>
      <color theme="0"/>
      <name val="Calibri"/>
      <family val="2"/>
    </font>
    <font>
      <b/>
      <u/>
      <sz val="11"/>
      <color theme="0"/>
      <name val="Calibri"/>
      <family val="2"/>
      <scheme val="minor"/>
    </font>
    <font>
      <b/>
      <i/>
      <sz val="11"/>
      <color rgb="FF002060"/>
      <name val="Calibri"/>
      <family val="2"/>
      <scheme val="minor"/>
    </font>
    <font>
      <b/>
      <u/>
      <sz val="11"/>
      <color rgb="FF002060"/>
      <name val="Calibri"/>
      <family val="2"/>
      <scheme val="minor"/>
    </font>
    <font>
      <i/>
      <sz val="11"/>
      <color theme="0"/>
      <name val="Calibri"/>
      <family val="2"/>
      <scheme val="minor"/>
    </font>
    <font>
      <i/>
      <sz val="11"/>
      <color rgb="FF002060"/>
      <name val="Calibri"/>
      <family val="2"/>
      <scheme val="minor"/>
    </font>
    <font>
      <i/>
      <sz val="11"/>
      <color theme="1"/>
      <name val="Calibri"/>
      <family val="2"/>
      <scheme val="minor"/>
    </font>
    <font>
      <b/>
      <vertAlign val="superscript"/>
      <sz val="11"/>
      <color rgb="FF002060"/>
      <name val="Calibri"/>
      <family val="2"/>
      <scheme val="minor"/>
    </font>
    <font>
      <b/>
      <i/>
      <sz val="11"/>
      <color rgb="FF00B0F0"/>
      <name val="Calibri"/>
      <family val="2"/>
      <scheme val="minor"/>
    </font>
    <font>
      <b/>
      <i/>
      <sz val="11"/>
      <color theme="1"/>
      <name val="Calibri"/>
      <family val="2"/>
      <scheme val="minor"/>
    </font>
    <font>
      <sz val="11"/>
      <color rgb="FF000000"/>
      <name val="Calibri"/>
      <family val="2"/>
      <scheme val="minor"/>
    </font>
    <font>
      <sz val="10"/>
      <color rgb="FF000000"/>
      <name val="Calibri"/>
      <family val="2"/>
      <scheme val="minor"/>
    </font>
    <font>
      <b/>
      <sz val="14"/>
      <color theme="0"/>
      <name val="Calibri"/>
      <family val="2"/>
    </font>
    <font>
      <u/>
      <sz val="11"/>
      <color theme="10"/>
      <name val="Calibri"/>
      <family val="2"/>
      <scheme val="minor"/>
    </font>
    <font>
      <i/>
      <u/>
      <sz val="11"/>
      <color rgb="FF002060"/>
      <name val="Calibri"/>
      <family val="2"/>
      <scheme val="minor"/>
    </font>
    <font>
      <b/>
      <sz val="11"/>
      <name val="Calibri"/>
      <family val="2"/>
      <scheme val="minor"/>
    </font>
    <font>
      <sz val="10"/>
      <color rgb="FF000000"/>
      <name val="Times New Roman"/>
      <family val="1"/>
    </font>
    <font>
      <b/>
      <vertAlign val="superscript"/>
      <sz val="11"/>
      <color theme="0"/>
      <name val="Calibri"/>
      <family val="2"/>
      <scheme val="minor"/>
    </font>
    <font>
      <b/>
      <i/>
      <vertAlign val="superscript"/>
      <sz val="11"/>
      <color theme="1"/>
      <name val="Calibri"/>
      <family val="2"/>
      <scheme val="minor"/>
    </font>
    <font>
      <sz val="8"/>
      <color theme="1"/>
      <name val="Arial"/>
      <family val="2"/>
    </font>
    <font>
      <sz val="11"/>
      <color theme="0" tint="-0.249977111117893"/>
      <name val="Calibri"/>
      <family val="2"/>
      <scheme val="minor"/>
    </font>
    <font>
      <b/>
      <sz val="11"/>
      <color rgb="FFFF0000"/>
      <name val="Calibri"/>
      <family val="2"/>
      <scheme val="minor"/>
    </font>
    <font>
      <b/>
      <i/>
      <sz val="11"/>
      <color theme="0" tint="-4.9989318521683403E-2"/>
      <name val="Calibri"/>
      <family val="2"/>
      <scheme val="minor"/>
    </font>
  </fonts>
  <fills count="10">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0"/>
        <bgColor indexed="64"/>
      </patternFill>
    </fill>
  </fills>
  <borders count="63">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bottom style="hair">
        <color auto="1"/>
      </bottom>
      <diagonal/>
    </border>
    <border>
      <left/>
      <right/>
      <top style="hair">
        <color auto="1"/>
      </top>
      <bottom/>
      <diagonal/>
    </border>
    <border>
      <left/>
      <right/>
      <top style="medium">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ck">
        <color rgb="FF002060"/>
      </top>
      <bottom/>
      <diagonal/>
    </border>
    <border>
      <left/>
      <right/>
      <top style="thick">
        <color rgb="FF002060"/>
      </top>
      <bottom style="medium">
        <color rgb="FF002060"/>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2060"/>
      </bottom>
      <diagonal/>
    </border>
    <border>
      <left/>
      <right/>
      <top/>
      <bottom style="medium">
        <color theme="0"/>
      </bottom>
      <diagonal/>
    </border>
    <border>
      <left/>
      <right/>
      <top style="medium">
        <color rgb="FF002060"/>
      </top>
      <bottom style="medium">
        <color rgb="FF002060"/>
      </bottom>
      <diagonal/>
    </border>
    <border>
      <left/>
      <right/>
      <top/>
      <bottom style="thin">
        <color rgb="FF383B8C"/>
      </bottom>
      <diagonal/>
    </border>
    <border>
      <left/>
      <right/>
      <top/>
      <bottom style="thin">
        <color rgb="FF343880"/>
      </bottom>
      <diagonal/>
    </border>
    <border>
      <left style="thin">
        <color rgb="FF383B8C"/>
      </left>
      <right style="thin">
        <color rgb="FF383B8C"/>
      </right>
      <top style="thin">
        <color rgb="FF383B8C"/>
      </top>
      <bottom/>
      <diagonal/>
    </border>
    <border>
      <left style="thin">
        <color rgb="FF343880"/>
      </left>
      <right style="thin">
        <color rgb="FF343880"/>
      </right>
      <top style="thin">
        <color rgb="FF343880"/>
      </top>
      <bottom/>
      <diagonal/>
    </border>
    <border>
      <left style="thin">
        <color rgb="FF383B8C"/>
      </left>
      <right style="thin">
        <color rgb="FF383B8C"/>
      </right>
      <top/>
      <bottom/>
      <diagonal/>
    </border>
    <border>
      <left style="thin">
        <color rgb="FF343880"/>
      </left>
      <right style="thin">
        <color rgb="FF343880"/>
      </right>
      <top/>
      <bottom/>
      <diagonal/>
    </border>
    <border>
      <left style="thin">
        <color rgb="FF383B8C"/>
      </left>
      <right style="thin">
        <color rgb="FF383B8C"/>
      </right>
      <top/>
      <bottom style="thin">
        <color rgb="FF383B8C"/>
      </bottom>
      <diagonal/>
    </border>
    <border>
      <left style="thin">
        <color rgb="FF343880"/>
      </left>
      <right style="thin">
        <color rgb="FF343880"/>
      </right>
      <top/>
      <bottom style="thin">
        <color rgb="FF343880"/>
      </bottom>
      <diagonal/>
    </border>
    <border>
      <left/>
      <right/>
      <top style="thin">
        <color rgb="FF383B8C"/>
      </top>
      <bottom style="thin">
        <color rgb="FF343883"/>
      </bottom>
      <diagonal/>
    </border>
    <border>
      <left/>
      <right/>
      <top style="thin">
        <color rgb="FF343883"/>
      </top>
      <bottom/>
      <diagonal/>
    </border>
    <border>
      <left/>
      <right/>
      <top/>
      <bottom style="thin">
        <color rgb="FF2F3487"/>
      </bottom>
      <diagonal/>
    </border>
    <border>
      <left/>
      <right/>
      <top/>
      <bottom style="thin">
        <color rgb="FF2B2B7C"/>
      </bottom>
      <diagonal/>
    </border>
    <border>
      <left style="thin">
        <color rgb="FF2F3487"/>
      </left>
      <right style="thin">
        <color rgb="FF2F3487"/>
      </right>
      <top style="thin">
        <color rgb="FF2F3487"/>
      </top>
      <bottom/>
      <diagonal/>
    </border>
    <border>
      <left style="thin">
        <color rgb="FF2B2B7C"/>
      </left>
      <right style="thin">
        <color rgb="FF2B2B7C"/>
      </right>
      <top style="thin">
        <color rgb="FF2B2B7C"/>
      </top>
      <bottom/>
      <diagonal/>
    </border>
    <border>
      <left style="thin">
        <color rgb="FF2F3487"/>
      </left>
      <right style="thin">
        <color rgb="FF2F3487"/>
      </right>
      <top/>
      <bottom/>
      <diagonal/>
    </border>
    <border>
      <left style="thin">
        <color rgb="FF2B2B7C"/>
      </left>
      <right style="thin">
        <color rgb="FF2B2B7C"/>
      </right>
      <top/>
      <bottom/>
      <diagonal/>
    </border>
    <border>
      <left style="thin">
        <color rgb="FF2F3487"/>
      </left>
      <right style="thin">
        <color rgb="FF2F3487"/>
      </right>
      <top/>
      <bottom style="thin">
        <color rgb="FF2F3487"/>
      </bottom>
      <diagonal/>
    </border>
    <border>
      <left style="thin">
        <color rgb="FF2B2B7C"/>
      </left>
      <right style="thin">
        <color rgb="FF2B2B7C"/>
      </right>
      <top/>
      <bottom style="thin">
        <color rgb="FF2B2B7C"/>
      </bottom>
      <diagonal/>
    </border>
    <border>
      <left/>
      <right/>
      <top style="thin">
        <color rgb="FF2F3487"/>
      </top>
      <bottom style="thin">
        <color rgb="FF3F3F90"/>
      </bottom>
      <diagonal/>
    </border>
    <border>
      <left/>
      <right/>
      <top style="thin">
        <color rgb="FF3F3F9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double">
        <color indexed="64"/>
      </bottom>
      <diagonal/>
    </border>
    <border>
      <left style="thin">
        <color indexed="64"/>
      </left>
      <right/>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style="medium">
        <color rgb="FF002060"/>
      </right>
      <top/>
      <bottom style="medium">
        <color rgb="FF002060"/>
      </bottom>
      <diagonal/>
    </border>
  </borders>
  <cellStyleXfs count="14">
    <xf numFmtId="0" fontId="0" fillId="0" borderId="0"/>
    <xf numFmtId="43" fontId="1" fillId="0" borderId="0" applyFont="0" applyFill="0" applyBorder="0" applyAlignment="0" applyProtection="0"/>
    <xf numFmtId="9" fontId="1" fillId="0" borderId="0" applyFont="0" applyFill="0" applyBorder="0" applyAlignment="0" applyProtection="0"/>
    <xf numFmtId="0" fontId="15" fillId="0" borderId="0"/>
    <xf numFmtId="0" fontId="15" fillId="0" borderId="0"/>
    <xf numFmtId="43" fontId="15" fillId="0" borderId="0" applyFont="0" applyFill="0" applyBorder="0" applyAlignment="0" applyProtection="0"/>
    <xf numFmtId="9" fontId="15" fillId="0" borderId="0" applyFont="0" applyFill="0" applyBorder="0" applyAlignment="0" applyProtection="0"/>
    <xf numFmtId="0" fontId="29" fillId="0" borderId="0" applyNumberFormat="0" applyFill="0" applyBorder="0" applyAlignment="0" applyProtection="0"/>
    <xf numFmtId="0" fontId="32" fillId="0" borderId="0"/>
    <xf numFmtId="43" fontId="32" fillId="0" borderId="0" applyFont="0" applyFill="0" applyBorder="0" applyAlignment="0" applyProtection="0"/>
    <xf numFmtId="0" fontId="35" fillId="0" borderId="0"/>
    <xf numFmtId="9" fontId="1" fillId="0" borderId="0" applyFont="0" applyFill="0" applyBorder="0" applyAlignment="0" applyProtection="0"/>
    <xf numFmtId="43" fontId="1" fillId="0" borderId="0" applyFont="0" applyFill="0" applyBorder="0" applyAlignment="0" applyProtection="0"/>
    <xf numFmtId="43" fontId="35" fillId="0" borderId="0" applyFont="0" applyFill="0" applyBorder="0" applyAlignment="0" applyProtection="0"/>
  </cellStyleXfs>
  <cellXfs count="397">
    <xf numFmtId="0" fontId="0" fillId="0" borderId="0" xfId="0"/>
    <xf numFmtId="0" fontId="5" fillId="2" borderId="0" xfId="0" applyFont="1" applyFill="1"/>
    <xf numFmtId="0" fontId="6" fillId="0" borderId="0" xfId="0" applyFont="1"/>
    <xf numFmtId="43" fontId="0" fillId="0" borderId="0" xfId="1" applyFont="1"/>
    <xf numFmtId="0" fontId="0" fillId="0" borderId="1" xfId="0" applyBorder="1"/>
    <xf numFmtId="0" fontId="0" fillId="0" borderId="1" xfId="0" applyBorder="1" applyAlignment="1">
      <alignment horizontal="center"/>
    </xf>
    <xf numFmtId="0" fontId="0" fillId="0" borderId="4" xfId="0" applyBorder="1"/>
    <xf numFmtId="0" fontId="0" fillId="0" borderId="4" xfId="0" applyBorder="1" applyAlignment="1">
      <alignment horizontal="center"/>
    </xf>
    <xf numFmtId="0" fontId="0" fillId="0" borderId="0" xfId="0" applyAlignment="1">
      <alignment horizontal="center"/>
    </xf>
    <xf numFmtId="0" fontId="3" fillId="3" borderId="0" xfId="0" applyFont="1" applyFill="1"/>
    <xf numFmtId="0" fontId="8" fillId="0" borderId="0" xfId="0" applyFont="1" applyAlignment="1">
      <alignment horizontal="center"/>
    </xf>
    <xf numFmtId="164" fontId="8" fillId="0" borderId="0" xfId="1" applyNumberFormat="1" applyFont="1" applyAlignment="1">
      <alignment horizontal="center"/>
    </xf>
    <xf numFmtId="43" fontId="8" fillId="0" borderId="0" xfId="1" applyFont="1" applyAlignment="1">
      <alignment horizontal="center"/>
    </xf>
    <xf numFmtId="10" fontId="8" fillId="0" borderId="0" xfId="0" applyNumberFormat="1" applyFont="1" applyAlignment="1">
      <alignment horizontal="center"/>
    </xf>
    <xf numFmtId="10" fontId="0" fillId="4" borderId="0" xfId="2" applyNumberFormat="1" applyFont="1" applyFill="1" applyAlignment="1">
      <alignment horizontal="center"/>
    </xf>
    <xf numFmtId="2" fontId="0" fillId="4" borderId="0" xfId="0" applyNumberFormat="1" applyFill="1" applyAlignment="1">
      <alignment horizontal="center"/>
    </xf>
    <xf numFmtId="0" fontId="9" fillId="0" borderId="0" xfId="0" applyFont="1"/>
    <xf numFmtId="10" fontId="0" fillId="0" borderId="0" xfId="2" applyNumberFormat="1" applyFont="1" applyFill="1" applyAlignment="1">
      <alignment horizontal="center"/>
    </xf>
    <xf numFmtId="43" fontId="8" fillId="0" borderId="0" xfId="1" applyFont="1" applyFill="1" applyAlignment="1">
      <alignment horizontal="center"/>
    </xf>
    <xf numFmtId="2" fontId="0" fillId="0" borderId="0" xfId="0" applyNumberFormat="1" applyAlignment="1">
      <alignment horizontal="center"/>
    </xf>
    <xf numFmtId="0" fontId="3" fillId="0" borderId="1" xfId="0" applyFont="1" applyBorder="1"/>
    <xf numFmtId="10" fontId="0" fillId="0" borderId="1" xfId="0" applyNumberFormat="1" applyBorder="1"/>
    <xf numFmtId="10" fontId="0" fillId="0" borderId="1" xfId="2" applyNumberFormat="1" applyFont="1" applyBorder="1"/>
    <xf numFmtId="43" fontId="0" fillId="0" borderId="1" xfId="0" applyNumberFormat="1" applyBorder="1"/>
    <xf numFmtId="0" fontId="3" fillId="0" borderId="4" xfId="0" applyFont="1" applyBorder="1"/>
    <xf numFmtId="10" fontId="0" fillId="0" borderId="4" xfId="0" applyNumberFormat="1" applyBorder="1"/>
    <xf numFmtId="10" fontId="0" fillId="0" borderId="4" xfId="2" applyNumberFormat="1" applyFont="1" applyBorder="1"/>
    <xf numFmtId="43" fontId="0" fillId="0" borderId="4" xfId="0" applyNumberFormat="1" applyBorder="1"/>
    <xf numFmtId="10" fontId="8" fillId="0" borderId="0" xfId="0" applyNumberFormat="1" applyFont="1"/>
    <xf numFmtId="0" fontId="10" fillId="5" borderId="0" xfId="0" applyFont="1" applyFill="1"/>
    <xf numFmtId="0" fontId="3" fillId="5" borderId="0" xfId="0" applyFont="1" applyFill="1"/>
    <xf numFmtId="0" fontId="0" fillId="0" borderId="5" xfId="0" applyBorder="1"/>
    <xf numFmtId="9" fontId="11" fillId="0" borderId="5" xfId="0" applyNumberFormat="1" applyFont="1" applyBorder="1"/>
    <xf numFmtId="10" fontId="0" fillId="4" borderId="0" xfId="0" applyNumberFormat="1" applyFill="1"/>
    <xf numFmtId="43" fontId="0" fillId="0" borderId="5" xfId="0" applyNumberFormat="1" applyBorder="1"/>
    <xf numFmtId="10" fontId="0" fillId="4" borderId="0" xfId="2" applyNumberFormat="1" applyFont="1" applyFill="1"/>
    <xf numFmtId="0" fontId="3" fillId="0" borderId="4" xfId="0" applyFont="1" applyBorder="1" applyAlignment="1">
      <alignment horizontal="right"/>
    </xf>
    <xf numFmtId="2" fontId="0" fillId="0" borderId="0" xfId="0" applyNumberFormat="1"/>
    <xf numFmtId="165" fontId="8" fillId="0" borderId="0" xfId="1" applyNumberFormat="1" applyFont="1"/>
    <xf numFmtId="10" fontId="0" fillId="0" borderId="0" xfId="2" applyNumberFormat="1" applyFont="1"/>
    <xf numFmtId="10" fontId="0" fillId="0" borderId="0" xfId="0" applyNumberFormat="1"/>
    <xf numFmtId="165" fontId="8" fillId="0" borderId="5" xfId="1" applyNumberFormat="1" applyFont="1" applyBorder="1"/>
    <xf numFmtId="10" fontId="0" fillId="0" borderId="5" xfId="2" applyNumberFormat="1" applyFont="1" applyBorder="1"/>
    <xf numFmtId="9" fontId="0" fillId="0" borderId="0" xfId="0" applyNumberFormat="1"/>
    <xf numFmtId="165" fontId="0" fillId="0" borderId="0" xfId="1" applyNumberFormat="1" applyFont="1"/>
    <xf numFmtId="9" fontId="0" fillId="0" borderId="0" xfId="2" applyFont="1"/>
    <xf numFmtId="0" fontId="0" fillId="0" borderId="6" xfId="0" applyBorder="1"/>
    <xf numFmtId="43" fontId="0" fillId="4" borderId="6" xfId="1" applyFont="1" applyFill="1" applyBorder="1"/>
    <xf numFmtId="0" fontId="3" fillId="0" borderId="0" xfId="0" applyFont="1" applyAlignment="1">
      <alignment horizontal="right"/>
    </xf>
    <xf numFmtId="10" fontId="3" fillId="0" borderId="0" xfId="0" applyNumberFormat="1" applyFont="1" applyAlignment="1">
      <alignment horizontal="right"/>
    </xf>
    <xf numFmtId="10" fontId="0" fillId="0" borderId="0" xfId="2" applyNumberFormat="1" applyFont="1" applyFill="1" applyBorder="1"/>
    <xf numFmtId="0" fontId="3" fillId="6" borderId="0" xfId="0" applyFont="1" applyFill="1"/>
    <xf numFmtId="167" fontId="3" fillId="6" borderId="0" xfId="2" applyNumberFormat="1" applyFont="1" applyFill="1"/>
    <xf numFmtId="0" fontId="16" fillId="2" borderId="0" xfId="3" applyFont="1" applyFill="1" applyAlignment="1">
      <alignment horizontal="center"/>
    </xf>
    <xf numFmtId="0" fontId="16" fillId="0" borderId="0" xfId="3" applyFont="1" applyAlignment="1">
      <alignment horizontal="center"/>
    </xf>
    <xf numFmtId="0" fontId="4" fillId="0" borderId="0" xfId="0" applyFont="1"/>
    <xf numFmtId="0" fontId="2" fillId="2" borderId="0" xfId="0" applyFont="1" applyFill="1" applyAlignment="1">
      <alignment horizontal="center"/>
    </xf>
    <xf numFmtId="0" fontId="17" fillId="2" borderId="0" xfId="0" applyFont="1" applyFill="1"/>
    <xf numFmtId="0" fontId="17" fillId="2" borderId="0" xfId="0" applyFont="1" applyFill="1" applyAlignment="1">
      <alignment horizontal="center"/>
    </xf>
    <xf numFmtId="0" fontId="17" fillId="0" borderId="0" xfId="0" applyFont="1" applyAlignment="1">
      <alignment horizontal="center"/>
    </xf>
    <xf numFmtId="0" fontId="0" fillId="3" borderId="0" xfId="0" applyFill="1" applyAlignment="1">
      <alignment horizontal="center"/>
    </xf>
    <xf numFmtId="43" fontId="0" fillId="4" borderId="0" xfId="1" applyFont="1" applyFill="1"/>
    <xf numFmtId="0" fontId="18" fillId="0" borderId="0" xfId="0" applyFont="1"/>
    <xf numFmtId="43" fontId="0" fillId="0" borderId="0" xfId="0" applyNumberFormat="1"/>
    <xf numFmtId="3" fontId="0" fillId="0" borderId="0" xfId="0" applyNumberFormat="1"/>
    <xf numFmtId="0" fontId="2" fillId="2" borderId="0" xfId="0" applyFont="1" applyFill="1"/>
    <xf numFmtId="0" fontId="11" fillId="0" borderId="0" xfId="0" applyFont="1"/>
    <xf numFmtId="10" fontId="11" fillId="0" borderId="0" xfId="0" applyNumberFormat="1" applyFont="1"/>
    <xf numFmtId="0" fontId="2" fillId="0" borderId="0" xfId="0" applyFont="1"/>
    <xf numFmtId="0" fontId="2" fillId="0" borderId="0" xfId="0" applyFont="1" applyAlignment="1">
      <alignment horizontal="center"/>
    </xf>
    <xf numFmtId="0" fontId="19" fillId="0" borderId="0" xfId="0" applyFont="1" applyAlignment="1">
      <alignment horizontal="center"/>
    </xf>
    <xf numFmtId="164" fontId="0" fillId="0" borderId="0" xfId="1" applyNumberFormat="1" applyFont="1"/>
    <xf numFmtId="0" fontId="2" fillId="5" borderId="0" xfId="0" applyFont="1" applyFill="1"/>
    <xf numFmtId="168" fontId="0" fillId="0" borderId="0" xfId="0" applyNumberFormat="1"/>
    <xf numFmtId="43" fontId="0" fillId="0" borderId="0" xfId="1" applyFont="1" applyAlignment="1">
      <alignment horizontal="center"/>
    </xf>
    <xf numFmtId="0" fontId="20" fillId="0" borderId="0" xfId="0" applyFont="1"/>
    <xf numFmtId="0" fontId="3" fillId="0" borderId="0" xfId="0" applyFont="1"/>
    <xf numFmtId="10" fontId="0" fillId="0" borderId="0" xfId="2" applyNumberFormat="1" applyFont="1" applyAlignment="1">
      <alignment horizontal="center"/>
    </xf>
    <xf numFmtId="43" fontId="2" fillId="5" borderId="0" xfId="0" applyNumberFormat="1" applyFont="1" applyFill="1"/>
    <xf numFmtId="0" fontId="21" fillId="0" borderId="0" xfId="0" applyFont="1" applyAlignment="1">
      <alignment wrapText="1"/>
    </xf>
    <xf numFmtId="0" fontId="22" fillId="0" borderId="0" xfId="0" applyFont="1" applyAlignment="1">
      <alignment horizontal="centerContinuous"/>
    </xf>
    <xf numFmtId="0" fontId="0" fillId="0" borderId="8" xfId="0" applyBorder="1"/>
    <xf numFmtId="0" fontId="22" fillId="0" borderId="0" xfId="0" applyFont="1" applyAlignment="1">
      <alignment horizontal="center"/>
    </xf>
    <xf numFmtId="0" fontId="18" fillId="0" borderId="0" xfId="0" applyFont="1" applyAlignment="1">
      <alignment horizontal="center"/>
    </xf>
    <xf numFmtId="0" fontId="2" fillId="2" borderId="0" xfId="3" applyFont="1" applyFill="1" applyAlignment="1">
      <alignment horizontal="left" vertical="center" wrapText="1"/>
    </xf>
    <xf numFmtId="0" fontId="2" fillId="2" borderId="0" xfId="3" applyFont="1" applyFill="1" applyAlignment="1">
      <alignment horizontal="center" vertical="center"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5" fontId="0" fillId="0" borderId="16" xfId="0" applyNumberFormat="1" applyBorder="1"/>
    <xf numFmtId="0" fontId="8" fillId="0" borderId="0" xfId="0" applyFont="1"/>
    <xf numFmtId="165" fontId="0" fillId="0" borderId="17" xfId="0" applyNumberFormat="1" applyBorder="1"/>
    <xf numFmtId="0" fontId="24" fillId="0" borderId="0" xfId="0" applyFont="1"/>
    <xf numFmtId="10" fontId="0" fillId="0" borderId="17" xfId="2" applyNumberFormat="1" applyFont="1" applyBorder="1"/>
    <xf numFmtId="165" fontId="0" fillId="0" borderId="0" xfId="0" applyNumberFormat="1"/>
    <xf numFmtId="0" fontId="21" fillId="0" borderId="0" xfId="0" applyFont="1"/>
    <xf numFmtId="9" fontId="21" fillId="0" borderId="0" xfId="2" applyFont="1"/>
    <xf numFmtId="165" fontId="11" fillId="0" borderId="0" xfId="1" applyNumberFormat="1" applyFont="1"/>
    <xf numFmtId="169" fontId="0" fillId="0" borderId="0" xfId="2" applyNumberFormat="1" applyFont="1"/>
    <xf numFmtId="10" fontId="2" fillId="5" borderId="0" xfId="0" applyNumberFormat="1" applyFont="1" applyFill="1"/>
    <xf numFmtId="0" fontId="22" fillId="4" borderId="0" xfId="0" applyFont="1" applyFill="1" applyAlignment="1">
      <alignment horizontal="center"/>
    </xf>
    <xf numFmtId="165" fontId="0" fillId="4" borderId="0" xfId="0" applyNumberFormat="1" applyFill="1"/>
    <xf numFmtId="0" fontId="0" fillId="4" borderId="0" xfId="0" applyFill="1"/>
    <xf numFmtId="9" fontId="8" fillId="4" borderId="0" xfId="0" applyNumberFormat="1" applyFont="1" applyFill="1"/>
    <xf numFmtId="165" fontId="0" fillId="4" borderId="0" xfId="1" applyNumberFormat="1" applyFont="1" applyFill="1"/>
    <xf numFmtId="165" fontId="0" fillId="4" borderId="17" xfId="0" applyNumberFormat="1" applyFill="1" applyBorder="1"/>
    <xf numFmtId="0" fontId="0" fillId="5" borderId="0" xfId="0" applyFill="1"/>
    <xf numFmtId="10" fontId="0" fillId="5" borderId="0" xfId="2" applyNumberFormat="1" applyFont="1" applyFill="1"/>
    <xf numFmtId="10" fontId="0" fillId="5" borderId="0" xfId="0" applyNumberFormat="1" applyFill="1"/>
    <xf numFmtId="0" fontId="2" fillId="0" borderId="0" xfId="3" applyFont="1" applyAlignment="1">
      <alignment horizontal="left" vertical="center" wrapText="1"/>
    </xf>
    <xf numFmtId="0" fontId="18" fillId="0" borderId="0" xfId="3" applyFont="1" applyAlignment="1">
      <alignment horizontal="left" vertical="center" wrapText="1"/>
    </xf>
    <xf numFmtId="165" fontId="20" fillId="0" borderId="0" xfId="0" applyNumberFormat="1" applyFont="1" applyAlignment="1">
      <alignment wrapText="1"/>
    </xf>
    <xf numFmtId="10" fontId="18" fillId="0" borderId="0" xfId="0" applyNumberFormat="1" applyFont="1" applyAlignment="1">
      <alignment wrapText="1"/>
    </xf>
    <xf numFmtId="169" fontId="18" fillId="0" borderId="0" xfId="0" applyNumberFormat="1" applyFont="1" applyAlignment="1">
      <alignment wrapText="1"/>
    </xf>
    <xf numFmtId="10" fontId="18" fillId="4" borderId="0" xfId="0" applyNumberFormat="1" applyFont="1" applyFill="1" applyAlignment="1">
      <alignment wrapText="1"/>
    </xf>
    <xf numFmtId="43" fontId="21" fillId="0" borderId="0" xfId="1" applyFont="1" applyBorder="1" applyAlignment="1">
      <alignment wrapText="1"/>
    </xf>
    <xf numFmtId="43" fontId="21" fillId="0" borderId="0" xfId="1" applyFont="1"/>
    <xf numFmtId="165" fontId="3" fillId="0" borderId="17" xfId="0" applyNumberFormat="1" applyFont="1" applyBorder="1"/>
    <xf numFmtId="9" fontId="21" fillId="0" borderId="0" xfId="0" applyNumberFormat="1" applyFont="1" applyAlignment="1">
      <alignment wrapText="1"/>
    </xf>
    <xf numFmtId="43" fontId="21" fillId="4" borderId="0" xfId="1" applyFont="1" applyFill="1" applyBorder="1" applyAlignment="1">
      <alignment wrapText="1"/>
    </xf>
    <xf numFmtId="9" fontId="18" fillId="0" borderId="0" xfId="0" applyNumberFormat="1" applyFont="1" applyAlignment="1">
      <alignment wrapText="1"/>
    </xf>
    <xf numFmtId="0" fontId="21" fillId="0" borderId="0" xfId="0" applyFont="1" applyAlignment="1">
      <alignment horizontal="left" vertical="center" wrapText="1"/>
    </xf>
    <xf numFmtId="43" fontId="3" fillId="0" borderId="1" xfId="0" applyNumberFormat="1" applyFont="1" applyBorder="1"/>
    <xf numFmtId="43" fontId="3" fillId="0" borderId="0" xfId="0" applyNumberFormat="1" applyFont="1"/>
    <xf numFmtId="0" fontId="0" fillId="0" borderId="0" xfId="0" applyAlignment="1">
      <alignment horizontal="left"/>
    </xf>
    <xf numFmtId="165" fontId="3" fillId="0" borderId="0" xfId="0" applyNumberFormat="1" applyFont="1" applyAlignment="1">
      <alignment horizontal="left"/>
    </xf>
    <xf numFmtId="165" fontId="3" fillId="0" borderId="0" xfId="0" applyNumberFormat="1" applyFont="1"/>
    <xf numFmtId="43" fontId="3" fillId="0" borderId="17" xfId="0" applyNumberFormat="1" applyFont="1" applyBorder="1"/>
    <xf numFmtId="9" fontId="3" fillId="0" borderId="0" xfId="2" applyFont="1"/>
    <xf numFmtId="0" fontId="18" fillId="0" borderId="0" xfId="0" applyFont="1" applyAlignment="1">
      <alignment horizontal="center" wrapText="1"/>
    </xf>
    <xf numFmtId="0" fontId="21" fillId="0" borderId="0" xfId="0" applyFont="1" applyAlignment="1">
      <alignment vertical="center" wrapText="1"/>
    </xf>
    <xf numFmtId="0" fontId="25" fillId="0" borderId="0" xfId="0" applyFont="1"/>
    <xf numFmtId="169" fontId="18" fillId="4" borderId="0" xfId="0" applyNumberFormat="1" applyFont="1" applyFill="1" applyAlignment="1">
      <alignment wrapText="1"/>
    </xf>
    <xf numFmtId="43" fontId="18" fillId="4" borderId="0" xfId="1" applyFont="1" applyFill="1" applyBorder="1" applyAlignment="1">
      <alignment wrapText="1"/>
    </xf>
    <xf numFmtId="43" fontId="21" fillId="0" borderId="0" xfId="1" applyFont="1" applyFill="1" applyBorder="1" applyAlignment="1">
      <alignment wrapText="1"/>
    </xf>
    <xf numFmtId="170" fontId="3" fillId="0" borderId="0" xfId="0" applyNumberFormat="1" applyFont="1"/>
    <xf numFmtId="43" fontId="11" fillId="0" borderId="0" xfId="0" applyNumberFormat="1" applyFont="1"/>
    <xf numFmtId="0" fontId="0" fillId="0" borderId="0" xfId="0" applyAlignment="1">
      <alignment wrapText="1"/>
    </xf>
    <xf numFmtId="0" fontId="0" fillId="2" borderId="0" xfId="0" applyFill="1"/>
    <xf numFmtId="0" fontId="0" fillId="7" borderId="0" xfId="0" applyFill="1"/>
    <xf numFmtId="0" fontId="3" fillId="0" borderId="18" xfId="0" applyFont="1" applyBorder="1"/>
    <xf numFmtId="0" fontId="19" fillId="0" borderId="21" xfId="0" applyFont="1" applyBorder="1" applyAlignment="1">
      <alignment horizontal="center" vertical="center"/>
    </xf>
    <xf numFmtId="0" fontId="19" fillId="0" borderId="21" xfId="0" applyFont="1" applyBorder="1" applyAlignment="1">
      <alignment horizontal="center" vertical="center" wrapText="1"/>
    </xf>
    <xf numFmtId="0" fontId="19" fillId="0" borderId="0" xfId="0" applyFont="1" applyAlignment="1">
      <alignment horizontal="center" vertical="center"/>
    </xf>
    <xf numFmtId="0" fontId="19" fillId="0" borderId="0" xfId="0" applyFont="1" applyAlignment="1">
      <alignment horizontal="center" vertical="center" wrapText="1"/>
    </xf>
    <xf numFmtId="4" fontId="0" fillId="0" borderId="0" xfId="0" applyNumberFormat="1"/>
    <xf numFmtId="10" fontId="0" fillId="0" borderId="0" xfId="0" applyNumberFormat="1" applyAlignment="1">
      <alignment horizontal="center"/>
    </xf>
    <xf numFmtId="165" fontId="0" fillId="0" borderId="0" xfId="1" applyNumberFormat="1" applyFont="1" applyAlignment="1">
      <alignment vertical="center"/>
    </xf>
    <xf numFmtId="43" fontId="0" fillId="0" borderId="0" xfId="1" applyFont="1" applyAlignment="1">
      <alignment vertical="center"/>
    </xf>
    <xf numFmtId="0" fontId="0" fillId="0" borderId="0" xfId="0" applyAlignment="1">
      <alignment vertical="center"/>
    </xf>
    <xf numFmtId="43" fontId="0" fillId="0" borderId="0" xfId="0" applyNumberFormat="1" applyAlignment="1">
      <alignment vertical="center"/>
    </xf>
    <xf numFmtId="10" fontId="0" fillId="0" borderId="0" xfId="2" applyNumberFormat="1" applyFont="1" applyAlignment="1">
      <alignment horizontal="center" vertical="center"/>
    </xf>
    <xf numFmtId="0" fontId="2" fillId="2" borderId="0" xfId="4" applyFont="1" applyFill="1" applyAlignment="1">
      <alignment horizontal="center"/>
    </xf>
    <xf numFmtId="0" fontId="26" fillId="0" borderId="0" xfId="4" applyFont="1" applyAlignment="1">
      <alignment horizontal="left"/>
    </xf>
    <xf numFmtId="10" fontId="27" fillId="0" borderId="0" xfId="6" applyNumberFormat="1" applyFont="1" applyAlignment="1">
      <alignment horizontal="center"/>
    </xf>
    <xf numFmtId="0" fontId="26" fillId="4" borderId="0" xfId="4" applyFont="1" applyFill="1" applyAlignment="1">
      <alignment horizontal="center"/>
    </xf>
    <xf numFmtId="43" fontId="8" fillId="4" borderId="0" xfId="5" applyFont="1" applyFill="1" applyAlignment="1">
      <alignment horizontal="left"/>
    </xf>
    <xf numFmtId="0" fontId="26" fillId="0" borderId="0" xfId="4" applyFont="1"/>
    <xf numFmtId="0" fontId="9" fillId="0" borderId="0" xfId="4" applyFont="1" applyAlignment="1">
      <alignment horizontal="left"/>
    </xf>
    <xf numFmtId="0" fontId="8" fillId="0" borderId="0" xfId="4" applyFont="1" applyAlignment="1">
      <alignment horizontal="left" vertical="center" wrapText="1"/>
    </xf>
    <xf numFmtId="0" fontId="18" fillId="0" borderId="22" xfId="0" applyFont="1" applyBorder="1"/>
    <xf numFmtId="0" fontId="2" fillId="2" borderId="0" xfId="0" applyFont="1" applyFill="1" applyAlignment="1">
      <alignment horizontal="center" wrapText="1"/>
    </xf>
    <xf numFmtId="0" fontId="0" fillId="8" borderId="0" xfId="0" applyFill="1" applyAlignment="1">
      <alignment horizontal="center"/>
    </xf>
    <xf numFmtId="43" fontId="0" fillId="6" borderId="0" xfId="1" applyFont="1" applyFill="1" applyAlignment="1">
      <alignment horizontal="center"/>
    </xf>
    <xf numFmtId="43" fontId="0" fillId="6" borderId="0" xfId="0" applyNumberFormat="1" applyFill="1" applyAlignment="1">
      <alignment horizontal="center"/>
    </xf>
    <xf numFmtId="0" fontId="0" fillId="6" borderId="0" xfId="0" applyFill="1" applyAlignment="1">
      <alignment horizontal="center"/>
    </xf>
    <xf numFmtId="170" fontId="0" fillId="6" borderId="0" xfId="1" applyNumberFormat="1" applyFont="1" applyFill="1" applyAlignment="1">
      <alignment horizontal="center"/>
    </xf>
    <xf numFmtId="43" fontId="0" fillId="0" borderId="0" xfId="1" applyFont="1" applyFill="1" applyAlignment="1">
      <alignment horizontal="center"/>
    </xf>
    <xf numFmtId="43" fontId="0" fillId="0" borderId="0" xfId="0" applyNumberFormat="1" applyAlignment="1">
      <alignment horizontal="center"/>
    </xf>
    <xf numFmtId="170" fontId="0" fillId="0" borderId="0" xfId="1" applyNumberFormat="1" applyFont="1" applyFill="1" applyAlignment="1">
      <alignment horizontal="center"/>
    </xf>
    <xf numFmtId="170" fontId="0" fillId="0" borderId="0" xfId="0" applyNumberFormat="1" applyAlignment="1">
      <alignment horizontal="center"/>
    </xf>
    <xf numFmtId="170" fontId="0" fillId="0" borderId="0" xfId="1" applyNumberFormat="1" applyFont="1" applyAlignment="1">
      <alignment horizontal="center"/>
    </xf>
    <xf numFmtId="0" fontId="0" fillId="6" borderId="0" xfId="0" applyFill="1"/>
    <xf numFmtId="170" fontId="0" fillId="6" borderId="0" xfId="0" applyNumberFormat="1" applyFill="1"/>
    <xf numFmtId="43" fontId="0" fillId="6" borderId="0" xfId="1" applyFont="1" applyFill="1"/>
    <xf numFmtId="170" fontId="3" fillId="6" borderId="0" xfId="0" applyNumberFormat="1" applyFont="1" applyFill="1"/>
    <xf numFmtId="0" fontId="4" fillId="2" borderId="0" xfId="0" applyFont="1" applyFill="1"/>
    <xf numFmtId="0" fontId="3" fillId="6" borderId="24" xfId="0" applyFont="1" applyFill="1" applyBorder="1"/>
    <xf numFmtId="43" fontId="3" fillId="6" borderId="24" xfId="1" applyFont="1" applyFill="1" applyBorder="1"/>
    <xf numFmtId="0" fontId="18" fillId="0" borderId="0" xfId="0" applyFont="1" applyAlignment="1">
      <alignment vertical="center"/>
    </xf>
    <xf numFmtId="0" fontId="3" fillId="0" borderId="0" xfId="0" applyFont="1" applyAlignment="1">
      <alignment horizontal="center"/>
    </xf>
    <xf numFmtId="43" fontId="0" fillId="0" borderId="0" xfId="1" applyFont="1" applyAlignment="1"/>
    <xf numFmtId="0" fontId="22" fillId="0" borderId="0" xfId="0" applyFont="1" applyAlignment="1">
      <alignment wrapText="1"/>
    </xf>
    <xf numFmtId="0" fontId="22" fillId="0" borderId="0" xfId="0" applyFont="1"/>
    <xf numFmtId="0" fontId="3" fillId="0" borderId="18" xfId="0" applyFont="1" applyBorder="1" applyAlignment="1">
      <alignment horizontal="center" vertical="center"/>
    </xf>
    <xf numFmtId="0" fontId="10" fillId="2" borderId="0" xfId="0" applyFont="1" applyFill="1"/>
    <xf numFmtId="0" fontId="22" fillId="0" borderId="7" xfId="0" applyFont="1" applyBorder="1" applyAlignment="1">
      <alignment horizontal="center"/>
    </xf>
    <xf numFmtId="0" fontId="22" fillId="0" borderId="7" xfId="0" applyFont="1" applyBorder="1" applyAlignment="1">
      <alignment horizontal="centerContinuous"/>
    </xf>
    <xf numFmtId="43" fontId="0" fillId="0" borderId="1" xfId="1" applyFont="1" applyBorder="1"/>
    <xf numFmtId="43" fontId="0" fillId="0" borderId="0" xfId="1" applyFont="1" applyBorder="1"/>
    <xf numFmtId="0" fontId="31" fillId="0" borderId="0" xfId="0" applyFont="1"/>
    <xf numFmtId="0" fontId="29" fillId="0" borderId="0" xfId="7"/>
    <xf numFmtId="0" fontId="12" fillId="0" borderId="0" xfId="0" applyFont="1"/>
    <xf numFmtId="0" fontId="11" fillId="0" borderId="0" xfId="8" applyFont="1" applyAlignment="1">
      <alignment horizontal="left" vertical="top"/>
    </xf>
    <xf numFmtId="0" fontId="9" fillId="0" borderId="0" xfId="8" applyFont="1" applyAlignment="1">
      <alignment horizontal="left" vertical="top" wrapText="1"/>
    </xf>
    <xf numFmtId="0" fontId="9" fillId="0" borderId="0" xfId="1" applyNumberFormat="1" applyFont="1" applyAlignment="1">
      <alignment horizontal="center" wrapText="1"/>
    </xf>
    <xf numFmtId="0" fontId="11" fillId="0" borderId="0" xfId="8" applyFont="1" applyAlignment="1">
      <alignment horizontal="left" vertical="top" wrapText="1"/>
    </xf>
    <xf numFmtId="165" fontId="11" fillId="0" borderId="0" xfId="1" applyNumberFormat="1" applyFont="1" applyAlignment="1">
      <alignment horizontal="center" vertical="top" shrinkToFit="1"/>
    </xf>
    <xf numFmtId="0" fontId="31" fillId="0" borderId="0" xfId="8" applyFont="1" applyAlignment="1">
      <alignment horizontal="left" vertical="top" wrapText="1"/>
    </xf>
    <xf numFmtId="165" fontId="11" fillId="0" borderId="25" xfId="1" applyNumberFormat="1" applyFont="1" applyBorder="1" applyAlignment="1">
      <alignment horizontal="center" vertical="center" wrapText="1"/>
    </xf>
    <xf numFmtId="165" fontId="11" fillId="0" borderId="26" xfId="1" applyNumberFormat="1" applyFont="1" applyBorder="1" applyAlignment="1">
      <alignment horizontal="center" vertical="center" wrapText="1"/>
    </xf>
    <xf numFmtId="165" fontId="11" fillId="0" borderId="27" xfId="1" applyNumberFormat="1" applyFont="1" applyFill="1" applyBorder="1" applyAlignment="1">
      <alignment horizontal="center" vertical="top" shrinkToFit="1"/>
    </xf>
    <xf numFmtId="165" fontId="11" fillId="0" borderId="28" xfId="1" applyNumberFormat="1" applyFont="1" applyFill="1" applyBorder="1" applyAlignment="1">
      <alignment horizontal="center" vertical="top" shrinkToFit="1"/>
    </xf>
    <xf numFmtId="165" fontId="11" fillId="0" borderId="29" xfId="1" applyNumberFormat="1" applyFont="1" applyFill="1" applyBorder="1" applyAlignment="1">
      <alignment horizontal="center" vertical="top" shrinkToFit="1"/>
    </xf>
    <xf numFmtId="165" fontId="11" fillId="0" borderId="30" xfId="1" applyNumberFormat="1" applyFont="1" applyFill="1" applyBorder="1" applyAlignment="1">
      <alignment horizontal="center" vertical="top" shrinkToFit="1"/>
    </xf>
    <xf numFmtId="165" fontId="11" fillId="0" borderId="29" xfId="1" applyNumberFormat="1" applyFont="1" applyFill="1" applyBorder="1" applyAlignment="1">
      <alignment horizontal="center" wrapText="1"/>
    </xf>
    <xf numFmtId="165" fontId="11" fillId="0" borderId="29" xfId="1" applyNumberFormat="1" applyFont="1" applyFill="1" applyBorder="1" applyAlignment="1">
      <alignment horizontal="center" vertical="top" wrapText="1"/>
    </xf>
    <xf numFmtId="165" fontId="11" fillId="0" borderId="31" xfId="1" applyNumberFormat="1" applyFont="1" applyFill="1" applyBorder="1" applyAlignment="1">
      <alignment horizontal="center" wrapText="1"/>
    </xf>
    <xf numFmtId="165" fontId="11" fillId="0" borderId="32" xfId="1" applyNumberFormat="1" applyFont="1" applyFill="1" applyBorder="1" applyAlignment="1">
      <alignment horizontal="center" vertical="top" shrinkToFit="1"/>
    </xf>
    <xf numFmtId="0" fontId="11" fillId="0" borderId="0" xfId="8" applyFont="1" applyAlignment="1">
      <alignment horizontal="left" wrapText="1"/>
    </xf>
    <xf numFmtId="165" fontId="11" fillId="0" borderId="33" xfId="1" applyNumberFormat="1" applyFont="1" applyBorder="1" applyAlignment="1">
      <alignment horizontal="center" vertical="top" wrapText="1"/>
    </xf>
    <xf numFmtId="165" fontId="11" fillId="0" borderId="34" xfId="1" applyNumberFormat="1" applyFont="1" applyBorder="1" applyAlignment="1">
      <alignment horizontal="center" wrapText="1"/>
    </xf>
    <xf numFmtId="165" fontId="11" fillId="0" borderId="35" xfId="1" applyNumberFormat="1" applyFont="1" applyBorder="1" applyAlignment="1">
      <alignment horizontal="center" wrapText="1"/>
    </xf>
    <xf numFmtId="165" fontId="11" fillId="0" borderId="36" xfId="1" applyNumberFormat="1" applyFont="1" applyBorder="1" applyAlignment="1">
      <alignment horizontal="center" wrapText="1"/>
    </xf>
    <xf numFmtId="165" fontId="11" fillId="0" borderId="37" xfId="1" applyNumberFormat="1" applyFont="1" applyFill="1" applyBorder="1" applyAlignment="1">
      <alignment horizontal="center" vertical="top" shrinkToFit="1"/>
    </xf>
    <xf numFmtId="165" fontId="11" fillId="0" borderId="38" xfId="1" applyNumberFormat="1" applyFont="1" applyFill="1" applyBorder="1" applyAlignment="1">
      <alignment horizontal="center" vertical="top" shrinkToFit="1"/>
    </xf>
    <xf numFmtId="165" fontId="11" fillId="0" borderId="39" xfId="1" applyNumberFormat="1" applyFont="1" applyFill="1" applyBorder="1" applyAlignment="1">
      <alignment horizontal="center" vertical="top" wrapText="1"/>
    </xf>
    <xf numFmtId="165" fontId="11" fillId="0" borderId="40" xfId="1" applyNumberFormat="1" applyFont="1" applyFill="1" applyBorder="1" applyAlignment="1">
      <alignment horizontal="center" vertical="top" shrinkToFit="1"/>
    </xf>
    <xf numFmtId="165" fontId="11" fillId="0" borderId="39" xfId="1" applyNumberFormat="1" applyFont="1" applyFill="1" applyBorder="1" applyAlignment="1">
      <alignment horizontal="center" vertical="top" shrinkToFit="1"/>
    </xf>
    <xf numFmtId="165" fontId="11" fillId="0" borderId="41" xfId="1" applyNumberFormat="1" applyFont="1" applyFill="1" applyBorder="1" applyAlignment="1">
      <alignment horizontal="center" wrapText="1"/>
    </xf>
    <xf numFmtId="165" fontId="11" fillId="0" borderId="42" xfId="1" applyNumberFormat="1" applyFont="1" applyFill="1" applyBorder="1" applyAlignment="1">
      <alignment horizontal="center" vertical="top" shrinkToFit="1"/>
    </xf>
    <xf numFmtId="165" fontId="11" fillId="0" borderId="43" xfId="1" applyNumberFormat="1" applyFont="1" applyBorder="1" applyAlignment="1">
      <alignment horizontal="center" vertical="top" shrinkToFit="1"/>
    </xf>
    <xf numFmtId="165" fontId="9" fillId="0" borderId="44" xfId="1" applyNumberFormat="1" applyFont="1" applyBorder="1" applyAlignment="1">
      <alignment horizontal="center" vertical="top" wrapText="1"/>
    </xf>
    <xf numFmtId="165" fontId="11" fillId="0" borderId="0" xfId="1" applyNumberFormat="1" applyFont="1" applyAlignment="1">
      <alignment horizontal="center" vertical="top"/>
    </xf>
    <xf numFmtId="165" fontId="9" fillId="0" borderId="0" xfId="9" applyNumberFormat="1" applyFont="1" applyFill="1" applyBorder="1" applyAlignment="1">
      <alignment horizontal="left" vertical="top" wrapText="1"/>
    </xf>
    <xf numFmtId="165" fontId="9" fillId="0" borderId="0" xfId="1" applyNumberFormat="1" applyFont="1" applyFill="1" applyBorder="1" applyAlignment="1">
      <alignment horizontal="center" vertical="center" wrapText="1"/>
    </xf>
    <xf numFmtId="165" fontId="11" fillId="0" borderId="0" xfId="9" applyNumberFormat="1" applyFont="1" applyFill="1" applyBorder="1" applyAlignment="1">
      <alignment horizontal="left" vertical="top" wrapText="1"/>
    </xf>
    <xf numFmtId="165" fontId="11" fillId="0" borderId="0" xfId="1" applyNumberFormat="1" applyFont="1" applyFill="1" applyBorder="1" applyAlignment="1">
      <alignment horizontal="center" vertical="center" wrapText="1"/>
    </xf>
    <xf numFmtId="165" fontId="11" fillId="0" borderId="45" xfId="1" applyNumberFormat="1" applyFont="1" applyFill="1" applyBorder="1" applyAlignment="1">
      <alignment horizontal="center" vertical="top" wrapText="1"/>
    </xf>
    <xf numFmtId="165" fontId="11" fillId="0" borderId="46" xfId="1" applyNumberFormat="1" applyFont="1" applyFill="1" applyBorder="1" applyAlignment="1">
      <alignment horizontal="center" vertical="top" shrinkToFit="1"/>
    </xf>
    <xf numFmtId="165" fontId="11" fillId="0" borderId="47" xfId="1" applyNumberFormat="1" applyFont="1" applyFill="1" applyBorder="1" applyAlignment="1">
      <alignment horizontal="center" wrapText="1"/>
    </xf>
    <xf numFmtId="165" fontId="11" fillId="0" borderId="48" xfId="1" applyNumberFormat="1" applyFont="1" applyFill="1" applyBorder="1" applyAlignment="1">
      <alignment horizontal="center" vertical="top" shrinkToFit="1"/>
    </xf>
    <xf numFmtId="165" fontId="11" fillId="0" borderId="47" xfId="1" applyNumberFormat="1" applyFont="1" applyFill="1" applyBorder="1" applyAlignment="1">
      <alignment horizontal="center" vertical="top" shrinkToFit="1"/>
    </xf>
    <xf numFmtId="165" fontId="11" fillId="0" borderId="1" xfId="1" applyNumberFormat="1" applyFont="1" applyFill="1" applyBorder="1" applyAlignment="1">
      <alignment horizontal="center" vertical="top" shrinkToFit="1"/>
    </xf>
    <xf numFmtId="0" fontId="9" fillId="9" borderId="0" xfId="8" applyFont="1" applyFill="1" applyAlignment="1">
      <alignment horizontal="left" vertical="top"/>
    </xf>
    <xf numFmtId="0" fontId="8" fillId="9" borderId="0" xfId="8" applyFont="1" applyFill="1" applyAlignment="1">
      <alignment horizontal="left" vertical="top"/>
    </xf>
    <xf numFmtId="165" fontId="31" fillId="0" borderId="50" xfId="1" applyNumberFormat="1" applyFont="1" applyBorder="1" applyAlignment="1">
      <alignment horizontal="center" vertical="top"/>
    </xf>
    <xf numFmtId="165" fontId="11" fillId="0" borderId="0" xfId="1" applyNumberFormat="1" applyFont="1" applyFill="1" applyBorder="1" applyAlignment="1">
      <alignment horizontal="center" vertical="top" wrapText="1"/>
    </xf>
    <xf numFmtId="165" fontId="11" fillId="0" borderId="0" xfId="1" applyNumberFormat="1" applyFont="1" applyFill="1" applyBorder="1" applyAlignment="1">
      <alignment horizontal="center" vertical="top" shrinkToFit="1"/>
    </xf>
    <xf numFmtId="165" fontId="9" fillId="0" borderId="0" xfId="9" applyNumberFormat="1" applyFont="1" applyFill="1" applyBorder="1" applyAlignment="1">
      <alignment horizontal="left" vertical="center" wrapText="1"/>
    </xf>
    <xf numFmtId="165" fontId="11" fillId="0" borderId="45" xfId="1" applyNumberFormat="1" applyFont="1" applyFill="1" applyBorder="1" applyAlignment="1">
      <alignment horizontal="center" wrapText="1"/>
    </xf>
    <xf numFmtId="165" fontId="11" fillId="0" borderId="48" xfId="1" applyNumberFormat="1" applyFont="1" applyFill="1" applyBorder="1" applyAlignment="1">
      <alignment horizontal="center" wrapText="1"/>
    </xf>
    <xf numFmtId="165" fontId="11" fillId="0" borderId="49" xfId="1" applyNumberFormat="1" applyFont="1" applyFill="1" applyBorder="1" applyAlignment="1">
      <alignment horizontal="center" vertical="top" wrapText="1"/>
    </xf>
    <xf numFmtId="165" fontId="11" fillId="0" borderId="51" xfId="1" applyNumberFormat="1" applyFont="1" applyFill="1" applyBorder="1" applyAlignment="1">
      <alignment horizontal="center" vertical="top" shrinkToFit="1"/>
    </xf>
    <xf numFmtId="165" fontId="11" fillId="0" borderId="52" xfId="1" applyNumberFormat="1" applyFont="1" applyFill="1" applyBorder="1" applyAlignment="1">
      <alignment horizontal="center" vertical="top" wrapText="1"/>
    </xf>
    <xf numFmtId="165" fontId="11" fillId="0" borderId="46" xfId="1" applyNumberFormat="1" applyFont="1" applyFill="1" applyBorder="1" applyAlignment="1">
      <alignment horizontal="center" vertical="top" wrapText="1"/>
    </xf>
    <xf numFmtId="165" fontId="11" fillId="0" borderId="53" xfId="1" applyNumberFormat="1" applyFont="1" applyFill="1" applyBorder="1" applyAlignment="1">
      <alignment horizontal="center" vertical="top" shrinkToFit="1"/>
    </xf>
    <xf numFmtId="165" fontId="9" fillId="0" borderId="54" xfId="1" applyNumberFormat="1" applyFont="1" applyFill="1" applyBorder="1" applyAlignment="1">
      <alignment horizontal="center" vertical="top" shrinkToFit="1"/>
    </xf>
    <xf numFmtId="0" fontId="2" fillId="0" borderId="0" xfId="3" applyFont="1" applyAlignment="1">
      <alignment horizontal="left"/>
    </xf>
    <xf numFmtId="0" fontId="2" fillId="0" borderId="0" xfId="3" applyFont="1" applyAlignment="1">
      <alignment horizontal="center"/>
    </xf>
    <xf numFmtId="0" fontId="2" fillId="0" borderId="0" xfId="3" applyFont="1" applyAlignment="1">
      <alignment horizontal="center" vertical="center" wrapText="1"/>
    </xf>
    <xf numFmtId="0" fontId="26" fillId="0" borderId="0" xfId="3" applyFont="1" applyAlignment="1">
      <alignment horizontal="left"/>
    </xf>
    <xf numFmtId="0" fontId="8" fillId="0" borderId="0" xfId="8" applyFont="1" applyAlignment="1">
      <alignment horizontal="left" vertical="top"/>
    </xf>
    <xf numFmtId="43" fontId="8" fillId="0" borderId="0" xfId="1" applyFont="1" applyFill="1" applyBorder="1" applyAlignment="1">
      <alignment horizontal="center" vertical="center"/>
    </xf>
    <xf numFmtId="0" fontId="9" fillId="0" borderId="0" xfId="8" applyFont="1" applyAlignment="1">
      <alignment horizontal="left" vertical="top"/>
    </xf>
    <xf numFmtId="0" fontId="8" fillId="0" borderId="0" xfId="3" applyFont="1" applyAlignment="1">
      <alignment horizontal="left"/>
    </xf>
    <xf numFmtId="10" fontId="8" fillId="0" borderId="0" xfId="6" applyNumberFormat="1" applyFont="1" applyFill="1" applyBorder="1" applyAlignment="1">
      <alignment horizontal="center" vertical="center"/>
    </xf>
    <xf numFmtId="43" fontId="11" fillId="0" borderId="0" xfId="1" applyFont="1" applyAlignment="1">
      <alignment horizontal="left" vertical="top"/>
    </xf>
    <xf numFmtId="43" fontId="11" fillId="0" borderId="45" xfId="1" applyFont="1" applyBorder="1" applyAlignment="1">
      <alignment horizontal="left" vertical="top"/>
    </xf>
    <xf numFmtId="43" fontId="11" fillId="0" borderId="49" xfId="1" applyFont="1" applyBorder="1" applyAlignment="1">
      <alignment horizontal="left" vertical="top"/>
    </xf>
    <xf numFmtId="10" fontId="2" fillId="0" borderId="0" xfId="2" applyNumberFormat="1" applyFont="1" applyFill="1"/>
    <xf numFmtId="169" fontId="2" fillId="0" borderId="0" xfId="2" applyNumberFormat="1" applyFont="1" applyFill="1"/>
    <xf numFmtId="169" fontId="0" fillId="0" borderId="0" xfId="0" applyNumberFormat="1"/>
    <xf numFmtId="43" fontId="8" fillId="0" borderId="0" xfId="1" applyFont="1"/>
    <xf numFmtId="0" fontId="11" fillId="0" borderId="0" xfId="4" applyFont="1" applyAlignment="1">
      <alignment horizontal="center"/>
    </xf>
    <xf numFmtId="43" fontId="11" fillId="0" borderId="0" xfId="4" applyNumberFormat="1" applyFont="1" applyAlignment="1">
      <alignment horizontal="center"/>
    </xf>
    <xf numFmtId="2" fontId="0" fillId="6" borderId="0" xfId="1" applyNumberFormat="1" applyFont="1" applyFill="1" applyAlignment="1">
      <alignment horizontal="center"/>
    </xf>
    <xf numFmtId="2" fontId="0" fillId="0" borderId="0" xfId="1" applyNumberFormat="1" applyFont="1" applyFill="1" applyAlignment="1">
      <alignment horizontal="center"/>
    </xf>
    <xf numFmtId="2" fontId="0" fillId="6" borderId="0" xfId="0" applyNumberFormat="1" applyFill="1"/>
    <xf numFmtId="2" fontId="0" fillId="6" borderId="0" xfId="1" applyNumberFormat="1" applyFont="1" applyFill="1"/>
    <xf numFmtId="2" fontId="3" fillId="6" borderId="0" xfId="0" applyNumberFormat="1" applyFont="1" applyFill="1"/>
    <xf numFmtId="0" fontId="23" fillId="0" borderId="0" xfId="0" applyFont="1" applyAlignment="1">
      <alignment horizontal="center"/>
    </xf>
    <xf numFmtId="0" fontId="10" fillId="0" borderId="0" xfId="0" applyFont="1" applyAlignment="1">
      <alignment wrapText="1"/>
    </xf>
    <xf numFmtId="10" fontId="27" fillId="4" borderId="0" xfId="6" applyNumberFormat="1" applyFont="1" applyFill="1" applyAlignment="1">
      <alignment horizontal="center"/>
    </xf>
    <xf numFmtId="0" fontId="18" fillId="0" borderId="4" xfId="0" applyFont="1" applyBorder="1" applyAlignment="1">
      <alignment horizontal="center"/>
    </xf>
    <xf numFmtId="0" fontId="19" fillId="7" borderId="21" xfId="0" applyFont="1" applyFill="1" applyBorder="1" applyAlignment="1">
      <alignment horizontal="center" vertical="center" wrapText="1"/>
    </xf>
    <xf numFmtId="0" fontId="18" fillId="6" borderId="0" xfId="0" applyFont="1" applyFill="1"/>
    <xf numFmtId="0" fontId="8" fillId="6" borderId="0" xfId="0" applyFont="1" applyFill="1"/>
    <xf numFmtId="0" fontId="2" fillId="2" borderId="0" xfId="10" applyFont="1" applyFill="1"/>
    <xf numFmtId="0" fontId="26" fillId="0" borderId="0" xfId="8" applyFont="1" applyAlignment="1">
      <alignment horizontal="left" vertical="top"/>
    </xf>
    <xf numFmtId="0" fontId="1" fillId="0" borderId="0" xfId="10" applyFont="1"/>
    <xf numFmtId="9" fontId="9" fillId="0" borderId="48" xfId="10" applyNumberFormat="1" applyFont="1" applyBorder="1"/>
    <xf numFmtId="0" fontId="3" fillId="0" borderId="0" xfId="10" applyFont="1"/>
    <xf numFmtId="0" fontId="1" fillId="0" borderId="52" xfId="10" applyFont="1" applyBorder="1"/>
    <xf numFmtId="165" fontId="1" fillId="0" borderId="1" xfId="10" applyNumberFormat="1" applyFont="1" applyBorder="1"/>
    <xf numFmtId="0" fontId="1" fillId="0" borderId="55" xfId="10" applyFont="1" applyBorder="1"/>
    <xf numFmtId="165" fontId="36" fillId="0" borderId="0" xfId="10" applyNumberFormat="1" applyFont="1" applyAlignment="1">
      <alignment vertical="top"/>
    </xf>
    <xf numFmtId="9" fontId="8" fillId="0" borderId="0" xfId="10" applyNumberFormat="1" applyFont="1" applyAlignment="1">
      <alignment vertical="top"/>
    </xf>
    <xf numFmtId="0" fontId="2" fillId="2" borderId="55" xfId="10" applyFont="1" applyFill="1" applyBorder="1" applyAlignment="1">
      <alignment horizontal="right"/>
    </xf>
    <xf numFmtId="0" fontId="1" fillId="0" borderId="53" xfId="10" applyFont="1" applyBorder="1"/>
    <xf numFmtId="9" fontId="9" fillId="0" borderId="51" xfId="10" applyNumberFormat="1" applyFont="1" applyBorder="1"/>
    <xf numFmtId="0" fontId="18" fillId="0" borderId="0" xfId="8" applyFont="1" applyAlignment="1">
      <alignment horizontal="left" vertical="top"/>
    </xf>
    <xf numFmtId="0" fontId="21" fillId="0" borderId="0" xfId="8" applyFont="1" applyAlignment="1">
      <alignment horizontal="left" vertical="top"/>
    </xf>
    <xf numFmtId="167" fontId="0" fillId="0" borderId="5" xfId="0" applyNumberFormat="1" applyBorder="1"/>
    <xf numFmtId="169" fontId="0" fillId="0" borderId="1" xfId="2" applyNumberFormat="1" applyFont="1" applyBorder="1"/>
    <xf numFmtId="166" fontId="1" fillId="0" borderId="52" xfId="2" applyNumberFormat="1" applyFont="1" applyFill="1" applyBorder="1" applyAlignment="1">
      <alignment vertical="top"/>
    </xf>
    <xf numFmtId="166" fontId="1" fillId="0" borderId="1" xfId="2" applyNumberFormat="1" applyFont="1" applyFill="1" applyBorder="1" applyAlignment="1">
      <alignment vertical="top"/>
    </xf>
    <xf numFmtId="166" fontId="1" fillId="0" borderId="46" xfId="2" applyNumberFormat="1" applyFont="1" applyFill="1" applyBorder="1" applyAlignment="1">
      <alignment vertical="top"/>
    </xf>
    <xf numFmtId="166" fontId="1" fillId="0" borderId="0" xfId="2" applyNumberFormat="1" applyFont="1" applyFill="1" applyBorder="1" applyAlignment="1">
      <alignment vertical="top"/>
    </xf>
    <xf numFmtId="166" fontId="1" fillId="0" borderId="48" xfId="2" applyNumberFormat="1" applyFont="1" applyFill="1" applyBorder="1" applyAlignment="1">
      <alignment vertical="top"/>
    </xf>
    <xf numFmtId="166" fontId="1" fillId="0" borderId="4" xfId="2" applyNumberFormat="1" applyFont="1" applyFill="1" applyBorder="1" applyAlignment="1">
      <alignment vertical="top"/>
    </xf>
    <xf numFmtId="166" fontId="1" fillId="0" borderId="51" xfId="2" applyNumberFormat="1" applyFont="1" applyFill="1" applyBorder="1" applyAlignment="1">
      <alignment vertical="top"/>
    </xf>
    <xf numFmtId="9" fontId="9" fillId="6" borderId="48" xfId="10" applyNumberFormat="1" applyFont="1" applyFill="1" applyBorder="1"/>
    <xf numFmtId="166" fontId="9" fillId="6" borderId="0" xfId="2" applyNumberFormat="1" applyFont="1" applyFill="1" applyBorder="1" applyAlignment="1">
      <alignment vertical="top"/>
    </xf>
    <xf numFmtId="10" fontId="9" fillId="6" borderId="0" xfId="10" applyNumberFormat="1" applyFont="1" applyFill="1" applyAlignment="1">
      <alignment vertical="top"/>
    </xf>
    <xf numFmtId="169" fontId="8" fillId="0" borderId="0" xfId="0" applyNumberFormat="1" applyFont="1"/>
    <xf numFmtId="10" fontId="9" fillId="0" borderId="48" xfId="10" applyNumberFormat="1" applyFont="1" applyBorder="1"/>
    <xf numFmtId="10" fontId="9" fillId="0" borderId="51" xfId="10" applyNumberFormat="1" applyFont="1" applyBorder="1"/>
    <xf numFmtId="10" fontId="9" fillId="6" borderId="48" xfId="10" applyNumberFormat="1" applyFont="1" applyFill="1" applyBorder="1"/>
    <xf numFmtId="10" fontId="8" fillId="0" borderId="4" xfId="2" applyNumberFormat="1" applyFont="1" applyBorder="1" applyAlignment="1">
      <alignment vertical="top"/>
    </xf>
    <xf numFmtId="9" fontId="8" fillId="0" borderId="0" xfId="2" applyFont="1" applyAlignment="1">
      <alignment vertical="top"/>
    </xf>
    <xf numFmtId="9" fontId="8" fillId="0" borderId="4" xfId="2" applyFont="1" applyBorder="1" applyAlignment="1">
      <alignment vertical="top"/>
    </xf>
    <xf numFmtId="9" fontId="9" fillId="6" borderId="0" xfId="2" applyFont="1" applyFill="1" applyAlignment="1">
      <alignment vertical="top"/>
    </xf>
    <xf numFmtId="10" fontId="8" fillId="0" borderId="52" xfId="2" applyNumberFormat="1" applyFont="1" applyBorder="1" applyAlignment="1">
      <alignment vertical="top"/>
    </xf>
    <xf numFmtId="10" fontId="8" fillId="0" borderId="1" xfId="2" applyNumberFormat="1" applyFont="1" applyBorder="1" applyAlignment="1">
      <alignment vertical="top"/>
    </xf>
    <xf numFmtId="10" fontId="8" fillId="0" borderId="46" xfId="2" applyNumberFormat="1" applyFont="1" applyBorder="1" applyAlignment="1">
      <alignment vertical="top"/>
    </xf>
    <xf numFmtId="10" fontId="8" fillId="0" borderId="55" xfId="2" applyNumberFormat="1" applyFont="1" applyBorder="1" applyAlignment="1">
      <alignment vertical="top"/>
    </xf>
    <xf numFmtId="10" fontId="8" fillId="0" borderId="0" xfId="2" applyNumberFormat="1" applyFont="1" applyBorder="1" applyAlignment="1">
      <alignment vertical="top"/>
    </xf>
    <xf numFmtId="10" fontId="8" fillId="0" borderId="48" xfId="2" applyNumberFormat="1" applyFont="1" applyBorder="1" applyAlignment="1">
      <alignment vertical="top"/>
    </xf>
    <xf numFmtId="10" fontId="9" fillId="6" borderId="0" xfId="2" applyNumberFormat="1" applyFont="1" applyFill="1" applyBorder="1" applyAlignment="1">
      <alignment vertical="top"/>
    </xf>
    <xf numFmtId="10" fontId="8" fillId="0" borderId="53" xfId="2" applyNumberFormat="1" applyFont="1" applyBorder="1" applyAlignment="1">
      <alignment vertical="top"/>
    </xf>
    <xf numFmtId="10" fontId="8" fillId="0" borderId="51" xfId="2" applyNumberFormat="1" applyFont="1" applyBorder="1" applyAlignment="1">
      <alignment vertical="top"/>
    </xf>
    <xf numFmtId="10" fontId="8" fillId="0" borderId="0" xfId="2" applyNumberFormat="1" applyFont="1" applyFill="1" applyBorder="1" applyAlignment="1">
      <alignment vertical="top"/>
    </xf>
    <xf numFmtId="165" fontId="1" fillId="0" borderId="46" xfId="10" applyNumberFormat="1" applyFont="1" applyBorder="1"/>
    <xf numFmtId="165" fontId="36" fillId="0" borderId="48" xfId="10" applyNumberFormat="1" applyFont="1" applyBorder="1" applyAlignment="1">
      <alignment vertical="top"/>
    </xf>
    <xf numFmtId="10" fontId="9" fillId="6" borderId="48" xfId="2" applyNumberFormat="1" applyFont="1" applyFill="1" applyBorder="1" applyAlignment="1">
      <alignment vertical="top"/>
    </xf>
    <xf numFmtId="0" fontId="0" fillId="0" borderId="55" xfId="0" applyBorder="1"/>
    <xf numFmtId="10" fontId="8" fillId="0" borderId="48" xfId="2" applyNumberFormat="1" applyFont="1" applyFill="1" applyBorder="1" applyAlignment="1">
      <alignment vertical="top"/>
    </xf>
    <xf numFmtId="0" fontId="21" fillId="4" borderId="0" xfId="0" applyFont="1" applyFill="1"/>
    <xf numFmtId="0" fontId="21" fillId="4" borderId="0" xfId="0" applyFont="1" applyFill="1" applyAlignment="1">
      <alignment wrapText="1"/>
    </xf>
    <xf numFmtId="0" fontId="16" fillId="2" borderId="0" xfId="3" applyFont="1" applyFill="1" applyAlignment="1">
      <alignment horizontal="center"/>
    </xf>
    <xf numFmtId="0" fontId="21" fillId="4" borderId="0" xfId="0" applyFont="1" applyFill="1" applyAlignment="1">
      <alignment wrapText="1"/>
    </xf>
    <xf numFmtId="0" fontId="2" fillId="2" borderId="1" xfId="10" applyFont="1" applyFill="1" applyBorder="1" applyAlignment="1">
      <alignment horizontal="center"/>
    </xf>
    <xf numFmtId="0" fontId="2" fillId="2" borderId="46" xfId="10" applyFont="1" applyFill="1" applyBorder="1" applyAlignment="1">
      <alignment horizontal="center"/>
    </xf>
    <xf numFmtId="0" fontId="5" fillId="2" borderId="0" xfId="0" applyFont="1" applyFill="1"/>
    <xf numFmtId="0" fontId="0" fillId="0" borderId="2" xfId="0" applyBorder="1" applyAlignment="1">
      <alignment horizontal="center"/>
    </xf>
    <xf numFmtId="0" fontId="0" fillId="0" borderId="3" xfId="0" applyBorder="1" applyAlignment="1">
      <alignment horizontal="center"/>
    </xf>
    <xf numFmtId="0" fontId="10" fillId="5" borderId="0" xfId="0" applyFont="1" applyFill="1"/>
    <xf numFmtId="0" fontId="21" fillId="0" borderId="0" xfId="0" applyFont="1" applyAlignment="1">
      <alignment wrapText="1"/>
    </xf>
    <xf numFmtId="0" fontId="28" fillId="2" borderId="0" xfId="3" applyFont="1" applyFill="1" applyAlignment="1">
      <alignment horizontal="center"/>
    </xf>
    <xf numFmtId="0" fontId="2" fillId="2" borderId="0" xfId="0" applyFont="1" applyFill="1" applyAlignment="1">
      <alignment horizontal="center"/>
    </xf>
    <xf numFmtId="0" fontId="10" fillId="2" borderId="0" xfId="0" applyFont="1" applyFill="1" applyAlignment="1">
      <alignment vertical="center" wrapText="1"/>
    </xf>
    <xf numFmtId="0" fontId="2" fillId="2" borderId="0" xfId="0" applyFont="1" applyFill="1"/>
    <xf numFmtId="0" fontId="30" fillId="5" borderId="0" xfId="7" applyFont="1" applyFill="1" applyAlignment="1">
      <alignment wrapText="1"/>
    </xf>
    <xf numFmtId="0" fontId="21" fillId="0" borderId="0" xfId="8" applyFont="1" applyAlignment="1">
      <alignment horizontal="center" vertical="top"/>
    </xf>
    <xf numFmtId="0" fontId="18" fillId="0" borderId="0" xfId="0" applyFont="1" applyAlignment="1">
      <alignment horizontal="center"/>
    </xf>
    <xf numFmtId="0" fontId="21" fillId="9" borderId="0" xfId="8" applyFont="1" applyFill="1" applyAlignment="1">
      <alignment horizontal="left" vertical="top" wrapText="1"/>
    </xf>
    <xf numFmtId="0" fontId="2" fillId="2" borderId="0" xfId="3" applyFont="1" applyFill="1" applyAlignment="1">
      <alignment horizontal="left" vertical="center" wrapText="1"/>
    </xf>
    <xf numFmtId="0" fontId="21" fillId="0" borderId="9" xfId="0" applyFont="1" applyBorder="1" applyAlignment="1">
      <alignment horizontal="left" vertical="center" wrapText="1"/>
    </xf>
    <xf numFmtId="0" fontId="21" fillId="0" borderId="10" xfId="0" applyFont="1" applyBorder="1" applyAlignment="1">
      <alignment horizontal="left" vertical="center" wrapText="1"/>
    </xf>
    <xf numFmtId="0" fontId="21" fillId="0" borderId="11" xfId="0" applyFont="1" applyBorder="1" applyAlignment="1">
      <alignment horizontal="left" vertical="center" wrapText="1"/>
    </xf>
    <xf numFmtId="0" fontId="21" fillId="0" borderId="12" xfId="0" applyFont="1" applyBorder="1" applyAlignment="1">
      <alignment horizontal="left" vertical="center" wrapText="1"/>
    </xf>
    <xf numFmtId="0" fontId="21" fillId="0" borderId="0" xfId="0" applyFont="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0" borderId="8" xfId="0" applyFont="1" applyBorder="1" applyAlignment="1">
      <alignment horizontal="left" vertical="center" wrapText="1"/>
    </xf>
    <xf numFmtId="0" fontId="21" fillId="0" borderId="15" xfId="0" applyFont="1" applyBorder="1" applyAlignment="1">
      <alignment horizontal="left" vertical="center" wrapText="1"/>
    </xf>
    <xf numFmtId="0" fontId="21" fillId="0" borderId="9" xfId="0" applyFont="1" applyBorder="1" applyAlignment="1">
      <alignment wrapText="1"/>
    </xf>
    <xf numFmtId="0" fontId="21" fillId="0" borderId="10" xfId="0" applyFont="1" applyBorder="1" applyAlignment="1">
      <alignment wrapText="1"/>
    </xf>
    <xf numFmtId="0" fontId="21" fillId="0" borderId="11" xfId="0" applyFont="1" applyBorder="1" applyAlignment="1">
      <alignment wrapText="1"/>
    </xf>
    <xf numFmtId="0" fontId="21" fillId="0" borderId="12" xfId="0" applyFont="1" applyBorder="1" applyAlignment="1">
      <alignment wrapText="1"/>
    </xf>
    <xf numFmtId="0" fontId="21" fillId="0" borderId="13" xfId="0" applyFont="1" applyBorder="1" applyAlignment="1">
      <alignment wrapText="1"/>
    </xf>
    <xf numFmtId="0" fontId="21" fillId="0" borderId="14" xfId="0" applyFont="1" applyBorder="1" applyAlignment="1">
      <alignment wrapText="1"/>
    </xf>
    <xf numFmtId="0" fontId="21" fillId="0" borderId="8" xfId="0" applyFont="1" applyBorder="1" applyAlignment="1">
      <alignment wrapText="1"/>
    </xf>
    <xf numFmtId="0" fontId="21" fillId="0" borderId="15" xfId="0" applyFont="1" applyBorder="1" applyAlignment="1">
      <alignment wrapText="1"/>
    </xf>
    <xf numFmtId="0" fontId="2" fillId="0" borderId="0" xfId="3" applyFont="1" applyAlignment="1">
      <alignment horizontal="left" vertical="center" wrapText="1"/>
    </xf>
    <xf numFmtId="0" fontId="21" fillId="0" borderId="0" xfId="0" applyFont="1" applyAlignment="1">
      <alignment horizontal="center"/>
    </xf>
    <xf numFmtId="0" fontId="21" fillId="0" borderId="0" xfId="0" applyFont="1" applyAlignment="1">
      <alignment vertical="center" wrapText="1"/>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9" xfId="0" applyFont="1" applyBorder="1" applyAlignment="1">
      <alignment horizontal="center"/>
    </xf>
    <xf numFmtId="0" fontId="3" fillId="0" borderId="7" xfId="0" applyFont="1" applyBorder="1" applyAlignment="1">
      <alignment horizontal="center"/>
    </xf>
    <xf numFmtId="0" fontId="3" fillId="0" borderId="20" xfId="0" applyFont="1" applyBorder="1" applyAlignment="1">
      <alignment horizontal="center"/>
    </xf>
    <xf numFmtId="0" fontId="2" fillId="2" borderId="0" xfId="4" applyFont="1" applyFill="1" applyAlignment="1">
      <alignment horizontal="center"/>
    </xf>
    <xf numFmtId="0" fontId="21" fillId="0" borderId="0" xfId="4" applyFont="1" applyAlignment="1">
      <alignment horizontal="left" vertical="center" wrapText="1"/>
    </xf>
    <xf numFmtId="0" fontId="2" fillId="2" borderId="23" xfId="0" applyFont="1" applyFill="1" applyBorder="1" applyAlignment="1">
      <alignment horizontal="center"/>
    </xf>
    <xf numFmtId="0" fontId="18" fillId="0" borderId="0" xfId="0" applyFont="1" applyAlignment="1">
      <alignment horizontal="center" wrapText="1"/>
    </xf>
    <xf numFmtId="0" fontId="18" fillId="0" borderId="0" xfId="0" applyFont="1" applyAlignment="1">
      <alignment vertical="center"/>
    </xf>
    <xf numFmtId="0" fontId="18" fillId="0" borderId="4" xfId="0" applyFont="1" applyBorder="1" applyAlignment="1">
      <alignment horizontal="center"/>
    </xf>
    <xf numFmtId="0" fontId="37" fillId="5" borderId="0" xfId="0" applyFont="1" applyFill="1"/>
    <xf numFmtId="10" fontId="37" fillId="5" borderId="0" xfId="2" applyNumberFormat="1" applyFont="1" applyFill="1" applyAlignment="1">
      <alignment horizontal="center"/>
    </xf>
    <xf numFmtId="43" fontId="3" fillId="0" borderId="0" xfId="1" applyFont="1" applyAlignment="1">
      <alignment horizontal="center"/>
    </xf>
    <xf numFmtId="0" fontId="38" fillId="2" borderId="0" xfId="0" applyFont="1" applyFill="1"/>
    <xf numFmtId="0" fontId="21" fillId="0" borderId="0" xfId="0" applyFont="1" applyBorder="1" applyAlignment="1">
      <alignment vertical="center" wrapText="1"/>
    </xf>
    <xf numFmtId="0" fontId="21" fillId="0" borderId="56" xfId="0" applyFont="1" applyBorder="1" applyAlignment="1">
      <alignment vertical="center" wrapText="1"/>
    </xf>
    <xf numFmtId="0" fontId="21" fillId="0" borderId="57" xfId="0" applyFont="1" applyBorder="1" applyAlignment="1">
      <alignment vertical="center" wrapText="1"/>
    </xf>
    <xf numFmtId="0" fontId="21" fillId="0" borderId="58" xfId="0" applyFont="1" applyBorder="1" applyAlignment="1">
      <alignment vertical="center" wrapText="1"/>
    </xf>
    <xf numFmtId="0" fontId="21" fillId="0" borderId="59" xfId="0" applyFont="1" applyBorder="1" applyAlignment="1">
      <alignment vertical="center" wrapText="1"/>
    </xf>
    <xf numFmtId="0" fontId="21" fillId="0" borderId="60" xfId="0" applyFont="1" applyBorder="1" applyAlignment="1">
      <alignment vertical="center" wrapText="1"/>
    </xf>
    <xf numFmtId="0" fontId="21" fillId="0" borderId="61" xfId="0" applyFont="1" applyBorder="1" applyAlignment="1">
      <alignment vertical="center" wrapText="1"/>
    </xf>
    <xf numFmtId="0" fontId="21" fillId="0" borderId="22" xfId="0" applyFont="1" applyBorder="1" applyAlignment="1">
      <alignment vertical="center" wrapText="1"/>
    </xf>
    <xf numFmtId="0" fontId="21" fillId="0" borderId="62" xfId="0" applyFont="1" applyBorder="1" applyAlignment="1">
      <alignment vertical="center" wrapText="1"/>
    </xf>
  </cellXfs>
  <cellStyles count="14">
    <cellStyle name="Comma" xfId="1" builtinId="3"/>
    <cellStyle name="Comma 2" xfId="5" xr:uid="{F943E927-92DE-44A2-97F4-763FDDEC525A}"/>
    <cellStyle name="Comma 2 2" xfId="13" xr:uid="{7DC6C35E-1403-4481-959F-5D4F867A8DE4}"/>
    <cellStyle name="Comma 3" xfId="9" xr:uid="{FBC9770D-D4CD-4644-BA1C-1335DC857678}"/>
    <cellStyle name="Comma 4" xfId="12" xr:uid="{7F6028E2-3A0C-4422-A9F6-89509F50E4AF}"/>
    <cellStyle name="Hyperlink" xfId="7" builtinId="8"/>
    <cellStyle name="Normal" xfId="0" builtinId="0"/>
    <cellStyle name="Normal 2" xfId="3" xr:uid="{DA42CC58-EA18-4836-A698-CEA13D2924BF}"/>
    <cellStyle name="Normal 2 2" xfId="8" xr:uid="{FAE5CE69-2E04-4692-9577-A70C2D9061D2}"/>
    <cellStyle name="Normal 3" xfId="10" xr:uid="{C051DF01-24B7-49DA-9D29-941457CC137A}"/>
    <cellStyle name="Normal 4" xfId="4" xr:uid="{D74781FD-EEB6-4C04-81A7-411AAD08CDCB}"/>
    <cellStyle name="Percent" xfId="2" builtinId="5"/>
    <cellStyle name="Percent 2" xfId="6" xr:uid="{065CF056-69F5-4EDE-A856-B79BB3D35D6B}"/>
    <cellStyle name="Percent 4" xfId="11" xr:uid="{798E3141-EE73-4D7C-A79F-01B33662D2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Value Per</a:t>
            </a:r>
            <a:r>
              <a:rPr lang="en-US" b="1" baseline="0">
                <a:solidFill>
                  <a:schemeClr val="bg1"/>
                </a:solidFill>
              </a:rPr>
              <a:t> Share Summary</a:t>
            </a:r>
            <a:endParaRPr lang="en-US" b="1">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2060"/>
            </a:solidFill>
            <a:ln>
              <a:noFill/>
            </a:ln>
            <a:effectLst/>
          </c:spPr>
          <c:invertIfNegative val="0"/>
          <c:cat>
            <c:strRef>
              <c:f>'Compr Scenario Analysis-DCF'!$B$6:$B$10</c:f>
              <c:strCache>
                <c:ptCount val="5"/>
                <c:pt idx="0">
                  <c:v>WACC</c:v>
                </c:pt>
                <c:pt idx="1">
                  <c:v>Terminal Growth Rate</c:v>
                </c:pt>
                <c:pt idx="2">
                  <c:v>Expected Growth Rate of FCFF</c:v>
                </c:pt>
                <c:pt idx="3">
                  <c:v>Tax Rate</c:v>
                </c:pt>
                <c:pt idx="4">
                  <c:v>Reinvestment Rate</c:v>
                </c:pt>
              </c:strCache>
            </c:strRef>
          </c:cat>
          <c:val>
            <c:numRef>
              <c:f>'Compr Scenario Analysis-DCF'!$D$6:$D$10</c:f>
              <c:numCache>
                <c:formatCode>_(* #,##0.00_);_(* \(#,##0.00\);_(* "-"??_);_(@_)</c:formatCode>
                <c:ptCount val="5"/>
                <c:pt idx="0">
                  <c:v>120.12603465590949</c:v>
                </c:pt>
                <c:pt idx="1">
                  <c:v>48.938976136903179</c:v>
                </c:pt>
                <c:pt idx="2">
                  <c:v>65.495236814495996</c:v>
                </c:pt>
                <c:pt idx="3">
                  <c:v>46.509095322283578</c:v>
                </c:pt>
                <c:pt idx="4">
                  <c:v>11.960587754468341</c:v>
                </c:pt>
              </c:numCache>
            </c:numRef>
          </c:val>
          <c:extLst>
            <c:ext xmlns:c16="http://schemas.microsoft.com/office/drawing/2014/chart" uri="{C3380CC4-5D6E-409C-BE32-E72D297353CC}">
              <c16:uniqueId val="{00000000-6F99-4535-BE63-0FAF6BA81633}"/>
            </c:ext>
          </c:extLst>
        </c:ser>
        <c:ser>
          <c:idx val="1"/>
          <c:order val="1"/>
          <c:spPr>
            <a:solidFill>
              <a:schemeClr val="accent1">
                <a:lumMod val="40000"/>
                <a:lumOff val="60000"/>
              </a:schemeClr>
            </a:solidFill>
            <a:ln>
              <a:noFill/>
            </a:ln>
            <a:effectLst/>
          </c:spPr>
          <c:invertIfNegative val="0"/>
          <c:cat>
            <c:strRef>
              <c:f>'Compr Scenario Analysis-DCF'!$B$6:$B$10</c:f>
              <c:strCache>
                <c:ptCount val="5"/>
                <c:pt idx="0">
                  <c:v>WACC</c:v>
                </c:pt>
                <c:pt idx="1">
                  <c:v>Terminal Growth Rate</c:v>
                </c:pt>
                <c:pt idx="2">
                  <c:v>Expected Growth Rate of FCFF</c:v>
                </c:pt>
                <c:pt idx="3">
                  <c:v>Tax Rate</c:v>
                </c:pt>
                <c:pt idx="4">
                  <c:v>Reinvestment Rate</c:v>
                </c:pt>
              </c:strCache>
            </c:strRef>
          </c:cat>
          <c:val>
            <c:numRef>
              <c:f>'Compr Scenario Analysis-DCF'!$E$6:$E$10</c:f>
              <c:numCache>
                <c:formatCode>_(* #,##0.00_);_(* \(#,##0.00\);_(* "-"??_);_(@_)</c:formatCode>
                <c:ptCount val="5"/>
                <c:pt idx="0">
                  <c:v>28.550489533484487</c:v>
                </c:pt>
                <c:pt idx="1">
                  <c:v>38.972728097560157</c:v>
                </c:pt>
                <c:pt idx="2">
                  <c:v>28.902977165546833</c:v>
                </c:pt>
                <c:pt idx="3">
                  <c:v>34.575066701560516</c:v>
                </c:pt>
                <c:pt idx="4">
                  <c:v>41.60763021660766</c:v>
                </c:pt>
              </c:numCache>
            </c:numRef>
          </c:val>
          <c:extLst>
            <c:ext xmlns:c16="http://schemas.microsoft.com/office/drawing/2014/chart" uri="{C3380CC4-5D6E-409C-BE32-E72D297353CC}">
              <c16:uniqueId val="{00000001-6F99-4535-BE63-0FAF6BA81633}"/>
            </c:ext>
          </c:extLst>
        </c:ser>
        <c:dLbls>
          <c:showLegendKey val="0"/>
          <c:showVal val="0"/>
          <c:showCatName val="0"/>
          <c:showSerName val="0"/>
          <c:showPercent val="0"/>
          <c:showBubbleSize val="0"/>
        </c:dLbls>
        <c:gapWidth val="219"/>
        <c:overlap val="-27"/>
        <c:axId val="491519823"/>
        <c:axId val="491509263"/>
      </c:barChart>
      <c:catAx>
        <c:axId val="49151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491509263"/>
        <c:crosses val="autoZero"/>
        <c:auto val="1"/>
        <c:lblAlgn val="ctr"/>
        <c:lblOffset val="100"/>
        <c:noMultiLvlLbl val="0"/>
      </c:catAx>
      <c:valAx>
        <c:axId val="49150926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491519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EPS Forecasting</a:t>
            </a:r>
            <a:endParaRPr lang="en-US" b="1" baseline="0">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002060"/>
              </a:solidFill>
              <a:round/>
            </a:ln>
            <a:effectLst/>
          </c:spPr>
          <c:marker>
            <c:symbol val="circle"/>
            <c:size val="5"/>
            <c:spPr>
              <a:solidFill>
                <a:schemeClr val="accent1"/>
              </a:solidFill>
              <a:ln w="9525">
                <a:solidFill>
                  <a:schemeClr val="accent1"/>
                </a:solidFill>
              </a:ln>
              <a:effectLst/>
            </c:spPr>
          </c:marker>
          <c:cat>
            <c:strRef>
              <c:f>'Forecasting-EPS of Twitter'!$C$5:$C$14</c:f>
              <c:strCache>
                <c:ptCount val="10"/>
                <c:pt idx="0">
                  <c:v>2017</c:v>
                </c:pt>
                <c:pt idx="1">
                  <c:v>2018</c:v>
                </c:pt>
                <c:pt idx="2">
                  <c:v>2019</c:v>
                </c:pt>
                <c:pt idx="3">
                  <c:v>2020</c:v>
                </c:pt>
                <c:pt idx="4">
                  <c:v>2021</c:v>
                </c:pt>
                <c:pt idx="5">
                  <c:v>2022-F</c:v>
                </c:pt>
                <c:pt idx="6">
                  <c:v>2023-F</c:v>
                </c:pt>
                <c:pt idx="7">
                  <c:v>2024-F</c:v>
                </c:pt>
                <c:pt idx="8">
                  <c:v>2025-F</c:v>
                </c:pt>
                <c:pt idx="9">
                  <c:v>2026-F</c:v>
                </c:pt>
              </c:strCache>
            </c:strRef>
          </c:cat>
          <c:val>
            <c:numRef>
              <c:f>'Forecasting-EPS of Twitter'!$D$5:$D$14</c:f>
              <c:numCache>
                <c:formatCode>_(* #,##0.00_);_(* \(#,##0.00\);_(* "-"??_);_(@_)</c:formatCode>
                <c:ptCount val="10"/>
                <c:pt idx="0">
                  <c:v>-0.14742155525238745</c:v>
                </c:pt>
                <c:pt idx="1">
                  <c:v>1.5601552393272962</c:v>
                </c:pt>
                <c:pt idx="2">
                  <c:v>1.8651399491094147</c:v>
                </c:pt>
                <c:pt idx="3">
                  <c:v>-1.4416243654822336</c:v>
                </c:pt>
                <c:pt idx="4">
                  <c:v>-0.27745614035087718</c:v>
                </c:pt>
                <c:pt idx="5">
                  <c:v>-0.66679600703171027</c:v>
                </c:pt>
                <c:pt idx="6">
                  <c:v>-0.99298088453236133</c:v>
                </c:pt>
                <c:pt idx="7">
                  <c:v>-1.3191657620330122</c:v>
                </c:pt>
                <c:pt idx="8">
                  <c:v>-1.645350639533663</c:v>
                </c:pt>
                <c:pt idx="9">
                  <c:v>-1.9715355170343138</c:v>
                </c:pt>
              </c:numCache>
            </c:numRef>
          </c:val>
          <c:smooth val="0"/>
          <c:extLst>
            <c:ext xmlns:c16="http://schemas.microsoft.com/office/drawing/2014/chart" uri="{C3380CC4-5D6E-409C-BE32-E72D297353CC}">
              <c16:uniqueId val="{00000000-0973-4CA9-97D2-0236DA027057}"/>
            </c:ext>
          </c:extLst>
        </c:ser>
        <c:dLbls>
          <c:showLegendKey val="0"/>
          <c:showVal val="0"/>
          <c:showCatName val="0"/>
          <c:showSerName val="0"/>
          <c:showPercent val="0"/>
          <c:showBubbleSize val="0"/>
        </c:dLbls>
        <c:marker val="1"/>
        <c:smooth val="0"/>
        <c:axId val="1403498768"/>
        <c:axId val="1403505488"/>
      </c:lineChart>
      <c:catAx>
        <c:axId val="140349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403505488"/>
        <c:crosses val="autoZero"/>
        <c:auto val="1"/>
        <c:lblAlgn val="ctr"/>
        <c:lblOffset val="100"/>
        <c:noMultiLvlLbl val="0"/>
      </c:catAx>
      <c:valAx>
        <c:axId val="1403505488"/>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403498768"/>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r>
              <a:rPr lang="en-US" sz="1200" b="1">
                <a:solidFill>
                  <a:srgbClr val="002060"/>
                </a:solidFill>
              </a:rPr>
              <a:t>Football Field Analysis-Valuation Summary (USD)</a:t>
            </a:r>
          </a:p>
        </c:rich>
      </c:tx>
      <c:overlay val="0"/>
      <c:spPr>
        <a:noFill/>
        <a:ln>
          <a:noFill/>
        </a:ln>
        <a:effectLst/>
      </c:spPr>
      <c:txPr>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endParaRPr lang="en-US"/>
        </a:p>
      </c:txPr>
    </c:title>
    <c:autoTitleDeleted val="0"/>
    <c:plotArea>
      <c:layout/>
      <c:stockChart>
        <c:ser>
          <c:idx val="0"/>
          <c:order val="0"/>
          <c:spPr>
            <a:ln w="19050" cap="rnd">
              <a:noFill/>
              <a:round/>
            </a:ln>
            <a:effectLst/>
          </c:spPr>
          <c:marker>
            <c:symbol val="none"/>
          </c:marker>
          <c:cat>
            <c:strRef>
              <c:f>'Football Field Analysis'!$N$4:$N$8</c:f>
              <c:strCache>
                <c:ptCount val="5"/>
                <c:pt idx="0">
                  <c:v>Comps (Relative Valuation)</c:v>
                </c:pt>
                <c:pt idx="1">
                  <c:v>DCF Best case</c:v>
                </c:pt>
                <c:pt idx="2">
                  <c:v>DCF Base</c:v>
                </c:pt>
                <c:pt idx="3">
                  <c:v>DCF Worst Case</c:v>
                </c:pt>
                <c:pt idx="4">
                  <c:v>Precdent Transaction Analysis</c:v>
                </c:pt>
              </c:strCache>
            </c:strRef>
          </c:cat>
          <c:val>
            <c:numRef>
              <c:f>'Football Field Analysis'!$O$4:$O$8</c:f>
              <c:numCache>
                <c:formatCode>_(* #,##0.00_);_(* \(#,##0.00\);_(* "-"??_);_(@_)</c:formatCode>
                <c:ptCount val="5"/>
                <c:pt idx="0">
                  <c:v>-16.706573956179501</c:v>
                </c:pt>
                <c:pt idx="1">
                  <c:v>11.960587754468341</c:v>
                </c:pt>
                <c:pt idx="2">
                  <c:v>40.54208101192205</c:v>
                </c:pt>
                <c:pt idx="3">
                  <c:v>28.550489533484487</c:v>
                </c:pt>
                <c:pt idx="4">
                  <c:v>20.074706766917291</c:v>
                </c:pt>
              </c:numCache>
            </c:numRef>
          </c:val>
          <c:smooth val="0"/>
          <c:extLst>
            <c:ext xmlns:c16="http://schemas.microsoft.com/office/drawing/2014/chart" uri="{C3380CC4-5D6E-409C-BE32-E72D297353CC}">
              <c16:uniqueId val="{00000000-F5AD-406C-B1B7-59D7F0177D87}"/>
            </c:ext>
          </c:extLst>
        </c:ser>
        <c:ser>
          <c:idx val="1"/>
          <c:order val="1"/>
          <c:spPr>
            <a:ln w="19050" cap="rnd">
              <a:noFill/>
              <a:round/>
            </a:ln>
            <a:effectLst/>
          </c:spPr>
          <c:marker>
            <c:symbol val="none"/>
          </c:marker>
          <c:dLbls>
            <c:numFmt formatCode="[$USD]\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Analysis'!$N$4:$N$8</c:f>
              <c:strCache>
                <c:ptCount val="5"/>
                <c:pt idx="0">
                  <c:v>Comps (Relative Valuation)</c:v>
                </c:pt>
                <c:pt idx="1">
                  <c:v>DCF Best case</c:v>
                </c:pt>
                <c:pt idx="2">
                  <c:v>DCF Base</c:v>
                </c:pt>
                <c:pt idx="3">
                  <c:v>DCF Worst Case</c:v>
                </c:pt>
                <c:pt idx="4">
                  <c:v>Precdent Transaction Analysis</c:v>
                </c:pt>
              </c:strCache>
            </c:strRef>
          </c:cat>
          <c:val>
            <c:numRef>
              <c:f>'Football Field Analysis'!$P$4:$P$8</c:f>
              <c:numCache>
                <c:formatCode>_(* #,##0.00_);_(* \(#,##0.00\);_(* "-"??_);_(@_)</c:formatCode>
                <c:ptCount val="5"/>
                <c:pt idx="0">
                  <c:v>-16.706573956179501</c:v>
                </c:pt>
                <c:pt idx="1">
                  <c:v>11.960587754468341</c:v>
                </c:pt>
                <c:pt idx="2">
                  <c:v>40.54208101192205</c:v>
                </c:pt>
                <c:pt idx="3">
                  <c:v>28.550489533484487</c:v>
                </c:pt>
                <c:pt idx="4">
                  <c:v>20.074706766917291</c:v>
                </c:pt>
              </c:numCache>
            </c:numRef>
          </c:val>
          <c:smooth val="0"/>
          <c:extLst>
            <c:ext xmlns:c16="http://schemas.microsoft.com/office/drawing/2014/chart" uri="{C3380CC4-5D6E-409C-BE32-E72D297353CC}">
              <c16:uniqueId val="{00000001-F5AD-406C-B1B7-59D7F0177D87}"/>
            </c:ext>
          </c:extLst>
        </c:ser>
        <c:ser>
          <c:idx val="2"/>
          <c:order val="2"/>
          <c:spPr>
            <a:ln w="19050" cap="rnd">
              <a:noFill/>
              <a:round/>
            </a:ln>
            <a:effectLst/>
          </c:spPr>
          <c:marker>
            <c:symbol val="none"/>
          </c:marker>
          <c:cat>
            <c:strRef>
              <c:f>'Football Field Analysis'!$N$4:$N$8</c:f>
              <c:strCache>
                <c:ptCount val="5"/>
                <c:pt idx="0">
                  <c:v>Comps (Relative Valuation)</c:v>
                </c:pt>
                <c:pt idx="1">
                  <c:v>DCF Best case</c:v>
                </c:pt>
                <c:pt idx="2">
                  <c:v>DCF Base</c:v>
                </c:pt>
                <c:pt idx="3">
                  <c:v>DCF Worst Case</c:v>
                </c:pt>
                <c:pt idx="4">
                  <c:v>Precdent Transaction Analysis</c:v>
                </c:pt>
              </c:strCache>
            </c:strRef>
          </c:cat>
          <c:val>
            <c:numRef>
              <c:f>'Football Field Analysis'!$Q$4:$Q$8</c:f>
              <c:numCache>
                <c:formatCode>_(* #,##0.00_);_(* \(#,##0.00\);_(* "-"??_);_(@_)</c:formatCode>
                <c:ptCount val="5"/>
                <c:pt idx="0">
                  <c:v>66.478746867167928</c:v>
                </c:pt>
                <c:pt idx="1">
                  <c:v>120.12603465590949</c:v>
                </c:pt>
                <c:pt idx="2">
                  <c:v>40.54208101192205</c:v>
                </c:pt>
                <c:pt idx="3">
                  <c:v>41.60763021660766</c:v>
                </c:pt>
                <c:pt idx="4">
                  <c:v>67.577543859649126</c:v>
                </c:pt>
              </c:numCache>
            </c:numRef>
          </c:val>
          <c:smooth val="0"/>
          <c:extLst>
            <c:ext xmlns:c16="http://schemas.microsoft.com/office/drawing/2014/chart" uri="{C3380CC4-5D6E-409C-BE32-E72D297353CC}">
              <c16:uniqueId val="{00000002-F5AD-406C-B1B7-59D7F0177D87}"/>
            </c:ext>
          </c:extLst>
        </c:ser>
        <c:ser>
          <c:idx val="3"/>
          <c:order val="3"/>
          <c:spPr>
            <a:ln w="19050" cap="rnd">
              <a:noFill/>
              <a:round/>
            </a:ln>
            <a:effectLst/>
          </c:spPr>
          <c:marker>
            <c:symbol val="none"/>
          </c:marker>
          <c:dLbls>
            <c:numFmt formatCode="[$USD]\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Analysis'!$N$4:$N$8</c:f>
              <c:strCache>
                <c:ptCount val="5"/>
                <c:pt idx="0">
                  <c:v>Comps (Relative Valuation)</c:v>
                </c:pt>
                <c:pt idx="1">
                  <c:v>DCF Best case</c:v>
                </c:pt>
                <c:pt idx="2">
                  <c:v>DCF Base</c:v>
                </c:pt>
                <c:pt idx="3">
                  <c:v>DCF Worst Case</c:v>
                </c:pt>
                <c:pt idx="4">
                  <c:v>Precdent Transaction Analysis</c:v>
                </c:pt>
              </c:strCache>
            </c:strRef>
          </c:cat>
          <c:val>
            <c:numRef>
              <c:f>'Football Field Analysis'!$R$4:$R$8</c:f>
              <c:numCache>
                <c:formatCode>_(* #,##0.00_);_(* \(#,##0.00\);_(* "-"??_);_(@_)</c:formatCode>
                <c:ptCount val="5"/>
                <c:pt idx="0">
                  <c:v>66.478746867167928</c:v>
                </c:pt>
                <c:pt idx="1">
                  <c:v>120.12603465590949</c:v>
                </c:pt>
                <c:pt idx="2">
                  <c:v>40.54208101192205</c:v>
                </c:pt>
                <c:pt idx="3">
                  <c:v>41.60763021660766</c:v>
                </c:pt>
                <c:pt idx="4">
                  <c:v>67.577543859649126</c:v>
                </c:pt>
              </c:numCache>
            </c:numRef>
          </c:val>
          <c:smooth val="0"/>
          <c:extLst>
            <c:ext xmlns:c16="http://schemas.microsoft.com/office/drawing/2014/chart" uri="{C3380CC4-5D6E-409C-BE32-E72D297353CC}">
              <c16:uniqueId val="{00000003-F5AD-406C-B1B7-59D7F0177D87}"/>
            </c:ext>
          </c:extLst>
        </c:ser>
        <c:dLbls>
          <c:showLegendKey val="0"/>
          <c:showVal val="0"/>
          <c:showCatName val="0"/>
          <c:showSerName val="0"/>
          <c:showPercent val="0"/>
          <c:showBubbleSize val="0"/>
        </c:dLbl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70358879"/>
        <c:axId val="870370399"/>
      </c:stockChart>
      <c:catAx>
        <c:axId val="87035887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70370399"/>
        <c:crosses val="autoZero"/>
        <c:auto val="1"/>
        <c:lblAlgn val="ctr"/>
        <c:lblOffset val="1000"/>
        <c:noMultiLvlLbl val="0"/>
      </c:catAx>
      <c:valAx>
        <c:axId val="870370399"/>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70358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434340</xdr:colOff>
      <xdr:row>1</xdr:row>
      <xdr:rowOff>68580</xdr:rowOff>
    </xdr:from>
    <xdr:to>
      <xdr:col>10</xdr:col>
      <xdr:colOff>259080</xdr:colOff>
      <xdr:row>16</xdr:row>
      <xdr:rowOff>68580</xdr:rowOff>
    </xdr:to>
    <xdr:graphicFrame macro="">
      <xdr:nvGraphicFramePr>
        <xdr:cNvPr id="2" name="Chart 1">
          <a:extLst>
            <a:ext uri="{FF2B5EF4-FFF2-40B4-BE49-F238E27FC236}">
              <a16:creationId xmlns:a16="http://schemas.microsoft.com/office/drawing/2014/main" id="{C75FDD83-D8DF-43EE-B013-3BE4D69151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289560</xdr:colOff>
      <xdr:row>2</xdr:row>
      <xdr:rowOff>144780</xdr:rowOff>
    </xdr:from>
    <xdr:to>
      <xdr:col>14</xdr:col>
      <xdr:colOff>396240</xdr:colOff>
      <xdr:row>11</xdr:row>
      <xdr:rowOff>144780</xdr:rowOff>
    </xdr:to>
    <xdr:graphicFrame macro="">
      <xdr:nvGraphicFramePr>
        <xdr:cNvPr id="2" name="Chart 1">
          <a:extLst>
            <a:ext uri="{FF2B5EF4-FFF2-40B4-BE49-F238E27FC236}">
              <a16:creationId xmlns:a16="http://schemas.microsoft.com/office/drawing/2014/main" id="{D385AC4C-9A66-4E90-AAA1-A529948EE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236220</xdr:colOff>
      <xdr:row>3</xdr:row>
      <xdr:rowOff>53340</xdr:rowOff>
    </xdr:from>
    <xdr:to>
      <xdr:col>10</xdr:col>
      <xdr:colOff>190500</xdr:colOff>
      <xdr:row>15</xdr:row>
      <xdr:rowOff>53340</xdr:rowOff>
    </xdr:to>
    <xdr:graphicFrame macro="">
      <xdr:nvGraphicFramePr>
        <xdr:cNvPr id="2" name="Chart 1">
          <a:extLst>
            <a:ext uri="{FF2B5EF4-FFF2-40B4-BE49-F238E27FC236}">
              <a16:creationId xmlns:a16="http://schemas.microsoft.com/office/drawing/2014/main" id="{AE295360-3688-4317-9104-FCDDB56E80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esktop\Upwork%20and%20Assirience%20work\Financial%20Modelling%20Whole\DCF_Discounted%20Cash%20Flow%20Model%20for%20Valuati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Waleed%20Ghani\Desktop\Upwork%20and%20Assirience%20work\Financial%20Modelling%20Whole\FCEPL%20data\FCEPL%20DCF%20and%20WACC%20Modelling.xlsx" TargetMode="External"/><Relationship Id="rId1" Type="http://schemas.openxmlformats.org/officeDocument/2006/relationships/externalLinkPath" Target="/Waleed%20Ghani/Desktop/Upwork%20and%20Assirience%20work/Financial%20Modelling%20Whole/FCEPL%20data/FCEPL%20DCF%20and%20WACC%20Modell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 formulas"/>
      <sheetName val="Integrated FS"/>
      <sheetName val="WACC, Ke, Kd calc"/>
      <sheetName val="Goal Seek, data table, scen ana"/>
      <sheetName val="Scenario manager"/>
      <sheetName val="Scenario Summary "/>
      <sheetName val="Free Cashflows to Firm"/>
      <sheetName val="WACC"/>
      <sheetName val="PV of CF"/>
      <sheetName val="FV Perpetuity"/>
      <sheetName val="FV EBITDA"/>
      <sheetName val="NPV Formula"/>
      <sheetName val="DCF"/>
    </sheetNames>
    <sheetDataSet>
      <sheetData sheetId="0" refreshError="1"/>
      <sheetData sheetId="1"/>
      <sheetData sheetId="2">
        <row r="3">
          <cell r="C3">
            <v>0.04</v>
          </cell>
        </row>
        <row r="4">
          <cell r="C4">
            <v>0.1</v>
          </cell>
        </row>
        <row r="5">
          <cell r="C5">
            <v>1.25</v>
          </cell>
        </row>
        <row r="8">
          <cell r="C8">
            <v>0.14000000000000001</v>
          </cell>
        </row>
        <row r="9">
          <cell r="C9">
            <v>0.3</v>
          </cell>
        </row>
        <row r="12">
          <cell r="C12">
            <v>125000</v>
          </cell>
        </row>
        <row r="13">
          <cell r="C13">
            <v>125000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CC"/>
      <sheetName val="Data-competitors"/>
      <sheetName val="Rm (KSE-100 Returns)"/>
      <sheetName val="Beta-UFPL"/>
      <sheetName val="Beta-Nestle Pak Ltd"/>
      <sheetName val="Beta-FCEPL"/>
      <sheetName val="Beta-Ismail Industries Ltd"/>
      <sheetName val="Beta-National Foods Ltd"/>
      <sheetName val="Beta-Colgate Palmolive Pak Ltd"/>
      <sheetName val="BS"/>
      <sheetName val="Pnl"/>
      <sheetName val="Raw CF Stm"/>
      <sheetName val="Ratio Analysis"/>
      <sheetName val="Intrinsic Growth Rate"/>
      <sheetName val="DCF &amp; Sensitivity Analysis"/>
      <sheetName val="Further Sensitivity Analysis"/>
      <sheetName val="Raw Data for Relative Valuation"/>
      <sheetName val="FCEPL-Comp company Valuation"/>
      <sheetName val="Football Field Analysis"/>
      <sheetName val="One Page co. Profi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2">
          <cell r="B2" t="str">
            <v>FrieslandCampina Engro Pakistan Limited</v>
          </cell>
        </row>
        <row r="8">
          <cell r="B8" t="str">
            <v>Property, plant and equipment</v>
          </cell>
        </row>
      </sheetData>
      <sheetData sheetId="10">
        <row r="7">
          <cell r="D7">
            <v>100235403</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home.treasury.gov/policy-issues/financing-the-government/interest-rate-statistics?data=yield" TargetMode="Externa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macrotrends.net/2526/sp-500-historical-annual-returns"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B3F0-E5CB-48DF-A994-F051FDED54FD}">
  <sheetPr>
    <tabColor theme="0" tint="-0.249977111117893"/>
  </sheetPr>
  <dimension ref="B2:O36"/>
  <sheetViews>
    <sheetView showGridLines="0" topLeftCell="A14" workbookViewId="0">
      <selection activeCell="B34" sqref="B34:O36"/>
    </sheetView>
  </sheetViews>
  <sheetFormatPr defaultRowHeight="14.4" x14ac:dyDescent="0.3"/>
  <sheetData>
    <row r="2" spans="2:15" x14ac:dyDescent="0.3">
      <c r="B2" s="334" t="str">
        <f>"Assumptions for Valuation Modelling"&amp;" - "&amp;WACC!$B$12</f>
        <v>Assumptions for Valuation Modelling - Twitter Inc.</v>
      </c>
      <c r="C2" s="334"/>
      <c r="D2" s="334"/>
      <c r="E2" s="334"/>
      <c r="F2" s="334"/>
      <c r="G2" s="334"/>
    </row>
    <row r="4" spans="2:15" x14ac:dyDescent="0.3">
      <c r="B4" s="332" t="s">
        <v>384</v>
      </c>
      <c r="C4" s="332"/>
      <c r="D4" s="332"/>
      <c r="E4" s="332"/>
      <c r="F4" s="332"/>
      <c r="G4" s="332"/>
      <c r="H4" s="332"/>
      <c r="I4" s="332"/>
      <c r="J4" s="106"/>
      <c r="K4" s="106"/>
      <c r="L4" s="106"/>
      <c r="M4" s="106"/>
      <c r="N4" s="106"/>
      <c r="O4" s="106"/>
    </row>
    <row r="5" spans="2:15" x14ac:dyDescent="0.3">
      <c r="B5" s="332"/>
      <c r="C5" s="332"/>
      <c r="D5" s="332"/>
      <c r="E5" s="332"/>
      <c r="F5" s="332"/>
      <c r="G5" s="332"/>
      <c r="H5" s="332"/>
      <c r="I5" s="332"/>
      <c r="J5" s="106"/>
      <c r="K5" s="106"/>
      <c r="L5" s="106"/>
      <c r="M5" s="106"/>
      <c r="N5" s="106"/>
      <c r="O5" s="106"/>
    </row>
    <row r="6" spans="2:15" x14ac:dyDescent="0.3">
      <c r="B6" s="332" t="s">
        <v>385</v>
      </c>
      <c r="C6" s="332"/>
      <c r="D6" s="332"/>
      <c r="E6" s="332"/>
      <c r="F6" s="332"/>
      <c r="G6" s="332"/>
      <c r="H6" s="332"/>
      <c r="I6" s="332"/>
      <c r="J6" s="106"/>
      <c r="K6" s="106"/>
      <c r="L6" s="106"/>
      <c r="M6" s="106"/>
      <c r="N6" s="106"/>
      <c r="O6" s="106"/>
    </row>
    <row r="7" spans="2:15" x14ac:dyDescent="0.3">
      <c r="B7" s="332"/>
      <c r="C7" s="332"/>
      <c r="D7" s="332"/>
      <c r="E7" s="332"/>
      <c r="F7" s="332"/>
      <c r="G7" s="332"/>
      <c r="H7" s="332"/>
      <c r="I7" s="332"/>
      <c r="J7" s="106"/>
      <c r="K7" s="106"/>
      <c r="L7" s="106"/>
      <c r="M7" s="106"/>
      <c r="N7" s="106"/>
      <c r="O7" s="106"/>
    </row>
    <row r="8" spans="2:15" x14ac:dyDescent="0.3">
      <c r="B8" s="332" t="s">
        <v>386</v>
      </c>
      <c r="C8" s="332"/>
      <c r="D8" s="332"/>
      <c r="E8" s="332"/>
      <c r="F8" s="332"/>
      <c r="G8" s="332"/>
      <c r="H8" s="332"/>
      <c r="I8" s="332"/>
      <c r="J8" s="106"/>
      <c r="K8" s="106"/>
      <c r="L8" s="106"/>
      <c r="M8" s="106"/>
      <c r="N8" s="106"/>
      <c r="O8" s="106"/>
    </row>
    <row r="9" spans="2:15" x14ac:dyDescent="0.3">
      <c r="B9" s="332"/>
      <c r="C9" s="332"/>
      <c r="D9" s="332"/>
      <c r="E9" s="332"/>
      <c r="F9" s="332"/>
      <c r="G9" s="332"/>
      <c r="H9" s="332"/>
      <c r="I9" s="332"/>
      <c r="J9" s="106"/>
      <c r="K9" s="106"/>
      <c r="L9" s="106"/>
      <c r="M9" s="106"/>
      <c r="N9" s="106"/>
      <c r="O9" s="106"/>
    </row>
    <row r="10" spans="2:15" x14ac:dyDescent="0.3">
      <c r="B10" s="332" t="s">
        <v>387</v>
      </c>
      <c r="C10" s="332"/>
      <c r="D10" s="332"/>
      <c r="E10" s="332"/>
      <c r="F10" s="332"/>
      <c r="G10" s="332"/>
      <c r="H10" s="332"/>
      <c r="I10" s="332"/>
      <c r="J10" s="106"/>
      <c r="K10" s="106"/>
      <c r="L10" s="106"/>
      <c r="M10" s="106"/>
      <c r="N10" s="106"/>
      <c r="O10" s="106"/>
    </row>
    <row r="11" spans="2:15" x14ac:dyDescent="0.3">
      <c r="B11" s="332"/>
      <c r="C11" s="332"/>
      <c r="D11" s="332"/>
      <c r="E11" s="332"/>
      <c r="F11" s="332"/>
      <c r="G11" s="332"/>
      <c r="H11" s="332"/>
      <c r="I11" s="332"/>
      <c r="J11" s="106"/>
      <c r="K11" s="106"/>
      <c r="L11" s="106"/>
      <c r="M11" s="106"/>
      <c r="N11" s="106"/>
      <c r="O11" s="106"/>
    </row>
    <row r="12" spans="2:15" x14ac:dyDescent="0.3">
      <c r="B12" s="332" t="s">
        <v>388</v>
      </c>
      <c r="C12" s="332"/>
      <c r="D12" s="332"/>
      <c r="E12" s="332"/>
      <c r="F12" s="332"/>
      <c r="G12" s="332"/>
      <c r="H12" s="332"/>
      <c r="I12" s="332"/>
      <c r="J12" s="106"/>
      <c r="K12" s="106"/>
      <c r="L12" s="106"/>
      <c r="M12" s="106"/>
      <c r="N12" s="106"/>
      <c r="O12" s="106"/>
    </row>
    <row r="13" spans="2:15" x14ac:dyDescent="0.3">
      <c r="B13" s="332"/>
      <c r="C13" s="332"/>
      <c r="D13" s="332"/>
      <c r="E13" s="332"/>
      <c r="F13" s="332"/>
      <c r="G13" s="332"/>
      <c r="H13" s="332"/>
      <c r="I13" s="332"/>
      <c r="J13" s="106"/>
      <c r="K13" s="106"/>
      <c r="L13" s="106"/>
      <c r="M13" s="106"/>
      <c r="N13" s="106"/>
      <c r="O13" s="106"/>
    </row>
    <row r="14" spans="2:15" x14ac:dyDescent="0.3">
      <c r="B14" s="332" t="s">
        <v>389</v>
      </c>
      <c r="C14" s="332"/>
      <c r="D14" s="332"/>
      <c r="E14" s="332"/>
      <c r="F14" s="332"/>
      <c r="G14" s="332"/>
      <c r="H14" s="332"/>
      <c r="I14" s="332"/>
      <c r="J14" s="106"/>
      <c r="K14" s="106"/>
      <c r="L14" s="106"/>
      <c r="M14" s="106"/>
      <c r="N14" s="106"/>
      <c r="O14" s="106"/>
    </row>
    <row r="15" spans="2:15" x14ac:dyDescent="0.3">
      <c r="B15" s="332"/>
      <c r="C15" s="332"/>
      <c r="D15" s="332"/>
      <c r="E15" s="332"/>
      <c r="F15" s="332"/>
      <c r="G15" s="332"/>
      <c r="H15" s="332"/>
      <c r="I15" s="332"/>
      <c r="J15" s="106"/>
      <c r="K15" s="106"/>
      <c r="L15" s="106"/>
      <c r="M15" s="106"/>
      <c r="N15" s="106"/>
      <c r="O15" s="106"/>
    </row>
    <row r="16" spans="2:15" x14ac:dyDescent="0.3">
      <c r="B16" s="335" t="s">
        <v>395</v>
      </c>
      <c r="C16" s="335"/>
      <c r="D16" s="335"/>
      <c r="E16" s="335"/>
      <c r="F16" s="335"/>
      <c r="G16" s="335"/>
      <c r="H16" s="335"/>
      <c r="I16" s="335"/>
      <c r="J16" s="106"/>
      <c r="K16" s="106"/>
      <c r="L16" s="106"/>
      <c r="M16" s="106"/>
      <c r="N16" s="106"/>
      <c r="O16" s="106"/>
    </row>
    <row r="17" spans="2:15" x14ac:dyDescent="0.3">
      <c r="B17" s="335"/>
      <c r="C17" s="335"/>
      <c r="D17" s="335"/>
      <c r="E17" s="335"/>
      <c r="F17" s="335"/>
      <c r="G17" s="335"/>
      <c r="H17" s="335"/>
      <c r="I17" s="335"/>
      <c r="J17" s="106"/>
      <c r="K17" s="106"/>
      <c r="L17" s="106"/>
      <c r="M17" s="106"/>
      <c r="N17" s="106"/>
      <c r="O17" s="106"/>
    </row>
    <row r="18" spans="2:15" x14ac:dyDescent="0.3">
      <c r="B18" s="335"/>
      <c r="C18" s="335"/>
      <c r="D18" s="335"/>
      <c r="E18" s="335"/>
      <c r="F18" s="335"/>
      <c r="G18" s="335"/>
      <c r="H18" s="335"/>
      <c r="I18" s="335"/>
      <c r="J18" s="106"/>
      <c r="K18" s="106"/>
      <c r="L18" s="106"/>
      <c r="M18" s="106"/>
      <c r="N18" s="106"/>
      <c r="O18" s="106"/>
    </row>
    <row r="19" spans="2:15" x14ac:dyDescent="0.3">
      <c r="B19" s="335"/>
      <c r="C19" s="335"/>
      <c r="D19" s="335"/>
      <c r="E19" s="335"/>
      <c r="F19" s="335"/>
      <c r="G19" s="335"/>
      <c r="H19" s="335"/>
      <c r="I19" s="335"/>
      <c r="J19" s="106"/>
      <c r="K19" s="106"/>
      <c r="L19" s="106"/>
      <c r="M19" s="106"/>
      <c r="N19" s="106"/>
      <c r="O19" s="106"/>
    </row>
    <row r="20" spans="2:15" x14ac:dyDescent="0.3">
      <c r="B20" s="335"/>
      <c r="C20" s="335"/>
      <c r="D20" s="335"/>
      <c r="E20" s="335"/>
      <c r="F20" s="335"/>
      <c r="G20" s="335"/>
      <c r="H20" s="335"/>
      <c r="I20" s="335"/>
      <c r="J20" s="106"/>
      <c r="K20" s="106"/>
      <c r="L20" s="106"/>
      <c r="M20" s="106"/>
      <c r="N20" s="106"/>
      <c r="O20" s="106"/>
    </row>
    <row r="21" spans="2:15" x14ac:dyDescent="0.3">
      <c r="B21" s="333"/>
      <c r="C21" s="333"/>
      <c r="D21" s="333"/>
      <c r="E21" s="333"/>
      <c r="F21" s="333"/>
      <c r="G21" s="333"/>
      <c r="H21" s="333"/>
      <c r="I21" s="333"/>
      <c r="J21" s="106"/>
      <c r="K21" s="106"/>
      <c r="L21" s="106"/>
      <c r="M21" s="106"/>
      <c r="N21" s="106"/>
      <c r="O21" s="106"/>
    </row>
    <row r="22" spans="2:15" x14ac:dyDescent="0.3">
      <c r="B22" s="332" t="s">
        <v>394</v>
      </c>
      <c r="C22" s="332"/>
      <c r="D22" s="332"/>
      <c r="E22" s="332"/>
      <c r="F22" s="332"/>
      <c r="G22" s="332"/>
      <c r="H22" s="332"/>
      <c r="I22" s="332"/>
      <c r="J22" s="106"/>
      <c r="K22" s="106"/>
      <c r="L22" s="106"/>
      <c r="M22" s="106"/>
      <c r="N22" s="106"/>
      <c r="O22" s="106"/>
    </row>
    <row r="23" spans="2:15" x14ac:dyDescent="0.3">
      <c r="B23" s="332"/>
      <c r="C23" s="332"/>
      <c r="D23" s="332"/>
      <c r="E23" s="332"/>
      <c r="F23" s="332"/>
      <c r="G23" s="332"/>
      <c r="H23" s="332"/>
      <c r="I23" s="332"/>
      <c r="J23" s="106"/>
      <c r="K23" s="106"/>
      <c r="L23" s="106"/>
      <c r="M23" s="106"/>
      <c r="N23" s="106"/>
      <c r="O23" s="106"/>
    </row>
    <row r="24" spans="2:15" x14ac:dyDescent="0.3">
      <c r="B24" s="332" t="s">
        <v>393</v>
      </c>
      <c r="C24" s="332"/>
      <c r="D24" s="332"/>
      <c r="E24" s="332"/>
      <c r="F24" s="332"/>
      <c r="G24" s="332"/>
      <c r="H24" s="332"/>
      <c r="I24" s="332"/>
      <c r="J24" s="106"/>
      <c r="K24" s="106"/>
      <c r="L24" s="106"/>
      <c r="M24" s="106"/>
      <c r="N24" s="106"/>
      <c r="O24" s="106"/>
    </row>
    <row r="25" spans="2:15" x14ac:dyDescent="0.3">
      <c r="B25" s="332"/>
      <c r="C25" s="332"/>
      <c r="D25" s="332"/>
      <c r="E25" s="332"/>
      <c r="F25" s="332"/>
      <c r="G25" s="332"/>
      <c r="H25" s="332"/>
      <c r="I25" s="332"/>
      <c r="J25" s="106"/>
      <c r="K25" s="106"/>
      <c r="L25" s="106"/>
      <c r="M25" s="106"/>
      <c r="N25" s="106"/>
      <c r="O25" s="106"/>
    </row>
    <row r="26" spans="2:15" x14ac:dyDescent="0.3">
      <c r="B26" s="332" t="s">
        <v>392</v>
      </c>
      <c r="C26" s="332"/>
      <c r="D26" s="332"/>
      <c r="E26" s="332"/>
      <c r="F26" s="332"/>
      <c r="G26" s="332"/>
      <c r="H26" s="332"/>
      <c r="I26" s="332"/>
      <c r="J26" s="106"/>
      <c r="K26" s="106"/>
      <c r="L26" s="106"/>
      <c r="M26" s="106"/>
      <c r="N26" s="106"/>
      <c r="O26" s="106"/>
    </row>
    <row r="27" spans="2:15" x14ac:dyDescent="0.3">
      <c r="B27" s="332"/>
      <c r="C27" s="332"/>
      <c r="D27" s="332"/>
      <c r="E27" s="332"/>
      <c r="F27" s="332"/>
      <c r="G27" s="332"/>
      <c r="H27" s="332"/>
      <c r="I27" s="332"/>
      <c r="J27" s="106"/>
      <c r="K27" s="106"/>
      <c r="L27" s="106"/>
      <c r="M27" s="106"/>
      <c r="N27" s="106"/>
      <c r="O27" s="106"/>
    </row>
    <row r="28" spans="2:15" x14ac:dyDescent="0.3">
      <c r="B28" s="332" t="s">
        <v>391</v>
      </c>
      <c r="C28" s="332"/>
      <c r="D28" s="332"/>
      <c r="E28" s="332"/>
      <c r="F28" s="332"/>
      <c r="G28" s="332"/>
      <c r="H28" s="332"/>
      <c r="I28" s="332"/>
      <c r="J28" s="106"/>
      <c r="K28" s="106"/>
      <c r="L28" s="106"/>
      <c r="M28" s="106"/>
      <c r="N28" s="106"/>
      <c r="O28" s="106"/>
    </row>
    <row r="29" spans="2:15" x14ac:dyDescent="0.3">
      <c r="B29" s="332"/>
      <c r="C29" s="332"/>
      <c r="D29" s="332"/>
      <c r="E29" s="332"/>
      <c r="F29" s="332"/>
      <c r="G29" s="332"/>
      <c r="H29" s="332"/>
      <c r="I29" s="332"/>
      <c r="J29" s="106"/>
      <c r="K29" s="106"/>
      <c r="L29" s="106"/>
      <c r="M29" s="106"/>
      <c r="N29" s="106"/>
      <c r="O29" s="106"/>
    </row>
    <row r="30" spans="2:15" x14ac:dyDescent="0.3">
      <c r="B30" s="332" t="s">
        <v>390</v>
      </c>
      <c r="C30" s="332"/>
      <c r="D30" s="332"/>
      <c r="E30" s="332"/>
      <c r="F30" s="332"/>
      <c r="G30" s="332"/>
      <c r="H30" s="332"/>
      <c r="I30" s="332"/>
      <c r="J30" s="106"/>
      <c r="K30" s="106"/>
      <c r="L30" s="106"/>
      <c r="M30" s="106"/>
      <c r="N30" s="106"/>
      <c r="O30" s="106"/>
    </row>
    <row r="31" spans="2:15" x14ac:dyDescent="0.3">
      <c r="B31" s="332"/>
      <c r="C31" s="332"/>
      <c r="D31" s="332"/>
      <c r="E31" s="332"/>
      <c r="F31" s="332"/>
      <c r="G31" s="332"/>
      <c r="H31" s="332"/>
      <c r="I31" s="332"/>
      <c r="J31" s="106"/>
      <c r="K31" s="106"/>
      <c r="L31" s="106"/>
      <c r="M31" s="106"/>
      <c r="N31" s="106"/>
      <c r="O31" s="106"/>
    </row>
    <row r="32" spans="2:15" x14ac:dyDescent="0.3">
      <c r="B32" s="332" t="s">
        <v>396</v>
      </c>
      <c r="C32" s="332"/>
      <c r="D32" s="332"/>
      <c r="E32" s="332"/>
      <c r="F32" s="332"/>
      <c r="G32" s="332"/>
      <c r="H32" s="332"/>
      <c r="I32" s="332"/>
      <c r="J32" s="106"/>
      <c r="K32" s="106"/>
      <c r="L32" s="106"/>
      <c r="M32" s="106"/>
      <c r="N32" s="106"/>
      <c r="O32" s="106"/>
    </row>
    <row r="33" spans="2:15" x14ac:dyDescent="0.3">
      <c r="B33" s="332"/>
      <c r="C33" s="332"/>
      <c r="D33" s="332"/>
      <c r="E33" s="332"/>
      <c r="F33" s="332"/>
      <c r="G33" s="332"/>
      <c r="H33" s="332"/>
      <c r="I33" s="332"/>
      <c r="J33" s="106"/>
      <c r="K33" s="106"/>
      <c r="L33" s="106"/>
      <c r="M33" s="106"/>
      <c r="N33" s="106"/>
      <c r="O33" s="106"/>
    </row>
    <row r="34" spans="2:15" x14ac:dyDescent="0.3">
      <c r="B34" s="335" t="s">
        <v>398</v>
      </c>
      <c r="C34" s="335"/>
      <c r="D34" s="335"/>
      <c r="E34" s="335"/>
      <c r="F34" s="335"/>
      <c r="G34" s="335"/>
      <c r="H34" s="335"/>
      <c r="I34" s="335"/>
      <c r="J34" s="335"/>
      <c r="K34" s="335"/>
      <c r="L34" s="335"/>
      <c r="M34" s="335"/>
      <c r="N34" s="335"/>
      <c r="O34" s="335"/>
    </row>
    <row r="35" spans="2:15" x14ac:dyDescent="0.3">
      <c r="B35" s="335"/>
      <c r="C35" s="335"/>
      <c r="D35" s="335"/>
      <c r="E35" s="335"/>
      <c r="F35" s="335"/>
      <c r="G35" s="335"/>
      <c r="H35" s="335"/>
      <c r="I35" s="335"/>
      <c r="J35" s="335"/>
      <c r="K35" s="335"/>
      <c r="L35" s="335"/>
      <c r="M35" s="335"/>
      <c r="N35" s="335"/>
      <c r="O35" s="335"/>
    </row>
    <row r="36" spans="2:15" x14ac:dyDescent="0.3">
      <c r="B36" s="335"/>
      <c r="C36" s="335"/>
      <c r="D36" s="335"/>
      <c r="E36" s="335"/>
      <c r="F36" s="335"/>
      <c r="G36" s="335"/>
      <c r="H36" s="335"/>
      <c r="I36" s="335"/>
      <c r="J36" s="335"/>
      <c r="K36" s="335"/>
      <c r="L36" s="335"/>
      <c r="M36" s="335"/>
      <c r="N36" s="335"/>
      <c r="O36" s="335"/>
    </row>
  </sheetData>
  <mergeCells count="3">
    <mergeCell ref="B2:G2"/>
    <mergeCell ref="B16:I20"/>
    <mergeCell ref="B34:O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34EDF-37F4-4211-8226-06A0278E6F17}">
  <sheetPr>
    <tabColor rgb="FF002060"/>
    <pageSetUpPr autoPageBreaks="0"/>
  </sheetPr>
  <dimension ref="B2:T91"/>
  <sheetViews>
    <sheetView showGridLines="0" topLeftCell="A22" zoomScaleNormal="100" workbookViewId="0">
      <selection activeCell="G47" sqref="G47"/>
    </sheetView>
  </sheetViews>
  <sheetFormatPr defaultRowHeight="14.4" x14ac:dyDescent="0.3"/>
  <cols>
    <col min="1" max="1" width="1.88671875" customWidth="1"/>
    <col min="2" max="2" width="42" customWidth="1"/>
    <col min="3" max="3" width="14.5546875" bestFit="1" customWidth="1"/>
    <col min="4" max="4" width="9.6640625" bestFit="1" customWidth="1"/>
    <col min="5" max="5" width="11.109375" bestFit="1" customWidth="1"/>
    <col min="6" max="6" width="18.33203125" customWidth="1"/>
    <col min="7" max="7" width="16.109375" bestFit="1" customWidth="1"/>
    <col min="8" max="8" width="11" bestFit="1" customWidth="1"/>
    <col min="10" max="10" width="11" bestFit="1" customWidth="1"/>
    <col min="11" max="11" width="11.77734375" customWidth="1"/>
    <col min="12" max="12" width="14.109375" customWidth="1"/>
    <col min="13" max="13" width="11.44140625" bestFit="1" customWidth="1"/>
  </cols>
  <sheetData>
    <row r="2" spans="2:12" ht="18" x14ac:dyDescent="0.35">
      <c r="B2" s="343" t="str">
        <f>"WACC Modelling"&amp;" - "&amp;WACC!$B$12</f>
        <v>WACC Modelling - Twitter Inc.</v>
      </c>
      <c r="C2" s="343"/>
      <c r="D2" s="343"/>
      <c r="E2" s="1"/>
    </row>
    <row r="4" spans="2:12" ht="18" x14ac:dyDescent="0.35">
      <c r="B4" s="338" t="s">
        <v>0</v>
      </c>
      <c r="C4" s="338"/>
      <c r="D4" s="338"/>
      <c r="E4" s="338"/>
    </row>
    <row r="6" spans="2:12" x14ac:dyDescent="0.3">
      <c r="B6" s="2" t="s">
        <v>224</v>
      </c>
    </row>
    <row r="7" spans="2:12" x14ac:dyDescent="0.3">
      <c r="G7" s="3"/>
    </row>
    <row r="8" spans="2:12" ht="15" thickBot="1" x14ac:dyDescent="0.35">
      <c r="B8" t="s">
        <v>1</v>
      </c>
    </row>
    <row r="9" spans="2:12" ht="15" thickBot="1" x14ac:dyDescent="0.35">
      <c r="B9" s="4"/>
      <c r="C9" s="4"/>
      <c r="D9" s="4"/>
      <c r="E9" s="4"/>
      <c r="F9" s="339" t="s">
        <v>235</v>
      </c>
      <c r="G9" s="340"/>
      <c r="H9" s="4"/>
      <c r="I9" s="5" t="s">
        <v>2</v>
      </c>
      <c r="J9" s="5" t="s">
        <v>2</v>
      </c>
      <c r="K9" s="5" t="s">
        <v>3</v>
      </c>
      <c r="L9" s="5" t="s">
        <v>4</v>
      </c>
    </row>
    <row r="10" spans="2:12" ht="16.2" x14ac:dyDescent="0.3">
      <c r="B10" s="6" t="s">
        <v>5</v>
      </c>
      <c r="C10" s="6"/>
      <c r="D10" s="6"/>
      <c r="E10" s="7" t="s">
        <v>6</v>
      </c>
      <c r="F10" s="7" t="s">
        <v>7</v>
      </c>
      <c r="G10" s="7" t="s">
        <v>8</v>
      </c>
      <c r="H10" s="7" t="s">
        <v>9</v>
      </c>
      <c r="I10" s="7" t="s">
        <v>10</v>
      </c>
      <c r="J10" s="7" t="s">
        <v>11</v>
      </c>
      <c r="K10" s="7" t="s">
        <v>12</v>
      </c>
      <c r="L10" s="7" t="s">
        <v>13</v>
      </c>
    </row>
    <row r="11" spans="2:12" x14ac:dyDescent="0.3">
      <c r="E11" s="8"/>
      <c r="F11" s="8"/>
      <c r="G11" s="8"/>
      <c r="H11" s="8"/>
      <c r="I11" s="8"/>
      <c r="J11" s="8"/>
      <c r="K11" s="8"/>
      <c r="L11" s="8"/>
    </row>
    <row r="12" spans="2:12" x14ac:dyDescent="0.3">
      <c r="B12" s="9" t="s">
        <v>225</v>
      </c>
      <c r="E12" s="10" t="s">
        <v>226</v>
      </c>
      <c r="F12" s="11">
        <f>'Data-competitors'!D6</f>
        <v>5547</v>
      </c>
      <c r="G12" s="12">
        <f>'Data-competitors'!E6</f>
        <v>7307</v>
      </c>
      <c r="H12" s="13">
        <v>0.25</v>
      </c>
      <c r="I12" s="14">
        <f>F12/G12</f>
        <v>0.75913507595456409</v>
      </c>
      <c r="J12" s="14">
        <f>F12/(F12+G12)</f>
        <v>0.43153882060059123</v>
      </c>
      <c r="K12" s="12">
        <f>'Beta-Twitter Inc'!K12</f>
        <v>0.53063577439269183</v>
      </c>
      <c r="L12" s="15">
        <f>K12/(1+(1-H12)*I12)</f>
        <v>0.3381242759586997</v>
      </c>
    </row>
    <row r="13" spans="2:12" x14ac:dyDescent="0.3">
      <c r="E13" s="10"/>
      <c r="F13" s="11"/>
      <c r="G13" s="12"/>
      <c r="H13" s="13"/>
      <c r="I13" s="14"/>
      <c r="J13" s="14"/>
      <c r="K13" s="12"/>
      <c r="L13" s="15"/>
    </row>
    <row r="14" spans="2:12" x14ac:dyDescent="0.3">
      <c r="B14" t="str">
        <f>'Data-competitors'!B8</f>
        <v>Meta Platforms, Inc.</v>
      </c>
      <c r="E14" s="10" t="s">
        <v>226</v>
      </c>
      <c r="F14" s="11">
        <f>'Data-competitors'!D8</f>
        <v>13873</v>
      </c>
      <c r="G14" s="11">
        <f>'Data-competitors'!E8</f>
        <v>124879</v>
      </c>
      <c r="H14" s="13">
        <f>$H$12</f>
        <v>0.25</v>
      </c>
      <c r="I14" s="14">
        <f>F14/G14</f>
        <v>0.111091536607436</v>
      </c>
      <c r="J14" s="14">
        <f>F14/(F14+G14)</f>
        <v>9.998414437269372E-2</v>
      </c>
      <c r="K14" s="12">
        <f>'Beta-Meta'!K12</f>
        <v>0.95625504356861013</v>
      </c>
      <c r="L14" s="15">
        <f>K14/(1+(1-H14)*I14)</f>
        <v>0.88270892539425083</v>
      </c>
    </row>
    <row r="15" spans="2:12" x14ac:dyDescent="0.3">
      <c r="B15" t="str">
        <f>'Data-competitors'!B9</f>
        <v>Alphabet Inc.</v>
      </c>
      <c r="E15" s="10" t="s">
        <v>226</v>
      </c>
      <c r="F15" s="11">
        <f>'Data-competitors'!D9</f>
        <v>28508</v>
      </c>
      <c r="G15" s="11">
        <f>'Data-competitors'!E9</f>
        <v>251635</v>
      </c>
      <c r="H15" s="13">
        <f t="shared" ref="H15:H18" si="0">$H$12</f>
        <v>0.25</v>
      </c>
      <c r="I15" s="14">
        <f t="shared" ref="I15:I17" si="1">F15/G15</f>
        <v>0.11329107636060166</v>
      </c>
      <c r="J15" s="14">
        <f t="shared" ref="J15:J17" si="2">F15/(F15+G15)</f>
        <v>0.10176231424665261</v>
      </c>
      <c r="K15" s="12">
        <f>'Beta-Alphabet Inc (Class A)'!K12</f>
        <v>1.0538880768266732</v>
      </c>
      <c r="L15" s="15">
        <f t="shared" ref="L15:L18" si="3">K15/(1+(1-H15)*I15)</f>
        <v>0.971353789566472</v>
      </c>
    </row>
    <row r="16" spans="2:12" x14ac:dyDescent="0.3">
      <c r="B16" t="str">
        <f>'Data-competitors'!B10</f>
        <v>Snap Inc.</v>
      </c>
      <c r="E16" s="10" t="s">
        <v>226</v>
      </c>
      <c r="F16" s="11">
        <f>'Data-competitors'!D10</f>
        <v>1994</v>
      </c>
      <c r="G16" s="11">
        <f>'Data-competitors'!E10</f>
        <v>3790</v>
      </c>
      <c r="H16" s="13">
        <f t="shared" si="0"/>
        <v>0.25</v>
      </c>
      <c r="I16" s="14">
        <f t="shared" si="1"/>
        <v>0.52612137203166232</v>
      </c>
      <c r="J16" s="14">
        <f t="shared" si="2"/>
        <v>0.34474412171507607</v>
      </c>
      <c r="K16" s="12">
        <f>'Beta-SNAP Inc'!K12</f>
        <v>1.1697199136242158</v>
      </c>
      <c r="L16" s="15">
        <f t="shared" si="3"/>
        <v>0.83875479569308065</v>
      </c>
    </row>
    <row r="17" spans="2:12" x14ac:dyDescent="0.3">
      <c r="B17" t="str">
        <f>'Data-competitors'!B11</f>
        <v>Pinterest, Inc.</v>
      </c>
      <c r="E17" s="10" t="s">
        <v>226</v>
      </c>
      <c r="F17" s="11">
        <f>'Data-competitors'!D11</f>
        <v>250.87</v>
      </c>
      <c r="G17" s="11">
        <f>'Data-competitors'!E11</f>
        <v>3039</v>
      </c>
      <c r="H17" s="13">
        <f t="shared" si="0"/>
        <v>0.25</v>
      </c>
      <c r="I17" s="14">
        <f t="shared" si="1"/>
        <v>8.2550180980585725E-2</v>
      </c>
      <c r="J17" s="14">
        <f t="shared" si="2"/>
        <v>7.6255292762327995E-2</v>
      </c>
      <c r="K17" s="12">
        <f>'Beta-Pinterest'!K12</f>
        <v>1.1377618061592303</v>
      </c>
      <c r="L17" s="15">
        <f t="shared" si="3"/>
        <v>1.0714269402880405</v>
      </c>
    </row>
    <row r="18" spans="2:12" ht="16.2" x14ac:dyDescent="0.3">
      <c r="B18" t="s">
        <v>231</v>
      </c>
      <c r="E18" s="10" t="s">
        <v>226</v>
      </c>
      <c r="F18" s="11">
        <f>'Data-competitors'!D12</f>
        <v>78400</v>
      </c>
      <c r="G18" s="11">
        <f>'Data-competitors'!E12</f>
        <v>166542</v>
      </c>
      <c r="H18" s="13">
        <f t="shared" si="0"/>
        <v>0.25</v>
      </c>
      <c r="I18" s="14">
        <f t="shared" ref="I18" si="4">F18/G18</f>
        <v>0.47075212258769561</v>
      </c>
      <c r="J18" s="14">
        <f t="shared" ref="J18" si="5">F18/(F18+G18)</f>
        <v>0.32007577304014828</v>
      </c>
      <c r="K18" s="12">
        <f>'Beta-Microsoft Corp'!K12</f>
        <v>1.0804807787545179</v>
      </c>
      <c r="L18" s="15">
        <f t="shared" si="3"/>
        <v>0.79854367963067208</v>
      </c>
    </row>
    <row r="19" spans="2:12" x14ac:dyDescent="0.3">
      <c r="E19" s="10"/>
      <c r="F19" s="11"/>
      <c r="G19" s="12"/>
      <c r="H19" s="13"/>
      <c r="I19" s="17"/>
      <c r="J19" s="17"/>
      <c r="K19" s="18"/>
      <c r="L19" s="19"/>
    </row>
    <row r="20" spans="2:12" x14ac:dyDescent="0.3">
      <c r="G20" s="20" t="s">
        <v>14</v>
      </c>
      <c r="H20" s="21">
        <f>AVERAGE(H14:H19)</f>
        <v>0.25</v>
      </c>
      <c r="I20" s="22">
        <f>AVERAGE(I14:I19)</f>
        <v>0.26076125771359626</v>
      </c>
      <c r="J20" s="298">
        <f>AVERAGE(J14:J19)</f>
        <v>0.18856432922737976</v>
      </c>
      <c r="K20" s="23">
        <f>AVERAGE(K12:K18)</f>
        <v>0.98812356555432324</v>
      </c>
      <c r="L20" s="23">
        <f>AVERAGE(L12:L18)</f>
        <v>0.81681873442186925</v>
      </c>
    </row>
    <row r="21" spans="2:12" x14ac:dyDescent="0.3">
      <c r="B21" t="s">
        <v>15</v>
      </c>
      <c r="G21" s="24" t="s">
        <v>16</v>
      </c>
      <c r="H21" s="25">
        <f>MEDIAN(H14:H19)</f>
        <v>0.25</v>
      </c>
      <c r="I21" s="26">
        <f>MEDIAN(I14:I19)</f>
        <v>0.11329107636060166</v>
      </c>
      <c r="J21" s="26">
        <f>MEDIAN(J14:J19)</f>
        <v>0.10176231424665261</v>
      </c>
      <c r="K21" s="27">
        <f>MEDIAN(K12:K18)</f>
        <v>1.0671844277905955</v>
      </c>
      <c r="L21" s="27">
        <f>MEDIAN(L12:L18)</f>
        <v>0.86073186054366579</v>
      </c>
    </row>
    <row r="22" spans="2:12" x14ac:dyDescent="0.3">
      <c r="B22" s="62" t="s">
        <v>43</v>
      </c>
    </row>
    <row r="23" spans="2:12" x14ac:dyDescent="0.3">
      <c r="B23" s="342" t="s">
        <v>232</v>
      </c>
      <c r="C23" s="342"/>
      <c r="D23" s="342"/>
      <c r="E23" s="342"/>
      <c r="F23" s="342"/>
    </row>
    <row r="24" spans="2:12" x14ac:dyDescent="0.3">
      <c r="B24" s="342"/>
      <c r="C24" s="342"/>
      <c r="D24" s="342"/>
      <c r="E24" s="342"/>
      <c r="F24" s="342"/>
    </row>
    <row r="25" spans="2:12" x14ac:dyDescent="0.3">
      <c r="B25" s="342"/>
      <c r="C25" s="342"/>
      <c r="D25" s="342"/>
      <c r="E25" s="342"/>
      <c r="F25" s="342"/>
    </row>
    <row r="31" spans="2:12" x14ac:dyDescent="0.3">
      <c r="B31" s="24" t="s">
        <v>17</v>
      </c>
      <c r="C31" s="6"/>
      <c r="D31" s="6"/>
      <c r="E31" s="6"/>
      <c r="G31" s="24" t="s">
        <v>18</v>
      </c>
      <c r="H31" s="6"/>
      <c r="I31" s="6"/>
      <c r="J31" s="6"/>
      <c r="K31" s="6"/>
      <c r="L31" s="6"/>
    </row>
    <row r="33" spans="2:20" ht="16.2" x14ac:dyDescent="0.3">
      <c r="B33" t="s">
        <v>19</v>
      </c>
      <c r="E33" s="28">
        <f>'Kd Calculation'!C16</f>
        <v>6.6900000000000001E-2</v>
      </c>
      <c r="G33" t="s">
        <v>20</v>
      </c>
      <c r="L33" s="309">
        <v>4.19E-2</v>
      </c>
      <c r="M33" s="341" t="s">
        <v>255</v>
      </c>
      <c r="N33" s="341"/>
      <c r="O33" s="341"/>
      <c r="P33" s="341"/>
      <c r="Q33" s="341"/>
      <c r="R33" s="30"/>
      <c r="S33" s="30"/>
      <c r="T33" s="195" t="s">
        <v>256</v>
      </c>
    </row>
    <row r="34" spans="2:20" x14ac:dyDescent="0.3">
      <c r="B34" s="31" t="s">
        <v>21</v>
      </c>
      <c r="C34" s="31"/>
      <c r="D34" s="31"/>
      <c r="E34" s="32">
        <f>H21</f>
        <v>0.25</v>
      </c>
      <c r="G34" t="s">
        <v>22</v>
      </c>
      <c r="L34" s="309">
        <f>'Rm (S&amp;P-500 Returns)'!C18</f>
        <v>0.13464166666666669</v>
      </c>
      <c r="M34" s="341" t="s">
        <v>254</v>
      </c>
      <c r="N34" s="341"/>
      <c r="O34" s="341"/>
      <c r="P34" s="341"/>
      <c r="Q34" s="341"/>
      <c r="R34" s="341"/>
      <c r="S34" s="341"/>
    </row>
    <row r="35" spans="2:20" x14ac:dyDescent="0.3">
      <c r="B35" t="s">
        <v>23</v>
      </c>
      <c r="E35" s="33">
        <f>E33*(1-E34)</f>
        <v>5.0174999999999997E-2</v>
      </c>
      <c r="G35" t="s">
        <v>24</v>
      </c>
      <c r="L35" s="28">
        <f>L34-L33</f>
        <v>9.2741666666666694E-2</v>
      </c>
    </row>
    <row r="36" spans="2:20" ht="16.2" x14ac:dyDescent="0.3">
      <c r="G36" s="31" t="s">
        <v>25</v>
      </c>
      <c r="H36" s="31"/>
      <c r="I36" s="31"/>
      <c r="J36" s="31"/>
      <c r="K36" s="31"/>
      <c r="L36" s="34">
        <f>L46</f>
        <v>1.0107468264005814</v>
      </c>
    </row>
    <row r="37" spans="2:20" x14ac:dyDescent="0.3">
      <c r="G37" t="s">
        <v>18</v>
      </c>
      <c r="L37" s="35">
        <f>L33+(L35*L36)</f>
        <v>0.13563834525843396</v>
      </c>
    </row>
    <row r="40" spans="2:20" x14ac:dyDescent="0.3">
      <c r="B40" s="24" t="s">
        <v>257</v>
      </c>
      <c r="C40" s="6"/>
      <c r="D40" s="6"/>
      <c r="E40" s="6"/>
    </row>
    <row r="41" spans="2:20" x14ac:dyDescent="0.3">
      <c r="G41" s="24" t="s">
        <v>26</v>
      </c>
      <c r="H41" s="6"/>
      <c r="I41" s="6"/>
      <c r="J41" s="6"/>
      <c r="K41" s="6"/>
      <c r="L41" s="6"/>
    </row>
    <row r="42" spans="2:20" x14ac:dyDescent="0.3">
      <c r="D42" s="36" t="s">
        <v>27</v>
      </c>
      <c r="E42" s="36" t="s">
        <v>28</v>
      </c>
    </row>
    <row r="43" spans="2:20" x14ac:dyDescent="0.3">
      <c r="B43" t="s">
        <v>7</v>
      </c>
      <c r="C43" s="38">
        <f>F12*10^6</f>
        <v>5547000000</v>
      </c>
      <c r="D43" s="39">
        <f>C43/$C$45</f>
        <v>0.43153882060059123</v>
      </c>
      <c r="E43" s="28">
        <f>J20</f>
        <v>0.18856432922737976</v>
      </c>
      <c r="G43" t="s">
        <v>29</v>
      </c>
      <c r="L43" s="37">
        <f>L21</f>
        <v>0.86073186054366579</v>
      </c>
    </row>
    <row r="44" spans="2:20" x14ac:dyDescent="0.3">
      <c r="B44" s="31" t="s">
        <v>8</v>
      </c>
      <c r="C44" s="41">
        <f>G12*10^6</f>
        <v>7307000000</v>
      </c>
      <c r="D44" s="42">
        <f>C44/$C$45</f>
        <v>0.56846117939940877</v>
      </c>
      <c r="E44" s="297">
        <f>E45-E43</f>
        <v>0.81143567077262024</v>
      </c>
      <c r="G44" t="s">
        <v>30</v>
      </c>
      <c r="L44" s="40">
        <f>E47</f>
        <v>0.23238358383707175</v>
      </c>
    </row>
    <row r="45" spans="2:20" x14ac:dyDescent="0.3">
      <c r="B45" t="s">
        <v>31</v>
      </c>
      <c r="C45" s="44">
        <f>SUM(C43:C44)</f>
        <v>12854000000</v>
      </c>
      <c r="D45" s="39">
        <f>C45/$C$45</f>
        <v>1</v>
      </c>
      <c r="E45" s="45">
        <f>D45</f>
        <v>1</v>
      </c>
      <c r="G45" t="s">
        <v>21</v>
      </c>
      <c r="L45" s="43">
        <f>E34</f>
        <v>0.25</v>
      </c>
    </row>
    <row r="46" spans="2:20" x14ac:dyDescent="0.3">
      <c r="G46" s="46" t="s">
        <v>26</v>
      </c>
      <c r="H46" s="46"/>
      <c r="I46" s="46"/>
      <c r="J46" s="46"/>
      <c r="K46" s="46"/>
      <c r="L46" s="47">
        <f>L43*(1+(1-L45)*L44)</f>
        <v>1.0107468264005814</v>
      </c>
    </row>
    <row r="47" spans="2:20" x14ac:dyDescent="0.3">
      <c r="B47" t="s">
        <v>32</v>
      </c>
      <c r="D47" s="35">
        <f>D43/D44</f>
        <v>0.75913507595456409</v>
      </c>
      <c r="E47" s="35">
        <f>E43/E44</f>
        <v>0.23238358383707175</v>
      </c>
    </row>
    <row r="48" spans="2:20" x14ac:dyDescent="0.3">
      <c r="G48" s="24" t="s">
        <v>33</v>
      </c>
      <c r="H48" s="6"/>
      <c r="I48" s="6"/>
      <c r="J48" s="6"/>
      <c r="K48" s="6"/>
      <c r="L48" s="6"/>
    </row>
    <row r="50" spans="2:12" ht="16.2" x14ac:dyDescent="0.3">
      <c r="B50" s="196"/>
      <c r="G50" t="s">
        <v>18</v>
      </c>
      <c r="K50" s="48"/>
      <c r="L50" s="49">
        <f>L37</f>
        <v>0.13563834525843396</v>
      </c>
    </row>
    <row r="51" spans="2:12" x14ac:dyDescent="0.3">
      <c r="B51" s="187"/>
      <c r="C51" s="44"/>
      <c r="G51" t="s">
        <v>35</v>
      </c>
      <c r="K51" s="40"/>
      <c r="L51" s="40">
        <f>E44</f>
        <v>0.81143567077262024</v>
      </c>
    </row>
    <row r="52" spans="2:12" x14ac:dyDescent="0.3">
      <c r="K52" s="40"/>
      <c r="L52" s="40"/>
    </row>
    <row r="53" spans="2:12" x14ac:dyDescent="0.3">
      <c r="B53" s="276"/>
      <c r="C53" s="276"/>
      <c r="D53" s="276"/>
      <c r="E53" s="276"/>
      <c r="G53" t="s">
        <v>17</v>
      </c>
      <c r="L53" s="50">
        <f>E35</f>
        <v>5.0174999999999997E-2</v>
      </c>
    </row>
    <row r="54" spans="2:12" x14ac:dyDescent="0.3">
      <c r="B54" s="276"/>
      <c r="C54" s="276"/>
      <c r="D54" s="276"/>
      <c r="E54" s="276"/>
      <c r="G54" t="s">
        <v>36</v>
      </c>
      <c r="L54" s="40">
        <f>E43</f>
        <v>0.18856432922737976</v>
      </c>
    </row>
    <row r="55" spans="2:12" x14ac:dyDescent="0.3">
      <c r="B55" s="276"/>
      <c r="C55" s="276"/>
      <c r="D55" s="276"/>
      <c r="E55" s="276"/>
    </row>
    <row r="56" spans="2:12" x14ac:dyDescent="0.3">
      <c r="G56" s="51" t="s">
        <v>37</v>
      </c>
      <c r="H56" s="51"/>
      <c r="I56" s="51"/>
      <c r="J56" s="51"/>
      <c r="K56" s="51"/>
      <c r="L56" s="52">
        <f>(L50*L51)+(L53*L54)</f>
        <v>0.11952300688624939</v>
      </c>
    </row>
    <row r="61" spans="2:12" x14ac:dyDescent="0.3">
      <c r="B61" s="334" t="str">
        <f>"WACC Scenario Analysis"&amp;" - "&amp;WACC!$B$12</f>
        <v>WACC Scenario Analysis - Twitter Inc.</v>
      </c>
      <c r="C61" s="334"/>
      <c r="D61" s="334"/>
      <c r="E61" s="334"/>
    </row>
    <row r="63" spans="2:12" x14ac:dyDescent="0.3">
      <c r="B63" s="282" t="s">
        <v>374</v>
      </c>
      <c r="C63" s="286" t="s">
        <v>377</v>
      </c>
      <c r="D63" s="284"/>
      <c r="E63" s="284"/>
      <c r="F63" s="284"/>
      <c r="G63" s="284"/>
      <c r="H63" s="284"/>
      <c r="I63" s="284"/>
    </row>
    <row r="64" spans="2:12" x14ac:dyDescent="0.3">
      <c r="B64" s="284"/>
      <c r="C64" s="284"/>
      <c r="D64" s="284"/>
      <c r="E64" s="284"/>
      <c r="F64" s="284"/>
      <c r="G64" s="284"/>
      <c r="H64" s="284"/>
      <c r="I64" s="284"/>
    </row>
    <row r="65" spans="2:9" x14ac:dyDescent="0.3">
      <c r="B65" s="287"/>
      <c r="C65" s="288"/>
      <c r="D65" s="336" t="s">
        <v>36</v>
      </c>
      <c r="E65" s="336"/>
      <c r="F65" s="336"/>
      <c r="G65" s="336"/>
      <c r="H65" s="336"/>
      <c r="I65" s="337"/>
    </row>
    <row r="66" spans="2:9" x14ac:dyDescent="0.3">
      <c r="B66" s="289"/>
      <c r="C66" s="290">
        <f>L56</f>
        <v>0.11952300688624939</v>
      </c>
      <c r="D66" s="291">
        <v>0.1</v>
      </c>
      <c r="E66" s="291">
        <v>0.12</v>
      </c>
      <c r="F66" s="291">
        <v>0.15</v>
      </c>
      <c r="G66" s="308">
        <v>0.18856432922737976</v>
      </c>
      <c r="H66" s="291">
        <f t="shared" ref="H66" si="6">G66+2%</f>
        <v>0.20856432922737975</v>
      </c>
      <c r="I66" s="291">
        <v>0.24</v>
      </c>
    </row>
    <row r="67" spans="2:9" x14ac:dyDescent="0.3">
      <c r="B67" s="289"/>
      <c r="C67" s="285">
        <v>0.4</v>
      </c>
      <c r="D67" s="299">
        <f t="dataTable" ref="D67:I73" dt2D="1" dtr="1" r1="J20" r2="E44"/>
        <v>5.9694710967462247E-2</v>
      </c>
      <c r="E67" s="300">
        <v>6.1895596576961046E-2</v>
      </c>
      <c r="F67" s="300">
        <v>6.5196924991209257E-2</v>
      </c>
      <c r="G67" s="300">
        <v>6.944070885303498E-2</v>
      </c>
      <c r="H67" s="300">
        <v>7.1641594462533778E-2</v>
      </c>
      <c r="I67" s="301">
        <v>7.5100910233953891E-2</v>
      </c>
    </row>
    <row r="68" spans="2:9" x14ac:dyDescent="0.3">
      <c r="B68" s="289"/>
      <c r="C68" s="285">
        <v>0.5</v>
      </c>
      <c r="D68" s="302">
        <v>7.186728169745428E-2</v>
      </c>
      <c r="E68" s="302">
        <v>7.4068167306953092E-2</v>
      </c>
      <c r="F68" s="302">
        <v>7.7369495721201303E-2</v>
      </c>
      <c r="G68" s="302">
        <v>8.1613279583027026E-2</v>
      </c>
      <c r="H68" s="302">
        <v>8.3814165192525825E-2</v>
      </c>
      <c r="I68" s="303">
        <v>8.7273480963945937E-2</v>
      </c>
    </row>
    <row r="69" spans="2:9" x14ac:dyDescent="0.3">
      <c r="B69" s="289"/>
      <c r="C69" s="285">
        <v>0.6</v>
      </c>
      <c r="D69" s="302">
        <v>8.4039852427446327E-2</v>
      </c>
      <c r="E69" s="302">
        <v>8.6240738036945139E-2</v>
      </c>
      <c r="F69" s="302">
        <v>8.9542066451193364E-2</v>
      </c>
      <c r="G69" s="302">
        <v>9.3785850313019073E-2</v>
      </c>
      <c r="H69" s="302">
        <v>9.5986735922517885E-2</v>
      </c>
      <c r="I69" s="303">
        <v>9.9446051693937984E-2</v>
      </c>
    </row>
    <row r="70" spans="2:9" x14ac:dyDescent="0.3">
      <c r="B70" s="289"/>
      <c r="C70" s="285">
        <v>0.65</v>
      </c>
      <c r="D70" s="302">
        <v>9.0126137792442357E-2</v>
      </c>
      <c r="E70" s="302">
        <v>9.2327023401941155E-2</v>
      </c>
      <c r="F70" s="302">
        <v>9.562835181618938E-2</v>
      </c>
      <c r="G70" s="302">
        <v>9.9872135678015103E-2</v>
      </c>
      <c r="H70" s="302">
        <v>0.1020730212875139</v>
      </c>
      <c r="I70" s="303">
        <v>0.10553233705893401</v>
      </c>
    </row>
    <row r="71" spans="2:9" x14ac:dyDescent="0.3">
      <c r="C71" s="285">
        <v>0.7</v>
      </c>
      <c r="D71" s="302">
        <v>9.6212423157438387E-2</v>
      </c>
      <c r="E71" s="302">
        <v>9.8413308766937185E-2</v>
      </c>
      <c r="F71" s="302">
        <v>0.1017146371811854</v>
      </c>
      <c r="G71" s="302">
        <v>0.10595842104301112</v>
      </c>
      <c r="H71" s="302">
        <v>0.10815930665250992</v>
      </c>
      <c r="I71" s="303">
        <v>0.11161862242393002</v>
      </c>
    </row>
    <row r="72" spans="2:9" x14ac:dyDescent="0.3">
      <c r="B72" s="292" t="s">
        <v>35</v>
      </c>
      <c r="C72" s="306">
        <v>0.81143567077262024</v>
      </c>
      <c r="D72" s="302">
        <v>0.10977700900067666</v>
      </c>
      <c r="E72" s="302">
        <v>0.11197789461017547</v>
      </c>
      <c r="F72" s="302">
        <v>0.11527922302442366</v>
      </c>
      <c r="G72" s="307">
        <v>0.11952300688624939</v>
      </c>
      <c r="H72" s="302">
        <v>0.12172389249574819</v>
      </c>
      <c r="I72" s="303">
        <v>0.12518320826716831</v>
      </c>
    </row>
    <row r="73" spans="2:9" x14ac:dyDescent="0.3">
      <c r="B73" s="293"/>
      <c r="C73" s="294">
        <v>0.85</v>
      </c>
      <c r="D73" s="304">
        <v>0.11447127925242645</v>
      </c>
      <c r="E73" s="304">
        <v>0.11667216486192528</v>
      </c>
      <c r="F73" s="304">
        <v>0.11997349327617346</v>
      </c>
      <c r="G73" s="304">
        <v>0.1242172771379992</v>
      </c>
      <c r="H73" s="304">
        <v>0.12641816274749801</v>
      </c>
      <c r="I73" s="305">
        <v>0.12987747851891812</v>
      </c>
    </row>
    <row r="74" spans="2:9" x14ac:dyDescent="0.3">
      <c r="B74" s="283"/>
      <c r="C74" s="283"/>
      <c r="D74" s="283"/>
      <c r="E74" s="283"/>
      <c r="F74" s="283"/>
      <c r="G74" s="283"/>
      <c r="H74" s="283"/>
      <c r="I74" s="283"/>
    </row>
    <row r="75" spans="2:9" x14ac:dyDescent="0.3">
      <c r="B75" s="295" t="s">
        <v>51</v>
      </c>
      <c r="C75" s="283"/>
      <c r="D75" s="283"/>
      <c r="E75" s="283"/>
      <c r="F75" s="283"/>
      <c r="G75" s="283"/>
      <c r="H75" s="283"/>
      <c r="I75" s="283"/>
    </row>
    <row r="76" spans="2:9" x14ac:dyDescent="0.3">
      <c r="B76" s="296" t="s">
        <v>376</v>
      </c>
      <c r="C76" s="283"/>
      <c r="D76" s="283"/>
      <c r="E76" s="283"/>
      <c r="F76" s="283"/>
      <c r="G76" s="283"/>
      <c r="H76" s="283"/>
      <c r="I76" s="283"/>
    </row>
    <row r="79" spans="2:9" x14ac:dyDescent="0.3">
      <c r="B79" s="282" t="s">
        <v>374</v>
      </c>
      <c r="C79" s="286" t="s">
        <v>378</v>
      </c>
      <c r="D79" s="284"/>
      <c r="E79" s="284"/>
      <c r="F79" s="284"/>
      <c r="G79" s="284"/>
      <c r="H79" s="284"/>
      <c r="I79" s="284"/>
    </row>
    <row r="80" spans="2:9" x14ac:dyDescent="0.3">
      <c r="B80" s="284"/>
      <c r="C80" s="284"/>
      <c r="D80" s="284"/>
      <c r="E80" s="284"/>
      <c r="F80" s="284"/>
      <c r="G80" s="284"/>
      <c r="H80" s="284"/>
      <c r="I80" s="284"/>
    </row>
    <row r="81" spans="2:9" x14ac:dyDescent="0.3">
      <c r="B81" s="287"/>
      <c r="C81" s="327"/>
      <c r="D81" s="336" t="s">
        <v>379</v>
      </c>
      <c r="E81" s="336"/>
      <c r="F81" s="336"/>
      <c r="G81" s="336"/>
      <c r="H81" s="336"/>
      <c r="I81" s="337"/>
    </row>
    <row r="82" spans="2:9" x14ac:dyDescent="0.3">
      <c r="B82" s="289"/>
      <c r="C82" s="328">
        <f>L56</f>
        <v>0.11952300688624939</v>
      </c>
      <c r="D82" s="291">
        <v>7.0000000000000007E-2</v>
      </c>
      <c r="E82" s="291">
        <v>0.09</v>
      </c>
      <c r="F82" s="291">
        <v>0.11</v>
      </c>
      <c r="G82" s="308">
        <v>0.13464166666666669</v>
      </c>
      <c r="H82" s="291">
        <f t="shared" ref="H82" si="7">G82+2%</f>
        <v>0.15464166666666668</v>
      </c>
      <c r="I82" s="291">
        <v>0.17</v>
      </c>
    </row>
    <row r="83" spans="2:9" x14ac:dyDescent="0.3">
      <c r="B83" s="289"/>
      <c r="C83" s="310">
        <v>0.02</v>
      </c>
      <c r="D83" s="300">
        <f t="dataTable" ref="D83:I88" dt2D="1" dtr="1" r1="L34" r2="L33" ca="1"/>
        <v>6.3600560979959128E-2</v>
      </c>
      <c r="E83" s="300">
        <v>8.0003681561192169E-2</v>
      </c>
      <c r="F83" s="300">
        <v>9.6406802142425238E-2</v>
      </c>
      <c r="G83" s="300">
        <v>0.11661681362521949</v>
      </c>
      <c r="H83" s="300">
        <v>0.13301993420645256</v>
      </c>
      <c r="I83" s="301">
        <v>0.14561616388612444</v>
      </c>
    </row>
    <row r="84" spans="2:9" x14ac:dyDescent="0.3">
      <c r="B84" s="289"/>
      <c r="C84" s="310">
        <v>0.03</v>
      </c>
      <c r="D84" s="302">
        <v>6.4927589866274157E-2</v>
      </c>
      <c r="E84" s="302">
        <v>8.1330710447507198E-2</v>
      </c>
      <c r="F84" s="302">
        <v>9.7733831028740267E-2</v>
      </c>
      <c r="G84" s="302">
        <v>0.11794384251153452</v>
      </c>
      <c r="H84" s="302">
        <v>0.13434696309276756</v>
      </c>
      <c r="I84" s="303">
        <v>0.14694319277243945</v>
      </c>
    </row>
    <row r="85" spans="2:9" x14ac:dyDescent="0.3">
      <c r="B85" s="289"/>
      <c r="C85" s="310">
        <v>3.5000000000000003E-2</v>
      </c>
      <c r="D85" s="302">
        <v>6.5591104309431658E-2</v>
      </c>
      <c r="E85" s="302">
        <v>8.1994224890664713E-2</v>
      </c>
      <c r="F85" s="302">
        <v>9.8397345471897768E-2</v>
      </c>
      <c r="G85" s="302">
        <v>0.11860735695469202</v>
      </c>
      <c r="H85" s="302">
        <v>0.13501047753592507</v>
      </c>
      <c r="I85" s="303">
        <v>0.14760670721559696</v>
      </c>
    </row>
    <row r="86" spans="2:9" x14ac:dyDescent="0.3">
      <c r="B86" s="292" t="s">
        <v>375</v>
      </c>
      <c r="C86" s="312">
        <v>4.19E-2</v>
      </c>
      <c r="D86" s="302">
        <v>6.6506754240989022E-2</v>
      </c>
      <c r="E86" s="302">
        <v>8.2909874822222077E-2</v>
      </c>
      <c r="F86" s="302">
        <v>9.9312995403455132E-2</v>
      </c>
      <c r="G86" s="307">
        <v>0.11952300688624939</v>
      </c>
      <c r="H86" s="302">
        <v>0.13592612746748242</v>
      </c>
      <c r="I86" s="303">
        <v>0.14852235714715431</v>
      </c>
    </row>
    <row r="87" spans="2:9" x14ac:dyDescent="0.3">
      <c r="B87" s="330"/>
      <c r="C87" s="310">
        <v>0.06</v>
      </c>
      <c r="D87" s="302">
        <v>6.8908676525219204E-2</v>
      </c>
      <c r="E87" s="302">
        <v>8.5311797106452272E-2</v>
      </c>
      <c r="F87" s="302">
        <v>0.10171491768768533</v>
      </c>
      <c r="G87" s="302">
        <v>0.12192492917047959</v>
      </c>
      <c r="H87" s="302">
        <v>0.13832804975171262</v>
      </c>
      <c r="I87" s="303">
        <v>0.15092427943138451</v>
      </c>
    </row>
    <row r="88" spans="2:9" x14ac:dyDescent="0.3">
      <c r="B88" s="293"/>
      <c r="C88" s="311">
        <v>0.08</v>
      </c>
      <c r="D88" s="304">
        <v>7.1562734297849248E-2</v>
      </c>
      <c r="E88" s="304">
        <v>8.7965854879082303E-2</v>
      </c>
      <c r="F88" s="304">
        <v>0.10436897546031536</v>
      </c>
      <c r="G88" s="304">
        <v>0.12457898694310963</v>
      </c>
      <c r="H88" s="304">
        <v>0.14098210752434265</v>
      </c>
      <c r="I88" s="305">
        <v>0.15357833720401454</v>
      </c>
    </row>
    <row r="89" spans="2:9" x14ac:dyDescent="0.3">
      <c r="B89" s="283"/>
      <c r="C89" s="283"/>
      <c r="D89" s="283"/>
      <c r="E89" s="283"/>
      <c r="F89" s="283"/>
      <c r="G89" s="283"/>
      <c r="H89" s="283"/>
      <c r="I89" s="283"/>
    </row>
    <row r="90" spans="2:9" x14ac:dyDescent="0.3">
      <c r="B90" s="295" t="s">
        <v>51</v>
      </c>
      <c r="C90" s="283"/>
      <c r="D90" s="283"/>
      <c r="E90" s="283"/>
      <c r="F90" s="283"/>
      <c r="G90" s="283"/>
      <c r="H90" s="283"/>
      <c r="I90" s="283"/>
    </row>
    <row r="91" spans="2:9" x14ac:dyDescent="0.3">
      <c r="B91" s="296" t="s">
        <v>380</v>
      </c>
      <c r="C91" s="283"/>
      <c r="D91" s="283"/>
      <c r="E91" s="283"/>
      <c r="F91" s="283"/>
      <c r="G91" s="283"/>
      <c r="H91" s="283"/>
      <c r="I91" s="283"/>
    </row>
  </sheetData>
  <mergeCells count="9">
    <mergeCell ref="B2:D2"/>
    <mergeCell ref="B61:E61"/>
    <mergeCell ref="D65:I65"/>
    <mergeCell ref="D81:I81"/>
    <mergeCell ref="B4:E4"/>
    <mergeCell ref="F9:G9"/>
    <mergeCell ref="M33:Q33"/>
    <mergeCell ref="M34:S34"/>
    <mergeCell ref="B23:F25"/>
  </mergeCells>
  <hyperlinks>
    <hyperlink ref="T33" r:id="rId1" xr:uid="{D73376DA-154A-471D-8D0A-50158117E77C}"/>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2122D-70B3-4641-A328-F3DBD9D30E8D}">
  <dimension ref="B2:K31"/>
  <sheetViews>
    <sheetView showGridLines="0" workbookViewId="0">
      <selection activeCell="E12" sqref="E12"/>
    </sheetView>
  </sheetViews>
  <sheetFormatPr defaultRowHeight="14.4" x14ac:dyDescent="0.3"/>
  <cols>
    <col min="2" max="2" width="41" customWidth="1"/>
    <col min="3" max="3" width="19.109375" hidden="1" customWidth="1"/>
    <col min="4" max="4" width="17.21875" bestFit="1" customWidth="1"/>
    <col min="5" max="5" width="29.88671875" customWidth="1"/>
    <col min="6" max="6" width="14.6640625" customWidth="1"/>
    <col min="8" max="8" width="21" customWidth="1"/>
    <col min="9" max="9" width="14.6640625" bestFit="1" customWidth="1"/>
    <col min="10" max="10" width="25" customWidth="1"/>
  </cols>
  <sheetData>
    <row r="2" spans="2:11" x14ac:dyDescent="0.3">
      <c r="B2" s="334" t="str">
        <f>"Data Competitiors"&amp;" - "&amp;WACC!$B$12</f>
        <v>Data Competitiors - Twitter Inc.</v>
      </c>
      <c r="C2" s="334"/>
      <c r="D2" s="334"/>
      <c r="E2" s="54"/>
      <c r="F2" s="54"/>
      <c r="G2" s="54"/>
      <c r="H2" s="54"/>
      <c r="I2" s="54"/>
      <c r="J2" s="54"/>
      <c r="K2" s="54"/>
    </row>
    <row r="4" spans="2:11" x14ac:dyDescent="0.3">
      <c r="B4" s="55"/>
      <c r="C4" s="344" t="s">
        <v>235</v>
      </c>
      <c r="D4" s="344"/>
      <c r="E4" s="344"/>
      <c r="F4" s="55"/>
    </row>
    <row r="5" spans="2:11" x14ac:dyDescent="0.3">
      <c r="B5" s="57" t="s">
        <v>38</v>
      </c>
      <c r="C5" s="57" t="s">
        <v>39</v>
      </c>
      <c r="D5" s="58" t="s">
        <v>40</v>
      </c>
      <c r="E5" s="58" t="s">
        <v>41</v>
      </c>
      <c r="F5" s="58" t="s">
        <v>32</v>
      </c>
      <c r="H5" s="59"/>
      <c r="I5" s="59"/>
      <c r="J5" s="59"/>
    </row>
    <row r="6" spans="2:11" ht="16.2" x14ac:dyDescent="0.3">
      <c r="B6" s="9" t="s">
        <v>225</v>
      </c>
      <c r="C6" s="60" t="s">
        <v>42</v>
      </c>
      <c r="D6" s="61">
        <f>'Raw Data for Relative Valuation'!I5</f>
        <v>5547</v>
      </c>
      <c r="E6" s="61">
        <v>7307</v>
      </c>
      <c r="F6" s="39">
        <f>D6/E6</f>
        <v>0.75913507595456409</v>
      </c>
      <c r="G6" s="62" t="s">
        <v>43</v>
      </c>
      <c r="I6" s="3"/>
      <c r="J6" s="63"/>
    </row>
    <row r="7" spans="2:11" x14ac:dyDescent="0.3">
      <c r="C7" s="8"/>
      <c r="D7" s="61"/>
      <c r="E7" s="61"/>
      <c r="F7" s="39"/>
      <c r="I7" s="3"/>
      <c r="J7" s="63"/>
    </row>
    <row r="8" spans="2:11" x14ac:dyDescent="0.3">
      <c r="B8" t="s">
        <v>227</v>
      </c>
      <c r="C8" s="8"/>
      <c r="D8" s="61">
        <v>13873</v>
      </c>
      <c r="E8" s="61">
        <v>124879</v>
      </c>
      <c r="F8" s="39">
        <f>D8/E8</f>
        <v>0.111091536607436</v>
      </c>
      <c r="I8" s="3"/>
      <c r="J8" s="63"/>
    </row>
    <row r="9" spans="2:11" x14ac:dyDescent="0.3">
      <c r="B9" t="s">
        <v>228</v>
      </c>
      <c r="C9" s="8"/>
      <c r="D9" s="61">
        <v>28508</v>
      </c>
      <c r="E9" s="61">
        <v>251635</v>
      </c>
      <c r="F9" s="39">
        <f>D9/E9</f>
        <v>0.11329107636060166</v>
      </c>
      <c r="I9" s="3"/>
      <c r="J9" s="63"/>
    </row>
    <row r="10" spans="2:11" x14ac:dyDescent="0.3">
      <c r="B10" t="s">
        <v>229</v>
      </c>
      <c r="C10" s="8"/>
      <c r="D10" s="61">
        <v>1994</v>
      </c>
      <c r="E10" s="61">
        <v>3790</v>
      </c>
      <c r="F10" s="39">
        <f>D10/E10</f>
        <v>0.52612137203166232</v>
      </c>
      <c r="I10" s="3"/>
      <c r="J10" s="63"/>
    </row>
    <row r="11" spans="2:11" x14ac:dyDescent="0.3">
      <c r="B11" t="s">
        <v>230</v>
      </c>
      <c r="C11" s="8"/>
      <c r="D11" s="61">
        <v>250.87</v>
      </c>
      <c r="E11" s="61">
        <v>3039</v>
      </c>
      <c r="F11" s="39">
        <f>D11/E11</f>
        <v>8.2550180980585725E-2</v>
      </c>
      <c r="I11" s="3"/>
      <c r="J11" s="63"/>
    </row>
    <row r="12" spans="2:11" ht="16.2" customHeight="1" x14ac:dyDescent="0.3">
      <c r="B12" t="s">
        <v>233</v>
      </c>
      <c r="C12" s="8"/>
      <c r="D12" s="61">
        <v>78400</v>
      </c>
      <c r="E12" s="61">
        <v>166542</v>
      </c>
      <c r="F12" s="39">
        <f>D12/E12</f>
        <v>0.47075212258769561</v>
      </c>
      <c r="I12" s="3"/>
      <c r="J12" s="63"/>
    </row>
    <row r="13" spans="2:11" x14ac:dyDescent="0.3">
      <c r="C13" s="8"/>
      <c r="D13" s="3"/>
      <c r="E13" s="3"/>
      <c r="F13" s="39"/>
      <c r="I13" s="3"/>
      <c r="J13" s="63"/>
    </row>
    <row r="14" spans="2:11" x14ac:dyDescent="0.3">
      <c r="C14" s="8"/>
      <c r="D14" s="3"/>
      <c r="E14" s="3"/>
      <c r="F14" s="39"/>
      <c r="H14" s="63"/>
      <c r="I14" s="3"/>
      <c r="J14" s="63"/>
    </row>
    <row r="15" spans="2:11" x14ac:dyDescent="0.3">
      <c r="C15" s="8"/>
      <c r="D15" s="3"/>
      <c r="E15" s="3"/>
      <c r="F15" s="39"/>
      <c r="I15" s="3"/>
      <c r="J15" s="63"/>
    </row>
    <row r="16" spans="2:11" x14ac:dyDescent="0.3">
      <c r="I16" s="64"/>
    </row>
    <row r="17" spans="2:6" x14ac:dyDescent="0.3">
      <c r="B17" s="65" t="s">
        <v>43</v>
      </c>
    </row>
    <row r="18" spans="2:6" ht="14.4" customHeight="1" x14ac:dyDescent="0.3">
      <c r="B18" s="345" t="s">
        <v>234</v>
      </c>
      <c r="C18" s="345"/>
      <c r="D18" s="345"/>
      <c r="E18" s="345"/>
      <c r="F18" s="345"/>
    </row>
    <row r="19" spans="2:6" x14ac:dyDescent="0.3">
      <c r="B19" s="345"/>
      <c r="C19" s="345"/>
      <c r="D19" s="345"/>
      <c r="E19" s="345"/>
      <c r="F19" s="345"/>
    </row>
    <row r="20" spans="2:6" x14ac:dyDescent="0.3">
      <c r="B20" s="345"/>
      <c r="C20" s="345"/>
      <c r="D20" s="345"/>
      <c r="E20" s="345"/>
      <c r="F20" s="345"/>
    </row>
    <row r="21" spans="2:6" x14ac:dyDescent="0.3">
      <c r="B21" s="345"/>
      <c r="C21" s="345"/>
      <c r="D21" s="345"/>
      <c r="E21" s="345"/>
      <c r="F21" s="345"/>
    </row>
    <row r="22" spans="2:6" hidden="1" x14ac:dyDescent="0.3">
      <c r="B22" s="65" t="s">
        <v>44</v>
      </c>
    </row>
    <row r="23" spans="2:6" hidden="1" x14ac:dyDescent="0.3">
      <c r="B23" s="345" t="s">
        <v>45</v>
      </c>
      <c r="C23" s="345"/>
      <c r="D23" s="345"/>
      <c r="E23" s="345"/>
    </row>
    <row r="24" spans="2:6" hidden="1" x14ac:dyDescent="0.3">
      <c r="B24" s="345"/>
      <c r="C24" s="345"/>
      <c r="D24" s="345"/>
      <c r="E24" s="345"/>
    </row>
    <row r="25" spans="2:6" hidden="1" x14ac:dyDescent="0.3">
      <c r="B25" s="345"/>
      <c r="C25" s="345"/>
      <c r="D25" s="345"/>
      <c r="E25" s="345"/>
    </row>
    <row r="26" spans="2:6" hidden="1" x14ac:dyDescent="0.3"/>
    <row r="27" spans="2:6" hidden="1" x14ac:dyDescent="0.3"/>
    <row r="28" spans="2:6" hidden="1" x14ac:dyDescent="0.3">
      <c r="B28" s="65" t="s">
        <v>46</v>
      </c>
    </row>
    <row r="29" spans="2:6" hidden="1" x14ac:dyDescent="0.3">
      <c r="B29" s="345" t="s">
        <v>47</v>
      </c>
      <c r="C29" s="345"/>
      <c r="D29" s="345"/>
      <c r="E29" s="345"/>
    </row>
    <row r="30" spans="2:6" hidden="1" x14ac:dyDescent="0.3">
      <c r="B30" s="345"/>
      <c r="C30" s="345"/>
      <c r="D30" s="345"/>
      <c r="E30" s="345"/>
    </row>
    <row r="31" spans="2:6" hidden="1" x14ac:dyDescent="0.3">
      <c r="B31" s="345"/>
      <c r="C31" s="345"/>
      <c r="D31" s="345"/>
      <c r="E31" s="345"/>
    </row>
  </sheetData>
  <mergeCells count="5">
    <mergeCell ref="B2:D2"/>
    <mergeCell ref="C4:E4"/>
    <mergeCell ref="B18:F21"/>
    <mergeCell ref="B23:E25"/>
    <mergeCell ref="B29:E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78666-49CA-4B06-8B66-7C6D13BFD223}">
  <dimension ref="B2:K34"/>
  <sheetViews>
    <sheetView showGridLines="0" topLeftCell="A5" workbookViewId="0">
      <selection activeCell="H30" sqref="H30"/>
    </sheetView>
  </sheetViews>
  <sheetFormatPr defaultRowHeight="14.4" x14ac:dyDescent="0.3"/>
  <cols>
    <col min="2" max="2" width="23.6640625" customWidth="1"/>
    <col min="3" max="3" width="14.6640625" customWidth="1"/>
    <col min="4" max="9" width="16.77734375" customWidth="1"/>
  </cols>
  <sheetData>
    <row r="2" spans="2:11" x14ac:dyDescent="0.3">
      <c r="B2" s="334" t="str">
        <f>"WACC Scenario Analysis"&amp;" - "&amp;WACC!$B$12</f>
        <v>WACC Scenario Analysis - Twitter Inc.</v>
      </c>
      <c r="C2" s="334"/>
      <c r="D2" s="334"/>
      <c r="E2" s="334"/>
    </row>
    <row r="4" spans="2:11" x14ac:dyDescent="0.3">
      <c r="B4" s="283"/>
      <c r="C4" s="283"/>
      <c r="D4" s="283"/>
      <c r="E4" s="283"/>
      <c r="F4" s="283"/>
      <c r="G4" s="283"/>
      <c r="H4" s="283"/>
      <c r="I4" s="283"/>
      <c r="J4" s="283"/>
      <c r="K4" s="283"/>
    </row>
    <row r="5" spans="2:11" x14ac:dyDescent="0.3">
      <c r="B5" s="282" t="str">
        <f>WACC!B63</f>
        <v>Scenario Analysis</v>
      </c>
      <c r="C5" s="286" t="str">
        <f>WACC!C63</f>
        <v>What will be the WACC Figure if the Debt Weight and the Equity Weight both keep fluctuating.</v>
      </c>
      <c r="D5" s="284"/>
      <c r="E5" s="284"/>
      <c r="F5" s="284"/>
      <c r="G5" s="284"/>
      <c r="H5" s="284"/>
      <c r="I5" s="284"/>
      <c r="J5" s="283"/>
      <c r="K5" s="283"/>
    </row>
    <row r="6" spans="2:11" x14ac:dyDescent="0.3">
      <c r="B6" s="284"/>
      <c r="C6" s="284"/>
      <c r="D6" s="284"/>
      <c r="E6" s="284"/>
      <c r="F6" s="284"/>
      <c r="G6" s="284"/>
      <c r="H6" s="284"/>
      <c r="I6" s="284"/>
      <c r="J6" s="283"/>
      <c r="K6" s="283"/>
    </row>
    <row r="7" spans="2:11" x14ac:dyDescent="0.3">
      <c r="B7" s="287"/>
      <c r="C7" s="288"/>
      <c r="D7" s="336" t="str">
        <f>WACC!D65</f>
        <v>Debt Weight</v>
      </c>
      <c r="E7" s="336"/>
      <c r="F7" s="336"/>
      <c r="G7" s="336"/>
      <c r="H7" s="336"/>
      <c r="I7" s="337"/>
      <c r="J7" s="283"/>
      <c r="K7" s="283"/>
    </row>
    <row r="8" spans="2:11" x14ac:dyDescent="0.3">
      <c r="B8" s="289"/>
      <c r="C8" s="290">
        <f>WACC!C66</f>
        <v>0.11952300688624939</v>
      </c>
      <c r="D8" s="317">
        <f>WACC!D66</f>
        <v>0.1</v>
      </c>
      <c r="E8" s="318">
        <f>WACC!E66</f>
        <v>0.12</v>
      </c>
      <c r="F8" s="318">
        <f>WACC!F66</f>
        <v>0.15</v>
      </c>
      <c r="G8" s="318">
        <f>WACC!G66</f>
        <v>0.18856432922737976</v>
      </c>
      <c r="H8" s="318">
        <f>WACC!H66</f>
        <v>0.20856432922737975</v>
      </c>
      <c r="I8" s="319">
        <f>WACC!I66</f>
        <v>0.24</v>
      </c>
      <c r="J8" s="283"/>
      <c r="K8" s="283"/>
    </row>
    <row r="9" spans="2:11" x14ac:dyDescent="0.3">
      <c r="B9" s="289"/>
      <c r="C9" s="314">
        <f>WACC!C67</f>
        <v>0.4</v>
      </c>
      <c r="D9" s="320">
        <f>WACC!D67</f>
        <v>5.9694710967462247E-2</v>
      </c>
      <c r="E9" s="321">
        <f>WACC!E67</f>
        <v>6.1895596576961046E-2</v>
      </c>
      <c r="F9" s="321">
        <f>WACC!F67</f>
        <v>6.5196924991209257E-2</v>
      </c>
      <c r="G9" s="321">
        <f>WACC!G67</f>
        <v>6.944070885303498E-2</v>
      </c>
      <c r="H9" s="321">
        <f>WACC!H67</f>
        <v>7.1641594462533778E-2</v>
      </c>
      <c r="I9" s="322">
        <f>WACC!I67</f>
        <v>7.5100910233953891E-2</v>
      </c>
      <c r="J9" s="283"/>
      <c r="K9" s="283"/>
    </row>
    <row r="10" spans="2:11" x14ac:dyDescent="0.3">
      <c r="B10" s="289"/>
      <c r="C10" s="314">
        <f>WACC!C68</f>
        <v>0.5</v>
      </c>
      <c r="D10" s="320">
        <f>WACC!D68</f>
        <v>7.186728169745428E-2</v>
      </c>
      <c r="E10" s="321">
        <f>WACC!E68</f>
        <v>7.4068167306953092E-2</v>
      </c>
      <c r="F10" s="321">
        <f>WACC!F68</f>
        <v>7.7369495721201303E-2</v>
      </c>
      <c r="G10" s="321">
        <f>WACC!G68</f>
        <v>8.1613279583027026E-2</v>
      </c>
      <c r="H10" s="321">
        <f>WACC!H68</f>
        <v>8.3814165192525825E-2</v>
      </c>
      <c r="I10" s="322">
        <f>WACC!I68</f>
        <v>8.7273480963945937E-2</v>
      </c>
      <c r="J10" s="283"/>
      <c r="K10" s="283"/>
    </row>
    <row r="11" spans="2:11" x14ac:dyDescent="0.3">
      <c r="B11" s="289"/>
      <c r="C11" s="314">
        <f>WACC!C69</f>
        <v>0.6</v>
      </c>
      <c r="D11" s="320">
        <f>WACC!D69</f>
        <v>8.4039852427446327E-2</v>
      </c>
      <c r="E11" s="321">
        <f>WACC!E69</f>
        <v>8.6240738036945139E-2</v>
      </c>
      <c r="F11" s="321">
        <f>WACC!F69</f>
        <v>8.9542066451193364E-2</v>
      </c>
      <c r="G11" s="321">
        <f>WACC!G69</f>
        <v>9.3785850313019073E-2</v>
      </c>
      <c r="H11" s="321">
        <f>WACC!H69</f>
        <v>9.5986735922517885E-2</v>
      </c>
      <c r="I11" s="322">
        <f>WACC!I69</f>
        <v>9.9446051693937984E-2</v>
      </c>
      <c r="J11" s="283"/>
      <c r="K11" s="283"/>
    </row>
    <row r="12" spans="2:11" x14ac:dyDescent="0.3">
      <c r="B12" s="289"/>
      <c r="C12" s="314">
        <f>WACC!C70</f>
        <v>0.65</v>
      </c>
      <c r="D12" s="320">
        <f>WACC!D70</f>
        <v>9.0126137792442357E-2</v>
      </c>
      <c r="E12" s="321">
        <f>WACC!E70</f>
        <v>9.2327023401941155E-2</v>
      </c>
      <c r="F12" s="321">
        <f>WACC!F70</f>
        <v>9.562835181618938E-2</v>
      </c>
      <c r="G12" s="321">
        <f>WACC!G70</f>
        <v>9.9872135678015103E-2</v>
      </c>
      <c r="H12" s="321">
        <f>WACC!H70</f>
        <v>0.1020730212875139</v>
      </c>
      <c r="I12" s="322">
        <f>WACC!I70</f>
        <v>0.10553233705893401</v>
      </c>
      <c r="J12" s="283"/>
      <c r="K12" s="283"/>
    </row>
    <row r="13" spans="2:11" x14ac:dyDescent="0.3">
      <c r="B13" s="292" t="str">
        <f>WACC!B72</f>
        <v>Equity Weight</v>
      </c>
      <c r="C13" s="314">
        <f>WACC!C71</f>
        <v>0.7</v>
      </c>
      <c r="D13" s="320">
        <f>WACC!D71</f>
        <v>9.6212423157438387E-2</v>
      </c>
      <c r="E13" s="321">
        <f>WACC!E71</f>
        <v>9.8413308766937185E-2</v>
      </c>
      <c r="F13" s="321">
        <f>WACC!F71</f>
        <v>0.1017146371811854</v>
      </c>
      <c r="G13" s="321">
        <f>WACC!G71</f>
        <v>0.10595842104301112</v>
      </c>
      <c r="H13" s="321">
        <f>WACC!H71</f>
        <v>0.10815930665250992</v>
      </c>
      <c r="I13" s="322">
        <f>WACC!I71</f>
        <v>0.11161862242393002</v>
      </c>
      <c r="J13" s="283"/>
      <c r="K13" s="283"/>
    </row>
    <row r="14" spans="2:11" x14ac:dyDescent="0.3">
      <c r="B14" s="289"/>
      <c r="C14" s="316">
        <f>WACC!C72</f>
        <v>0.81143567077262024</v>
      </c>
      <c r="D14" s="320">
        <f>WACC!D72</f>
        <v>0.10977700900067666</v>
      </c>
      <c r="E14" s="321">
        <f>WACC!E72</f>
        <v>0.11197789461017547</v>
      </c>
      <c r="F14" s="321">
        <f>WACC!F72</f>
        <v>0.11527922302442366</v>
      </c>
      <c r="G14" s="323">
        <f>WACC!G72</f>
        <v>0.11952300688624939</v>
      </c>
      <c r="H14" s="321">
        <f>WACC!H72</f>
        <v>0.12172389249574819</v>
      </c>
      <c r="I14" s="322">
        <f>WACC!I72</f>
        <v>0.12518320826716831</v>
      </c>
      <c r="J14" s="283"/>
      <c r="K14" s="283"/>
    </row>
    <row r="15" spans="2:11" x14ac:dyDescent="0.3">
      <c r="B15" s="293"/>
      <c r="C15" s="315">
        <f>WACC!C73</f>
        <v>0.85</v>
      </c>
      <c r="D15" s="324">
        <f>WACC!D73</f>
        <v>0.11447127925242645</v>
      </c>
      <c r="E15" s="313">
        <f>WACC!E73</f>
        <v>0.11667216486192528</v>
      </c>
      <c r="F15" s="313">
        <f>WACC!F73</f>
        <v>0.11997349327617346</v>
      </c>
      <c r="G15" s="313">
        <f>WACC!G73</f>
        <v>0.1242172771379992</v>
      </c>
      <c r="H15" s="313">
        <f>WACC!H73</f>
        <v>0.12641816274749801</v>
      </c>
      <c r="I15" s="325">
        <f>WACC!I73</f>
        <v>0.12987747851891812</v>
      </c>
      <c r="J15" s="283"/>
      <c r="K15" s="283"/>
    </row>
    <row r="16" spans="2:11" x14ac:dyDescent="0.3">
      <c r="B16" s="283"/>
      <c r="C16" s="283"/>
      <c r="D16" s="283"/>
      <c r="E16" s="283"/>
      <c r="F16" s="283"/>
      <c r="G16" s="283"/>
      <c r="H16" s="283"/>
      <c r="I16" s="283"/>
      <c r="J16" s="283"/>
      <c r="K16" s="283"/>
    </row>
    <row r="17" spans="2:11" x14ac:dyDescent="0.3">
      <c r="B17" s="295" t="s">
        <v>51</v>
      </c>
      <c r="C17" s="283"/>
      <c r="D17" s="283"/>
      <c r="E17" s="283"/>
      <c r="F17" s="283"/>
      <c r="G17" s="283"/>
      <c r="H17" s="283"/>
      <c r="I17" s="283"/>
      <c r="J17" s="283"/>
      <c r="K17" s="283"/>
    </row>
    <row r="18" spans="2:11" x14ac:dyDescent="0.3">
      <c r="B18" s="296" t="str">
        <f>WACC!B76</f>
        <v>These values represent the WACC figure for various levels of Debt and Equity Weights</v>
      </c>
      <c r="C18" s="283"/>
      <c r="D18" s="283"/>
      <c r="E18" s="283"/>
      <c r="F18" s="283"/>
      <c r="G18" s="283"/>
      <c r="H18" s="283"/>
      <c r="I18" s="283"/>
      <c r="J18" s="283"/>
      <c r="K18" s="283"/>
    </row>
    <row r="21" spans="2:11" x14ac:dyDescent="0.3">
      <c r="B21" s="282" t="str">
        <f>WACC!B79</f>
        <v>Scenario Analysis</v>
      </c>
      <c r="C21" s="286" t="str">
        <f>WACC!C79</f>
        <v>What will be the WACC Figure if the Risk-free Rate and the Return from the Market both keep fluctuating.</v>
      </c>
      <c r="D21" s="284"/>
      <c r="E21" s="284"/>
      <c r="F21" s="284"/>
      <c r="G21" s="284"/>
      <c r="H21" s="284"/>
      <c r="I21" s="284"/>
    </row>
    <row r="22" spans="2:11" x14ac:dyDescent="0.3">
      <c r="B22" s="284"/>
      <c r="C22" s="284"/>
      <c r="D22" s="284"/>
      <c r="E22" s="284"/>
      <c r="F22" s="284"/>
      <c r="G22" s="284"/>
      <c r="H22" s="284"/>
      <c r="I22" s="284"/>
    </row>
    <row r="23" spans="2:11" x14ac:dyDescent="0.3">
      <c r="B23" s="287"/>
      <c r="C23" s="327"/>
      <c r="D23" s="336" t="str">
        <f>WACC!D81</f>
        <v>Return from the Market</v>
      </c>
      <c r="E23" s="336"/>
      <c r="F23" s="336"/>
      <c r="G23" s="336"/>
      <c r="H23" s="336"/>
      <c r="I23" s="337"/>
    </row>
    <row r="24" spans="2:11" x14ac:dyDescent="0.3">
      <c r="B24" s="289"/>
      <c r="C24" s="328">
        <f>WACC!C82</f>
        <v>0.11952300688624939</v>
      </c>
      <c r="D24" s="318">
        <f>WACC!D82</f>
        <v>7.0000000000000007E-2</v>
      </c>
      <c r="E24" s="318">
        <f>WACC!E82</f>
        <v>0.09</v>
      </c>
      <c r="F24" s="318">
        <f>WACC!F82</f>
        <v>0.11</v>
      </c>
      <c r="G24" s="318">
        <f>WACC!G82</f>
        <v>0.13464166666666669</v>
      </c>
      <c r="H24" s="318">
        <f>WACC!H82</f>
        <v>0.15464166666666668</v>
      </c>
      <c r="I24" s="319">
        <f>WACC!I82</f>
        <v>0.17</v>
      </c>
    </row>
    <row r="25" spans="2:11" x14ac:dyDescent="0.3">
      <c r="B25" s="289"/>
      <c r="C25" s="322">
        <f>WACC!C83</f>
        <v>0.02</v>
      </c>
      <c r="D25" s="321">
        <f>WACC!D83</f>
        <v>6.3600560979959128E-2</v>
      </c>
      <c r="E25" s="321">
        <f>WACC!E83</f>
        <v>8.0003681561192169E-2</v>
      </c>
      <c r="F25" s="321">
        <f>WACC!F83</f>
        <v>9.6406802142425238E-2</v>
      </c>
      <c r="G25" s="321">
        <f>WACC!G83</f>
        <v>0.11661681362521949</v>
      </c>
      <c r="H25" s="321">
        <f>WACC!H83</f>
        <v>0.13301993420645256</v>
      </c>
      <c r="I25" s="322">
        <f>WACC!I83</f>
        <v>0.14561616388612444</v>
      </c>
    </row>
    <row r="26" spans="2:11" x14ac:dyDescent="0.3">
      <c r="B26" s="289"/>
      <c r="C26" s="322">
        <f>WACC!C84</f>
        <v>0.03</v>
      </c>
      <c r="D26" s="321">
        <f>WACC!D84</f>
        <v>6.4927589866274157E-2</v>
      </c>
      <c r="E26" s="321">
        <f>WACC!E84</f>
        <v>8.1330710447507198E-2</v>
      </c>
      <c r="F26" s="321">
        <f>WACC!F84</f>
        <v>9.7733831028740267E-2</v>
      </c>
      <c r="G26" s="321">
        <f>WACC!G84</f>
        <v>0.11794384251153452</v>
      </c>
      <c r="H26" s="321">
        <f>WACC!H84</f>
        <v>0.13434696309276756</v>
      </c>
      <c r="I26" s="322">
        <f>WACC!I84</f>
        <v>0.14694319277243945</v>
      </c>
    </row>
    <row r="27" spans="2:11" x14ac:dyDescent="0.3">
      <c r="B27" s="289"/>
      <c r="C27" s="322">
        <f>WACC!C85</f>
        <v>3.5000000000000003E-2</v>
      </c>
      <c r="D27" s="321">
        <f>WACC!D85</f>
        <v>6.5591104309431658E-2</v>
      </c>
      <c r="E27" s="321">
        <f>WACC!E85</f>
        <v>8.1994224890664713E-2</v>
      </c>
      <c r="F27" s="321">
        <f>WACC!F85</f>
        <v>9.8397345471897768E-2</v>
      </c>
      <c r="G27" s="321">
        <f>WACC!G85</f>
        <v>0.11860735695469202</v>
      </c>
      <c r="H27" s="321">
        <f>WACC!H85</f>
        <v>0.13501047753592507</v>
      </c>
      <c r="I27" s="322">
        <f>WACC!I85</f>
        <v>0.14760670721559696</v>
      </c>
    </row>
    <row r="28" spans="2:11" x14ac:dyDescent="0.3">
      <c r="B28" s="292" t="str">
        <f>WACC!B86</f>
        <v>Risk-Free Rate</v>
      </c>
      <c r="C28" s="329">
        <f>WACC!C86</f>
        <v>4.19E-2</v>
      </c>
      <c r="D28" s="321">
        <f>WACC!D86</f>
        <v>6.6506754240989022E-2</v>
      </c>
      <c r="E28" s="321">
        <f>WACC!E86</f>
        <v>8.2909874822222077E-2</v>
      </c>
      <c r="F28" s="321">
        <f>WACC!F86</f>
        <v>9.9312995403455132E-2</v>
      </c>
      <c r="G28" s="323">
        <f>WACC!G86</f>
        <v>0.11952300688624939</v>
      </c>
      <c r="H28" s="321">
        <f>WACC!H86</f>
        <v>0.13592612746748242</v>
      </c>
      <c r="I28" s="322">
        <f>WACC!I86</f>
        <v>0.14852235714715431</v>
      </c>
    </row>
    <row r="29" spans="2:11" x14ac:dyDescent="0.3">
      <c r="B29" s="330"/>
      <c r="C29" s="322">
        <f>WACC!C87</f>
        <v>0.06</v>
      </c>
      <c r="D29" s="321">
        <f>WACC!D87</f>
        <v>6.8908676525219204E-2</v>
      </c>
      <c r="E29" s="321">
        <f>WACC!E87</f>
        <v>8.5311797106452272E-2</v>
      </c>
      <c r="F29" s="321">
        <f>WACC!F87</f>
        <v>0.10171491768768533</v>
      </c>
      <c r="G29" s="321">
        <f>WACC!G87</f>
        <v>0.12192492917047959</v>
      </c>
      <c r="H29" s="321">
        <f>WACC!H87</f>
        <v>0.13832804975171262</v>
      </c>
      <c r="I29" s="322">
        <f>WACC!I87</f>
        <v>0.15092427943138451</v>
      </c>
    </row>
    <row r="30" spans="2:11" x14ac:dyDescent="0.3">
      <c r="B30" s="289"/>
      <c r="C30" s="331">
        <f>WACC!C88</f>
        <v>0.08</v>
      </c>
      <c r="D30" s="321">
        <f>WACC!D88</f>
        <v>7.1562734297849248E-2</v>
      </c>
      <c r="E30" s="321">
        <f>WACC!E88</f>
        <v>8.7965854879082303E-2</v>
      </c>
      <c r="F30" s="321">
        <f>WACC!F88</f>
        <v>0.10436897546031536</v>
      </c>
      <c r="G30" s="326">
        <f>WACC!G88</f>
        <v>0.12457898694310963</v>
      </c>
      <c r="H30" s="321">
        <f>WACC!H88</f>
        <v>0.14098210752434265</v>
      </c>
      <c r="I30" s="322">
        <f>WACC!I88</f>
        <v>0.15357833720401454</v>
      </c>
    </row>
    <row r="31" spans="2:11" x14ac:dyDescent="0.3">
      <c r="B31" s="293"/>
      <c r="C31" s="325">
        <f>WACC!C89</f>
        <v>0</v>
      </c>
      <c r="D31" s="313">
        <f>WACC!D89</f>
        <v>0</v>
      </c>
      <c r="E31" s="313">
        <f>WACC!E89</f>
        <v>0</v>
      </c>
      <c r="F31" s="313">
        <f>WACC!F89</f>
        <v>0</v>
      </c>
      <c r="G31" s="313">
        <f>WACC!G89</f>
        <v>0</v>
      </c>
      <c r="H31" s="313">
        <f>WACC!H89</f>
        <v>0</v>
      </c>
      <c r="I31" s="325">
        <f>WACC!I89</f>
        <v>0</v>
      </c>
    </row>
    <row r="32" spans="2:11" x14ac:dyDescent="0.3">
      <c r="B32" s="283"/>
      <c r="C32" s="283"/>
      <c r="D32" s="283"/>
      <c r="E32" s="283"/>
      <c r="F32" s="283"/>
      <c r="G32" s="283"/>
      <c r="H32" s="283"/>
      <c r="I32" s="283"/>
    </row>
    <row r="33" spans="2:9" x14ac:dyDescent="0.3">
      <c r="B33" s="295" t="s">
        <v>51</v>
      </c>
      <c r="C33" s="283"/>
      <c r="D33" s="283"/>
      <c r="E33" s="283"/>
      <c r="F33" s="283"/>
      <c r="G33" s="283"/>
      <c r="H33" s="283"/>
      <c r="I33" s="283"/>
    </row>
    <row r="34" spans="2:9" x14ac:dyDescent="0.3">
      <c r="B34" s="296" t="str">
        <f>WACC!B91</f>
        <v>These values represent the WACC figure for various levels of Rf and Rm</v>
      </c>
      <c r="C34" s="283"/>
      <c r="D34" s="283"/>
      <c r="E34" s="283"/>
      <c r="F34" s="283"/>
      <c r="G34" s="283"/>
      <c r="H34" s="283"/>
      <c r="I34" s="283"/>
    </row>
  </sheetData>
  <mergeCells count="3">
    <mergeCell ref="B2:E2"/>
    <mergeCell ref="D7:I7"/>
    <mergeCell ref="D23:I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8B1B1-82AF-4B02-B44F-F2DF863C71BB}">
  <dimension ref="B2:I23"/>
  <sheetViews>
    <sheetView showGridLines="0" workbookViewId="0">
      <selection activeCell="B25" sqref="B25"/>
    </sheetView>
  </sheetViews>
  <sheetFormatPr defaultRowHeight="14.4" x14ac:dyDescent="0.3"/>
  <cols>
    <col min="2" max="2" width="40.77734375" bestFit="1" customWidth="1"/>
    <col min="3" max="3" width="11" bestFit="1" customWidth="1"/>
  </cols>
  <sheetData>
    <row r="2" spans="2:6" x14ac:dyDescent="0.3">
      <c r="B2" s="334" t="str">
        <f>"Calculation of the Cost of Debt (Kd)"&amp;" - "&amp;WACC!$B$12</f>
        <v>Calculation of the Cost of Debt (Kd) - Twitter Inc.</v>
      </c>
      <c r="C2" s="334"/>
      <c r="D2" s="334"/>
      <c r="E2" s="334"/>
      <c r="F2" s="334"/>
    </row>
    <row r="4" spans="2:6" x14ac:dyDescent="0.3">
      <c r="B4" s="76" t="s">
        <v>259</v>
      </c>
    </row>
    <row r="6" spans="2:6" x14ac:dyDescent="0.3">
      <c r="B6" s="187" t="s">
        <v>258</v>
      </c>
      <c r="C6" s="44">
        <f>51.19*10^6</f>
        <v>51190000</v>
      </c>
    </row>
    <row r="8" spans="2:6" x14ac:dyDescent="0.3">
      <c r="B8" t="s">
        <v>260</v>
      </c>
      <c r="C8" s="39">
        <f>C6/WACC!C43</f>
        <v>9.2284117541013167E-3</v>
      </c>
      <c r="D8" s="99" t="s">
        <v>261</v>
      </c>
    </row>
    <row r="10" spans="2:6" x14ac:dyDescent="0.3">
      <c r="B10" s="76" t="s">
        <v>262</v>
      </c>
    </row>
    <row r="12" spans="2:6" x14ac:dyDescent="0.3">
      <c r="B12" t="s">
        <v>263</v>
      </c>
      <c r="C12" s="40">
        <f>WACC!L33</f>
        <v>4.19E-2</v>
      </c>
    </row>
    <row r="14" spans="2:6" ht="16.2" x14ac:dyDescent="0.3">
      <c r="B14" t="s">
        <v>264</v>
      </c>
      <c r="C14" s="40">
        <v>2.5000000000000001E-2</v>
      </c>
    </row>
    <row r="16" spans="2:6" x14ac:dyDescent="0.3">
      <c r="B16" t="s">
        <v>260</v>
      </c>
      <c r="C16" s="40">
        <f>C12+C14</f>
        <v>6.6900000000000001E-2</v>
      </c>
      <c r="D16" s="99" t="s">
        <v>266</v>
      </c>
    </row>
    <row r="18" spans="2:9" x14ac:dyDescent="0.3">
      <c r="B18" s="62" t="s">
        <v>44</v>
      </c>
    </row>
    <row r="19" spans="2:9" x14ac:dyDescent="0.3">
      <c r="B19" s="342" t="s">
        <v>265</v>
      </c>
      <c r="C19" s="342"/>
      <c r="D19" s="342"/>
      <c r="E19" s="342"/>
      <c r="F19" s="342"/>
      <c r="G19" s="342"/>
      <c r="H19" s="342"/>
      <c r="I19" s="342"/>
    </row>
    <row r="20" spans="2:9" x14ac:dyDescent="0.3">
      <c r="B20" s="342"/>
      <c r="C20" s="342"/>
      <c r="D20" s="342"/>
      <c r="E20" s="342"/>
      <c r="F20" s="342"/>
      <c r="G20" s="342"/>
      <c r="H20" s="342"/>
      <c r="I20" s="342"/>
    </row>
    <row r="21" spans="2:9" x14ac:dyDescent="0.3">
      <c r="B21" s="342"/>
      <c r="C21" s="342"/>
      <c r="D21" s="342"/>
      <c r="E21" s="342"/>
      <c r="F21" s="342"/>
      <c r="G21" s="342"/>
      <c r="H21" s="342"/>
      <c r="I21" s="342"/>
    </row>
    <row r="22" spans="2:9" x14ac:dyDescent="0.3">
      <c r="B22" s="342"/>
      <c r="C22" s="342"/>
      <c r="D22" s="342"/>
      <c r="E22" s="342"/>
      <c r="F22" s="342"/>
      <c r="G22" s="342"/>
      <c r="H22" s="342"/>
      <c r="I22" s="342"/>
    </row>
    <row r="23" spans="2:9" x14ac:dyDescent="0.3">
      <c r="B23" s="342"/>
      <c r="C23" s="342"/>
      <c r="D23" s="342"/>
      <c r="E23" s="342"/>
      <c r="F23" s="342"/>
      <c r="G23" s="342"/>
      <c r="H23" s="342"/>
      <c r="I23" s="342"/>
    </row>
  </sheetData>
  <mergeCells count="2">
    <mergeCell ref="B2:F2"/>
    <mergeCell ref="B19:I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D1F9-FC31-4D70-A25D-876A2E970A0E}">
  <dimension ref="B2:J23"/>
  <sheetViews>
    <sheetView showGridLines="0" workbookViewId="0">
      <selection activeCell="C18" sqref="C18"/>
    </sheetView>
  </sheetViews>
  <sheetFormatPr defaultRowHeight="14.4" x14ac:dyDescent="0.3"/>
  <sheetData>
    <row r="2" spans="2:4" x14ac:dyDescent="0.3">
      <c r="B2" s="346" t="s">
        <v>245</v>
      </c>
      <c r="C2" s="346"/>
      <c r="D2" s="346"/>
    </row>
    <row r="4" spans="2:4" x14ac:dyDescent="0.3">
      <c r="B4" s="65" t="s">
        <v>48</v>
      </c>
      <c r="C4" s="65" t="s">
        <v>49</v>
      </c>
    </row>
    <row r="5" spans="2:4" x14ac:dyDescent="0.3">
      <c r="B5" s="66">
        <v>2013</v>
      </c>
      <c r="C5" s="67">
        <v>0.29599999999999999</v>
      </c>
    </row>
    <row r="6" spans="2:4" x14ac:dyDescent="0.3">
      <c r="B6" s="66">
        <v>2014</v>
      </c>
      <c r="C6" s="67">
        <v>0.1139</v>
      </c>
    </row>
    <row r="7" spans="2:4" x14ac:dyDescent="0.3">
      <c r="B7" s="66">
        <f t="shared" ref="B7:B9" si="0">B8-1</f>
        <v>2015</v>
      </c>
      <c r="C7" s="67">
        <v>-7.3000000000000001E-3</v>
      </c>
    </row>
    <row r="8" spans="2:4" x14ac:dyDescent="0.3">
      <c r="B8" s="66">
        <f t="shared" si="0"/>
        <v>2016</v>
      </c>
      <c r="C8" s="67">
        <v>9.5399999999999999E-2</v>
      </c>
    </row>
    <row r="9" spans="2:4" x14ac:dyDescent="0.3">
      <c r="B9" s="66">
        <f t="shared" si="0"/>
        <v>2017</v>
      </c>
      <c r="C9" s="67">
        <v>0.19420000000000001</v>
      </c>
    </row>
    <row r="10" spans="2:4" x14ac:dyDescent="0.3">
      <c r="B10" s="66">
        <f>B11-1</f>
        <v>2018</v>
      </c>
      <c r="C10" s="67">
        <v>-6.2399999999999997E-2</v>
      </c>
    </row>
    <row r="11" spans="2:4" x14ac:dyDescent="0.3">
      <c r="B11" s="66">
        <v>2019</v>
      </c>
      <c r="C11" s="67">
        <v>0.2888</v>
      </c>
    </row>
    <row r="12" spans="2:4" x14ac:dyDescent="0.3">
      <c r="B12">
        <v>2020</v>
      </c>
      <c r="C12" s="40">
        <v>0.16259999999999999</v>
      </c>
    </row>
    <row r="13" spans="2:4" x14ac:dyDescent="0.3">
      <c r="B13">
        <v>2021</v>
      </c>
      <c r="C13" s="43">
        <v>0.26889999999999997</v>
      </c>
    </row>
    <row r="14" spans="2:4" x14ac:dyDescent="0.3">
      <c r="B14">
        <v>2022</v>
      </c>
      <c r="C14" s="40">
        <v>-0.19439999999999999</v>
      </c>
    </row>
    <row r="15" spans="2:4" x14ac:dyDescent="0.3">
      <c r="B15">
        <v>2023</v>
      </c>
      <c r="C15" s="43">
        <v>0.24229999999999999</v>
      </c>
    </row>
    <row r="16" spans="2:4" x14ac:dyDescent="0.3">
      <c r="B16">
        <v>2024</v>
      </c>
      <c r="C16" s="43">
        <v>0.2177</v>
      </c>
    </row>
    <row r="18" spans="2:10" x14ac:dyDescent="0.3">
      <c r="B18" s="65" t="s">
        <v>50</v>
      </c>
      <c r="C18" s="40">
        <f>AVERAGE(C5:C16)</f>
        <v>0.13464166666666669</v>
      </c>
    </row>
    <row r="19" spans="2:10" x14ac:dyDescent="0.3">
      <c r="B19" s="65" t="s">
        <v>16</v>
      </c>
      <c r="C19" s="40">
        <f>MEDIAN(C5:C16)</f>
        <v>0.1784</v>
      </c>
    </row>
    <row r="22" spans="2:10" x14ac:dyDescent="0.3">
      <c r="B22" s="189" t="s">
        <v>247</v>
      </c>
    </row>
    <row r="23" spans="2:10" ht="14.4" customHeight="1" x14ac:dyDescent="0.3">
      <c r="B23" s="347" t="s">
        <v>246</v>
      </c>
      <c r="C23" s="347"/>
      <c r="D23" s="347"/>
      <c r="E23" s="347"/>
      <c r="F23" s="347"/>
      <c r="G23" s="347"/>
      <c r="H23" s="347"/>
      <c r="I23" s="347"/>
      <c r="J23" s="347"/>
    </row>
  </sheetData>
  <mergeCells count="2">
    <mergeCell ref="B2:D2"/>
    <mergeCell ref="B23:J23"/>
  </mergeCells>
  <hyperlinks>
    <hyperlink ref="B23" r:id="rId1" xr:uid="{5F520FE9-2AC2-446A-9114-470C078BAC8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BF779-9922-46C9-A42D-4782CB8D3B85}">
  <dimension ref="B2:Y69"/>
  <sheetViews>
    <sheetView showGridLines="0" workbookViewId="0">
      <selection activeCell="N6" sqref="N6"/>
    </sheetView>
  </sheetViews>
  <sheetFormatPr defaultRowHeight="14.4" x14ac:dyDescent="0.3"/>
  <cols>
    <col min="2" max="2" width="14.33203125" customWidth="1"/>
    <col min="3" max="3" width="12.88671875" customWidth="1"/>
    <col min="4" max="4" width="13.44140625" customWidth="1"/>
    <col min="7" max="7" width="14.77734375" customWidth="1"/>
    <col min="10" max="10" width="23.44140625" customWidth="1"/>
    <col min="12" max="14" width="18" customWidth="1"/>
    <col min="16" max="16" width="21.6640625" customWidth="1"/>
  </cols>
  <sheetData>
    <row r="2" spans="2:21" x14ac:dyDescent="0.3">
      <c r="B2" s="346" t="s">
        <v>52</v>
      </c>
      <c r="C2" s="346"/>
      <c r="D2" s="346"/>
    </row>
    <row r="3" spans="2:21" x14ac:dyDescent="0.3">
      <c r="B3" s="68"/>
      <c r="J3" s="62" t="str">
        <f>J15</f>
        <v>Note 1</v>
      </c>
    </row>
    <row r="4" spans="2:21" x14ac:dyDescent="0.3">
      <c r="B4" s="344" t="str">
        <f>WACC!B12</f>
        <v>Twitter Inc.</v>
      </c>
      <c r="C4" s="344"/>
      <c r="D4" s="344"/>
      <c r="E4" s="344"/>
      <c r="G4" s="344" t="s">
        <v>248</v>
      </c>
      <c r="H4" s="344"/>
      <c r="I4" s="69"/>
      <c r="J4" s="344" t="s">
        <v>53</v>
      </c>
      <c r="K4" s="344"/>
      <c r="L4" s="69"/>
      <c r="M4" s="69"/>
      <c r="N4" s="69"/>
    </row>
    <row r="6" spans="2:21" x14ac:dyDescent="0.3">
      <c r="B6" s="70" t="s">
        <v>54</v>
      </c>
      <c r="C6" s="70" t="s">
        <v>55</v>
      </c>
      <c r="D6" s="70" t="s">
        <v>56</v>
      </c>
      <c r="E6" s="10"/>
      <c r="F6" s="10"/>
      <c r="G6" s="70" t="s">
        <v>55</v>
      </c>
      <c r="H6" s="70" t="s">
        <v>56</v>
      </c>
      <c r="J6" t="s">
        <v>57</v>
      </c>
      <c r="K6" s="71">
        <f>Q10</f>
        <v>6.1271548785383649E-2</v>
      </c>
      <c r="P6" t="s">
        <v>58</v>
      </c>
      <c r="Q6" s="71">
        <f>SLOPE(D8:D66,H8:H66)</f>
        <v>6.1271548785383635E-2</v>
      </c>
      <c r="R6" s="29" t="s">
        <v>59</v>
      </c>
      <c r="S6" s="72"/>
      <c r="T6" s="72"/>
      <c r="U6" s="30"/>
    </row>
    <row r="7" spans="2:21" x14ac:dyDescent="0.3">
      <c r="B7" s="73">
        <v>44444</v>
      </c>
      <c r="C7">
        <v>38.619999999999997</v>
      </c>
      <c r="D7" s="8"/>
      <c r="G7" s="149">
        <v>4458.58</v>
      </c>
      <c r="H7" s="8"/>
      <c r="J7" t="s">
        <v>60</v>
      </c>
      <c r="K7" s="43">
        <v>0.5</v>
      </c>
      <c r="L7" s="75"/>
      <c r="M7" s="75"/>
      <c r="N7" s="75"/>
      <c r="Q7" s="71"/>
      <c r="R7" s="76"/>
      <c r="S7" s="76"/>
      <c r="T7" s="76"/>
      <c r="U7" s="76"/>
    </row>
    <row r="8" spans="2:21" x14ac:dyDescent="0.3">
      <c r="B8" s="73">
        <v>44451</v>
      </c>
      <c r="C8">
        <v>41.81</v>
      </c>
      <c r="D8" s="77">
        <f>(C8-C7)/C7</f>
        <v>8.2599689280165853E-2</v>
      </c>
      <c r="G8" s="149">
        <v>4432.99</v>
      </c>
      <c r="H8" s="77">
        <f t="shared" ref="H8:H66" si="0">(G8-G7)/G7</f>
        <v>-5.7394955344527059E-3</v>
      </c>
      <c r="P8" t="s">
        <v>61</v>
      </c>
      <c r="Q8" s="71">
        <f>_xlfn.COVARIANCE.S(D8:D66,H8:H66)/_xlfn.VAR.S(H8:H66)</f>
        <v>6.1271548785383628E-2</v>
      </c>
      <c r="R8" s="341" t="s">
        <v>62</v>
      </c>
      <c r="S8" s="341"/>
      <c r="T8" s="341"/>
      <c r="U8" s="341"/>
    </row>
    <row r="9" spans="2:21" x14ac:dyDescent="0.3">
      <c r="B9" s="73">
        <v>44458</v>
      </c>
      <c r="C9">
        <v>41.4</v>
      </c>
      <c r="D9" s="77">
        <f t="shared" ref="D9:D66" si="1">(C9-C8)/C8</f>
        <v>-9.8062664434346736E-3</v>
      </c>
      <c r="G9" s="149">
        <v>4455.4799999999996</v>
      </c>
      <c r="H9" s="77">
        <f t="shared" si="0"/>
        <v>5.0733252274423766E-3</v>
      </c>
      <c r="J9" t="s">
        <v>63</v>
      </c>
      <c r="K9">
        <v>1</v>
      </c>
      <c r="Q9" s="71"/>
      <c r="R9" s="76"/>
      <c r="S9" s="76"/>
      <c r="T9" s="76"/>
      <c r="U9" s="76"/>
    </row>
    <row r="10" spans="2:21" x14ac:dyDescent="0.3">
      <c r="B10" s="73">
        <v>44465</v>
      </c>
      <c r="C10">
        <v>41.5</v>
      </c>
      <c r="D10" s="77">
        <f t="shared" si="1"/>
        <v>2.4154589371981022E-3</v>
      </c>
      <c r="G10" s="149">
        <v>4357.04</v>
      </c>
      <c r="H10" s="77">
        <f t="shared" si="0"/>
        <v>-2.209414024975976E-2</v>
      </c>
      <c r="J10" t="s">
        <v>64</v>
      </c>
      <c r="K10" s="40">
        <f>100%-K7</f>
        <v>0.5</v>
      </c>
      <c r="P10" t="s">
        <v>65</v>
      </c>
      <c r="Q10" s="71">
        <f>R34</f>
        <v>6.1271548785383649E-2</v>
      </c>
      <c r="R10" s="341" t="s">
        <v>66</v>
      </c>
      <c r="S10" s="341"/>
      <c r="T10" s="341"/>
      <c r="U10" s="341"/>
    </row>
    <row r="11" spans="2:21" x14ac:dyDescent="0.3">
      <c r="B11" s="73">
        <v>44472</v>
      </c>
      <c r="C11">
        <v>43.9</v>
      </c>
      <c r="D11" s="77">
        <f t="shared" si="1"/>
        <v>5.7831325301204786E-2</v>
      </c>
      <c r="G11" s="149">
        <v>4391.34</v>
      </c>
      <c r="H11" s="77">
        <f t="shared" si="0"/>
        <v>7.8723169858436418E-3</v>
      </c>
    </row>
    <row r="12" spans="2:21" x14ac:dyDescent="0.3">
      <c r="B12" s="73">
        <v>44479</v>
      </c>
      <c r="C12">
        <v>49.66</v>
      </c>
      <c r="D12" s="77">
        <f>(C12-C9)/C9</f>
        <v>0.19951690821256035</v>
      </c>
      <c r="G12" s="149">
        <v>4471.37</v>
      </c>
      <c r="H12" s="77">
        <f t="shared" si="0"/>
        <v>1.8224505504014662E-2</v>
      </c>
      <c r="J12" s="72" t="s">
        <v>67</v>
      </c>
      <c r="K12" s="78">
        <f>(K6*K7)+(K9*K10)</f>
        <v>0.53063577439269183</v>
      </c>
    </row>
    <row r="13" spans="2:21" x14ac:dyDescent="0.3">
      <c r="B13" s="73">
        <v>44486</v>
      </c>
      <c r="C13">
        <v>50.5</v>
      </c>
      <c r="D13" s="77">
        <f t="shared" si="1"/>
        <v>1.6915022150624313E-2</v>
      </c>
      <c r="G13" s="149">
        <v>4544.8999999999996</v>
      </c>
      <c r="H13" s="77">
        <f t="shared" si="0"/>
        <v>1.6444624354504268E-2</v>
      </c>
    </row>
    <row r="14" spans="2:21" x14ac:dyDescent="0.3">
      <c r="B14" s="73">
        <v>44493</v>
      </c>
      <c r="C14">
        <v>50.71</v>
      </c>
      <c r="D14" s="77">
        <f t="shared" si="1"/>
        <v>4.1584158415841751E-3</v>
      </c>
      <c r="G14" s="149">
        <v>4605.38</v>
      </c>
      <c r="H14" s="77">
        <f t="shared" si="0"/>
        <v>1.330722348126482E-2</v>
      </c>
    </row>
    <row r="15" spans="2:21" x14ac:dyDescent="0.3">
      <c r="B15" s="73">
        <v>44500</v>
      </c>
      <c r="C15">
        <v>53.56</v>
      </c>
      <c r="D15" s="77">
        <f t="shared" si="1"/>
        <v>5.620193255768096E-2</v>
      </c>
      <c r="G15" s="149">
        <v>4697.53</v>
      </c>
      <c r="H15" s="77">
        <f t="shared" si="0"/>
        <v>2.0009206623557586E-2</v>
      </c>
      <c r="J15" s="62" t="s">
        <v>43</v>
      </c>
    </row>
    <row r="16" spans="2:21" x14ac:dyDescent="0.3">
      <c r="B16" s="73">
        <v>44507</v>
      </c>
      <c r="C16">
        <v>53.45</v>
      </c>
      <c r="D16" s="77">
        <f t="shared" si="1"/>
        <v>-2.0537714712471886E-3</v>
      </c>
      <c r="G16" s="149">
        <v>4682.8500000000004</v>
      </c>
      <c r="H16" s="77">
        <f t="shared" si="0"/>
        <v>-3.1250465670255184E-3</v>
      </c>
      <c r="J16" s="342" t="s">
        <v>68</v>
      </c>
      <c r="K16" s="342"/>
      <c r="L16" s="342"/>
      <c r="M16" s="342"/>
      <c r="N16" s="342"/>
    </row>
    <row r="17" spans="2:25" x14ac:dyDescent="0.3">
      <c r="B17" s="73">
        <v>44514</v>
      </c>
      <c r="C17">
        <v>52.41</v>
      </c>
      <c r="D17" s="77">
        <f t="shared" si="1"/>
        <v>-1.94574368568757E-2</v>
      </c>
      <c r="G17" s="149">
        <v>4697.96</v>
      </c>
      <c r="H17" s="77">
        <f t="shared" si="0"/>
        <v>3.2266675208472771E-3</v>
      </c>
      <c r="J17" s="342"/>
      <c r="K17" s="342"/>
      <c r="L17" s="342"/>
      <c r="M17" s="342"/>
      <c r="N17" s="342"/>
      <c r="Q17" t="s">
        <v>69</v>
      </c>
    </row>
    <row r="18" spans="2:25" ht="15" thickBot="1" x14ac:dyDescent="0.35">
      <c r="B18" s="73">
        <v>44521</v>
      </c>
      <c r="C18">
        <v>48.51</v>
      </c>
      <c r="D18" s="77">
        <f t="shared" si="1"/>
        <v>-7.4413279908414398E-2</v>
      </c>
      <c r="G18" s="149">
        <v>4594.62</v>
      </c>
      <c r="H18" s="77">
        <f t="shared" si="0"/>
        <v>-2.1996781581792978E-2</v>
      </c>
      <c r="J18" s="342"/>
      <c r="K18" s="342"/>
      <c r="L18" s="342"/>
      <c r="M18" s="342"/>
      <c r="N18" s="342"/>
      <c r="P18" s="80"/>
    </row>
    <row r="19" spans="2:25" x14ac:dyDescent="0.3">
      <c r="B19" s="73">
        <v>44528</v>
      </c>
      <c r="C19">
        <v>51.88</v>
      </c>
      <c r="D19" s="77">
        <f t="shared" si="1"/>
        <v>6.9470212327355285E-2</v>
      </c>
      <c r="G19" s="149">
        <v>4538.43</v>
      </c>
      <c r="H19" s="77">
        <f t="shared" si="0"/>
        <v>-1.2229520613238875E-2</v>
      </c>
      <c r="J19" s="342"/>
      <c r="K19" s="342"/>
      <c r="L19" s="342"/>
      <c r="M19" s="342"/>
      <c r="N19" s="342"/>
      <c r="Q19" s="191" t="s">
        <v>70</v>
      </c>
      <c r="R19" s="191"/>
    </row>
    <row r="20" spans="2:25" x14ac:dyDescent="0.3">
      <c r="B20" s="73">
        <v>44535</v>
      </c>
      <c r="C20">
        <v>42.11</v>
      </c>
      <c r="D20" s="77">
        <f t="shared" si="1"/>
        <v>-0.18831919814957598</v>
      </c>
      <c r="G20" s="149">
        <v>4712.0200000000004</v>
      </c>
      <c r="H20" s="77">
        <f t="shared" si="0"/>
        <v>3.8248909865305873E-2</v>
      </c>
      <c r="J20" s="342"/>
      <c r="K20" s="342"/>
      <c r="L20" s="342"/>
      <c r="M20" s="342"/>
      <c r="N20" s="342"/>
      <c r="Q20" t="s">
        <v>71</v>
      </c>
      <c r="R20">
        <v>2.3545189294183349E-2</v>
      </c>
    </row>
    <row r="21" spans="2:25" x14ac:dyDescent="0.3">
      <c r="B21" s="73">
        <v>44542</v>
      </c>
      <c r="C21">
        <v>45.55</v>
      </c>
      <c r="D21" s="77">
        <f t="shared" si="1"/>
        <v>8.1690809783899254E-2</v>
      </c>
      <c r="G21" s="149">
        <v>4620.6400000000003</v>
      </c>
      <c r="H21" s="77">
        <f t="shared" si="0"/>
        <v>-1.9392956736176862E-2</v>
      </c>
      <c r="J21" s="342"/>
      <c r="K21" s="342"/>
      <c r="L21" s="342"/>
      <c r="M21" s="342"/>
      <c r="N21" s="342"/>
      <c r="Q21" t="s">
        <v>72</v>
      </c>
      <c r="R21">
        <v>5.5437593889892623E-4</v>
      </c>
    </row>
    <row r="22" spans="2:25" x14ac:dyDescent="0.3">
      <c r="B22" s="73">
        <v>44549</v>
      </c>
      <c r="C22">
        <v>42.37</v>
      </c>
      <c r="D22" s="77">
        <f t="shared" si="1"/>
        <v>-6.9813391877058179E-2</v>
      </c>
      <c r="G22" s="149">
        <v>4725.79</v>
      </c>
      <c r="H22" s="77">
        <f t="shared" si="0"/>
        <v>2.2756587831988563E-2</v>
      </c>
      <c r="J22" s="342"/>
      <c r="K22" s="342"/>
      <c r="L22" s="342"/>
      <c r="M22" s="342"/>
      <c r="N22" s="342"/>
      <c r="Q22" t="s">
        <v>73</v>
      </c>
      <c r="R22">
        <v>-1.6979757816558989E-2</v>
      </c>
    </row>
    <row r="23" spans="2:25" x14ac:dyDescent="0.3">
      <c r="B23" s="73">
        <v>44556</v>
      </c>
      <c r="C23">
        <v>44.21</v>
      </c>
      <c r="D23" s="77">
        <f t="shared" si="1"/>
        <v>4.3426953032806311E-2</v>
      </c>
      <c r="G23" s="149">
        <v>4766.18</v>
      </c>
      <c r="H23" s="77">
        <f t="shared" si="0"/>
        <v>8.5467191728791012E-3</v>
      </c>
      <c r="J23" s="342"/>
      <c r="K23" s="342"/>
      <c r="L23" s="342"/>
      <c r="M23" s="342"/>
      <c r="N23" s="342"/>
      <c r="Q23" t="s">
        <v>74</v>
      </c>
      <c r="R23">
        <v>7.7852918183934097E-2</v>
      </c>
    </row>
    <row r="24" spans="2:25" ht="15" thickBot="1" x14ac:dyDescent="0.35">
      <c r="B24" s="73">
        <v>44563</v>
      </c>
      <c r="C24">
        <v>43.5</v>
      </c>
      <c r="D24" s="77">
        <f t="shared" si="1"/>
        <v>-1.6059714996607122E-2</v>
      </c>
      <c r="G24" s="149">
        <v>4677.03</v>
      </c>
      <c r="H24" s="77">
        <f t="shared" si="0"/>
        <v>-1.8704706914132604E-2</v>
      </c>
      <c r="J24" s="342"/>
      <c r="K24" s="342"/>
      <c r="L24" s="342"/>
      <c r="M24" s="342"/>
      <c r="N24" s="342"/>
      <c r="Q24" s="81" t="s">
        <v>75</v>
      </c>
      <c r="R24" s="81">
        <v>59</v>
      </c>
    </row>
    <row r="25" spans="2:25" x14ac:dyDescent="0.3">
      <c r="B25" s="73">
        <v>44570</v>
      </c>
      <c r="C25">
        <v>39.33</v>
      </c>
      <c r="D25" s="77">
        <f t="shared" si="1"/>
        <v>-9.5862068965517286E-2</v>
      </c>
      <c r="G25" s="149">
        <v>4662.8500000000004</v>
      </c>
      <c r="H25" s="77">
        <f t="shared" si="0"/>
        <v>-3.0318385813217752E-3</v>
      </c>
      <c r="J25" s="342"/>
      <c r="K25" s="342"/>
      <c r="L25" s="342"/>
      <c r="M25" s="342"/>
      <c r="N25" s="342"/>
    </row>
    <row r="26" spans="2:25" ht="15" thickBot="1" x14ac:dyDescent="0.35">
      <c r="B26" s="73">
        <v>44577</v>
      </c>
      <c r="C26">
        <v>37.72</v>
      </c>
      <c r="D26" s="77">
        <f t="shared" si="1"/>
        <v>-4.0935672514619874E-2</v>
      </c>
      <c r="G26" s="149">
        <v>4397.9399999999996</v>
      </c>
      <c r="H26" s="77">
        <f t="shared" si="0"/>
        <v>-5.681289340210402E-2</v>
      </c>
      <c r="Q26" t="s">
        <v>76</v>
      </c>
    </row>
    <row r="27" spans="2:25" x14ac:dyDescent="0.3">
      <c r="B27" s="73">
        <v>44584</v>
      </c>
      <c r="C27">
        <v>33.700000000000003</v>
      </c>
      <c r="D27" s="77">
        <f t="shared" si="1"/>
        <v>-0.1065747613997878</v>
      </c>
      <c r="G27" s="149">
        <v>4431.8500000000004</v>
      </c>
      <c r="H27" s="77">
        <f t="shared" si="0"/>
        <v>7.7104280640483422E-3</v>
      </c>
      <c r="P27" s="80"/>
      <c r="Q27" s="190"/>
      <c r="R27" s="190" t="s">
        <v>77</v>
      </c>
      <c r="S27" s="190" t="s">
        <v>78</v>
      </c>
      <c r="T27" s="190" t="s">
        <v>79</v>
      </c>
      <c r="U27" s="190" t="s">
        <v>80</v>
      </c>
      <c r="V27" s="190" t="s">
        <v>81</v>
      </c>
    </row>
    <row r="28" spans="2:25" x14ac:dyDescent="0.3">
      <c r="B28" s="73">
        <v>44591</v>
      </c>
      <c r="C28">
        <v>35.43</v>
      </c>
      <c r="D28" s="77">
        <f t="shared" si="1"/>
        <v>5.1335311572700201E-2</v>
      </c>
      <c r="G28" s="149">
        <v>4500.53</v>
      </c>
      <c r="H28" s="77">
        <f t="shared" si="0"/>
        <v>1.5496914381127378E-2</v>
      </c>
      <c r="Q28" t="s">
        <v>82</v>
      </c>
      <c r="R28">
        <v>1</v>
      </c>
      <c r="S28">
        <v>1.9163280189776755E-4</v>
      </c>
      <c r="T28">
        <v>1.9163280189776755E-4</v>
      </c>
      <c r="U28">
        <v>3.1616956197015642E-2</v>
      </c>
      <c r="V28">
        <v>0.85950136625957718</v>
      </c>
    </row>
    <row r="29" spans="2:25" x14ac:dyDescent="0.3">
      <c r="B29" s="73">
        <v>44598</v>
      </c>
      <c r="C29">
        <v>36.72</v>
      </c>
      <c r="D29" s="77">
        <f t="shared" si="1"/>
        <v>3.6409822184589311E-2</v>
      </c>
      <c r="G29" s="149">
        <v>4418.6400000000003</v>
      </c>
      <c r="H29" s="77">
        <f t="shared" si="0"/>
        <v>-1.8195634736353147E-2</v>
      </c>
      <c r="Q29" t="s">
        <v>83</v>
      </c>
      <c r="R29">
        <v>57</v>
      </c>
      <c r="S29">
        <v>0.34548138157599723</v>
      </c>
      <c r="T29">
        <v>6.0610768697543374E-3</v>
      </c>
    </row>
    <row r="30" spans="2:25" ht="15" thickBot="1" x14ac:dyDescent="0.35">
      <c r="B30" s="73">
        <v>44605</v>
      </c>
      <c r="C30">
        <v>35.619999999999997</v>
      </c>
      <c r="D30" s="77">
        <f t="shared" si="1"/>
        <v>-2.9956427015250583E-2</v>
      </c>
      <c r="G30" s="149">
        <v>4348.87</v>
      </c>
      <c r="H30" s="77">
        <f t="shared" si="0"/>
        <v>-1.5789926312168547E-2</v>
      </c>
      <c r="Q30" s="81" t="s">
        <v>84</v>
      </c>
      <c r="R30" s="81">
        <v>58</v>
      </c>
      <c r="S30" s="81">
        <v>0.34567301437789499</v>
      </c>
      <c r="T30" s="81"/>
      <c r="U30" s="81"/>
      <c r="V30" s="81"/>
    </row>
    <row r="31" spans="2:25" ht="15" thickBot="1" x14ac:dyDescent="0.35">
      <c r="B31" s="73">
        <v>44612</v>
      </c>
      <c r="C31">
        <v>33.659999999999997</v>
      </c>
      <c r="D31" s="77">
        <f t="shared" si="1"/>
        <v>-5.5025266704098852E-2</v>
      </c>
      <c r="G31" s="149">
        <v>4384.6499999999996</v>
      </c>
      <c r="H31" s="77">
        <f t="shared" si="0"/>
        <v>8.2274245953545978E-3</v>
      </c>
    </row>
    <row r="32" spans="2:25" x14ac:dyDescent="0.3">
      <c r="B32" s="73">
        <v>44619</v>
      </c>
      <c r="C32">
        <v>34.950000000000003</v>
      </c>
      <c r="D32" s="77">
        <f t="shared" si="1"/>
        <v>3.8324420677362046E-2</v>
      </c>
      <c r="G32" s="149">
        <v>4328.87</v>
      </c>
      <c r="H32" s="77">
        <f t="shared" si="0"/>
        <v>-1.2721653951854709E-2</v>
      </c>
      <c r="Q32" s="190"/>
      <c r="R32" s="190" t="s">
        <v>85</v>
      </c>
      <c r="S32" s="190" t="s">
        <v>74</v>
      </c>
      <c r="T32" s="190" t="s">
        <v>86</v>
      </c>
      <c r="U32" s="190" t="s">
        <v>87</v>
      </c>
      <c r="V32" s="190" t="s">
        <v>88</v>
      </c>
      <c r="W32" s="190" t="s">
        <v>89</v>
      </c>
      <c r="X32" s="190" t="s">
        <v>90</v>
      </c>
      <c r="Y32" s="190" t="s">
        <v>91</v>
      </c>
    </row>
    <row r="33" spans="2:25" x14ac:dyDescent="0.3">
      <c r="B33" s="73">
        <v>44626</v>
      </c>
      <c r="C33">
        <v>33.51</v>
      </c>
      <c r="D33" s="77">
        <f t="shared" si="1"/>
        <v>-4.1201716738197558E-2</v>
      </c>
      <c r="G33" s="149">
        <v>4204.3100000000004</v>
      </c>
      <c r="H33" s="77">
        <f t="shared" si="0"/>
        <v>-2.8774252865066286E-2</v>
      </c>
      <c r="Q33" t="s">
        <v>92</v>
      </c>
      <c r="R33">
        <v>8.2368774467645057E-3</v>
      </c>
      <c r="S33">
        <v>1.0155194390042963E-2</v>
      </c>
      <c r="T33">
        <v>0.81109992880497273</v>
      </c>
      <c r="U33">
        <v>0.42068226046172741</v>
      </c>
      <c r="V33">
        <v>-1.2098548551682327E-2</v>
      </c>
      <c r="W33">
        <v>2.857230344521134E-2</v>
      </c>
      <c r="X33">
        <v>-1.2098548551682327E-2</v>
      </c>
      <c r="Y33">
        <v>2.857230344521134E-2</v>
      </c>
    </row>
    <row r="34" spans="2:25" ht="15" thickBot="1" x14ac:dyDescent="0.35">
      <c r="B34" s="73">
        <v>44633</v>
      </c>
      <c r="C34">
        <v>32.69</v>
      </c>
      <c r="D34" s="77">
        <f>(C34-C33)/C33</f>
        <v>-2.4470307370934058E-2</v>
      </c>
      <c r="G34" s="149">
        <v>4463.12</v>
      </c>
      <c r="H34" s="77">
        <f t="shared" si="0"/>
        <v>6.1558258073262789E-2</v>
      </c>
      <c r="Q34" s="81" t="s">
        <v>93</v>
      </c>
      <c r="R34" s="81">
        <v>6.1271548785383649E-2</v>
      </c>
      <c r="S34" s="81">
        <v>0.34458695274554857</v>
      </c>
      <c r="T34" s="81">
        <v>0.17781157498040287</v>
      </c>
      <c r="U34" s="81">
        <v>0.8595013662595864</v>
      </c>
      <c r="V34" s="81">
        <v>-0.62875192180991957</v>
      </c>
      <c r="W34" s="81">
        <v>0.75129501938068688</v>
      </c>
      <c r="X34" s="81">
        <v>-0.62875192180991957</v>
      </c>
      <c r="Y34" s="81">
        <v>0.75129501938068688</v>
      </c>
    </row>
    <row r="35" spans="2:25" x14ac:dyDescent="0.3">
      <c r="B35" s="73">
        <v>44640</v>
      </c>
      <c r="C35">
        <v>37.700000000000003</v>
      </c>
      <c r="D35" s="77">
        <f>(C35-C33)/C33</f>
        <v>0.1250373022978217</v>
      </c>
      <c r="G35" s="149">
        <v>4543.0600000000004</v>
      </c>
      <c r="H35" s="77">
        <f t="shared" si="0"/>
        <v>1.7911236982200908E-2</v>
      </c>
      <c r="P35" s="82"/>
    </row>
    <row r="36" spans="2:25" x14ac:dyDescent="0.3">
      <c r="B36" s="73">
        <v>44647</v>
      </c>
      <c r="C36">
        <v>38.44</v>
      </c>
      <c r="D36" s="77">
        <f t="shared" si="1"/>
        <v>1.9628647214853974E-2</v>
      </c>
      <c r="G36" s="149">
        <v>4545.8599999999997</v>
      </c>
      <c r="H36" s="77">
        <f t="shared" si="0"/>
        <v>6.1632467984118022E-4</v>
      </c>
    </row>
    <row r="37" spans="2:25" x14ac:dyDescent="0.3">
      <c r="B37" s="73">
        <v>44654</v>
      </c>
      <c r="C37">
        <v>47.87</v>
      </c>
      <c r="D37" s="77">
        <f t="shared" si="1"/>
        <v>0.24531737773152967</v>
      </c>
      <c r="G37" s="149">
        <v>4488.28</v>
      </c>
      <c r="H37" s="77">
        <f t="shared" si="0"/>
        <v>-1.2666470150862528E-2</v>
      </c>
    </row>
    <row r="38" spans="2:25" x14ac:dyDescent="0.3">
      <c r="B38" s="73">
        <v>44661</v>
      </c>
      <c r="C38">
        <v>45.75</v>
      </c>
      <c r="D38" s="77">
        <f t="shared" si="1"/>
        <v>-4.4286609567578808E-2</v>
      </c>
      <c r="G38" s="149">
        <v>4392.59</v>
      </c>
      <c r="H38" s="77">
        <f t="shared" si="0"/>
        <v>-2.1319971124796049E-2</v>
      </c>
    </row>
    <row r="39" spans="2:25" x14ac:dyDescent="0.3">
      <c r="B39" s="73">
        <v>44668</v>
      </c>
      <c r="C39">
        <v>46.24</v>
      </c>
      <c r="D39" s="77">
        <f t="shared" si="1"/>
        <v>1.0710382513661246E-2</v>
      </c>
      <c r="G39" s="149">
        <v>4271.78</v>
      </c>
      <c r="H39" s="77">
        <f t="shared" si="0"/>
        <v>-2.750313596306516E-2</v>
      </c>
    </row>
    <row r="40" spans="2:25" x14ac:dyDescent="0.3">
      <c r="B40" s="73">
        <v>44675</v>
      </c>
      <c r="C40">
        <v>51.02</v>
      </c>
      <c r="D40" s="77">
        <f t="shared" si="1"/>
        <v>0.10337370242214534</v>
      </c>
      <c r="G40" s="149">
        <v>4131.93</v>
      </c>
      <c r="H40" s="77">
        <f t="shared" si="0"/>
        <v>-3.2738109172288712E-2</v>
      </c>
      <c r="P40" s="82"/>
      <c r="Q40" s="82"/>
      <c r="R40" s="82"/>
      <c r="S40" s="82"/>
      <c r="T40" s="82"/>
      <c r="U40" s="82"/>
      <c r="V40" s="82"/>
      <c r="W40" s="82"/>
      <c r="X40" s="82"/>
    </row>
    <row r="41" spans="2:25" x14ac:dyDescent="0.3">
      <c r="B41" s="73">
        <v>44682</v>
      </c>
      <c r="C41">
        <v>48.7</v>
      </c>
      <c r="D41" s="77">
        <f t="shared" si="1"/>
        <v>-4.5472363778910237E-2</v>
      </c>
      <c r="G41" s="149">
        <v>4123.34</v>
      </c>
      <c r="H41" s="77">
        <f t="shared" si="0"/>
        <v>-2.0789316372736579E-3</v>
      </c>
    </row>
    <row r="42" spans="2:25" x14ac:dyDescent="0.3">
      <c r="B42" s="73">
        <v>44689</v>
      </c>
      <c r="C42">
        <v>49.3</v>
      </c>
      <c r="D42" s="77">
        <f t="shared" si="1"/>
        <v>1.2320328542094338E-2</v>
      </c>
      <c r="G42" s="149">
        <v>4023.89</v>
      </c>
      <c r="H42" s="77">
        <f t="shared" si="0"/>
        <v>-2.4118796897660701E-2</v>
      </c>
    </row>
    <row r="43" spans="2:25" x14ac:dyDescent="0.3">
      <c r="B43" s="73">
        <v>44696</v>
      </c>
      <c r="C43">
        <v>39.17</v>
      </c>
      <c r="D43" s="77">
        <f t="shared" si="1"/>
        <v>-0.20547667342799181</v>
      </c>
      <c r="G43" s="149">
        <v>3901.36</v>
      </c>
      <c r="H43" s="77">
        <f t="shared" si="0"/>
        <v>-3.0450633590878417E-2</v>
      </c>
    </row>
    <row r="44" spans="2:25" x14ac:dyDescent="0.3">
      <c r="B44" s="73">
        <v>44703</v>
      </c>
      <c r="C44">
        <v>37.770000000000003</v>
      </c>
      <c r="D44" s="77">
        <f t="shared" si="1"/>
        <v>-3.5741639009445964E-2</v>
      </c>
      <c r="G44" s="149">
        <v>4158.24</v>
      </c>
      <c r="H44" s="77">
        <f t="shared" si="0"/>
        <v>6.5843705784649362E-2</v>
      </c>
    </row>
    <row r="45" spans="2:25" x14ac:dyDescent="0.3">
      <c r="B45" s="73">
        <v>44710</v>
      </c>
      <c r="C45">
        <v>40.07</v>
      </c>
      <c r="D45" s="77">
        <f t="shared" si="1"/>
        <v>6.0894890124437301E-2</v>
      </c>
      <c r="G45" s="149">
        <v>4108.54</v>
      </c>
      <c r="H45" s="77">
        <f t="shared" si="0"/>
        <v>-1.1952172072799987E-2</v>
      </c>
    </row>
    <row r="46" spans="2:25" x14ac:dyDescent="0.3">
      <c r="B46" s="73">
        <v>44717</v>
      </c>
      <c r="C46">
        <v>38.159999999999997</v>
      </c>
      <c r="D46" s="77">
        <f t="shared" si="1"/>
        <v>-4.7666583478911999E-2</v>
      </c>
      <c r="G46" s="149">
        <v>3900.86</v>
      </c>
      <c r="H46" s="77">
        <f t="shared" si="0"/>
        <v>-5.0548369980577004E-2</v>
      </c>
    </row>
    <row r="47" spans="2:25" x14ac:dyDescent="0.3">
      <c r="B47" s="73">
        <v>44724</v>
      </c>
      <c r="C47">
        <v>38</v>
      </c>
      <c r="D47" s="77">
        <f t="shared" si="1"/>
        <v>-4.1928721174003302E-3</v>
      </c>
      <c r="G47" s="149">
        <v>3674.84</v>
      </c>
      <c r="H47" s="77">
        <f t="shared" si="0"/>
        <v>-5.7941069405208073E-2</v>
      </c>
    </row>
    <row r="48" spans="2:25" x14ac:dyDescent="0.3">
      <c r="B48" s="73">
        <v>44731</v>
      </c>
      <c r="C48">
        <v>38.19</v>
      </c>
      <c r="D48" s="77">
        <f t="shared" si="1"/>
        <v>4.9999999999999403E-3</v>
      </c>
      <c r="G48" s="149">
        <v>3911.74</v>
      </c>
      <c r="H48" s="77">
        <f t="shared" si="0"/>
        <v>6.4465391690522483E-2</v>
      </c>
    </row>
    <row r="49" spans="2:8" x14ac:dyDescent="0.3">
      <c r="B49" s="73">
        <v>44738</v>
      </c>
      <c r="C49">
        <v>39.67</v>
      </c>
      <c r="D49" s="77">
        <f t="shared" si="1"/>
        <v>3.8753600418957951E-2</v>
      </c>
      <c r="G49" s="149">
        <v>3825.33</v>
      </c>
      <c r="H49" s="77">
        <f t="shared" si="0"/>
        <v>-2.2089913951336197E-2</v>
      </c>
    </row>
    <row r="50" spans="2:8" x14ac:dyDescent="0.3">
      <c r="B50" s="73">
        <v>44745</v>
      </c>
      <c r="C50">
        <v>38.18</v>
      </c>
      <c r="D50" s="77">
        <f t="shared" si="1"/>
        <v>-3.7559868918578321E-2</v>
      </c>
      <c r="G50" s="149">
        <v>3899.38</v>
      </c>
      <c r="H50" s="77">
        <f t="shared" si="0"/>
        <v>1.9357807038869898E-2</v>
      </c>
    </row>
    <row r="51" spans="2:8" x14ac:dyDescent="0.3">
      <c r="B51" s="73">
        <v>44752</v>
      </c>
      <c r="C51">
        <v>34.6</v>
      </c>
      <c r="D51" s="77">
        <f t="shared" si="1"/>
        <v>-9.3766369827134585E-2</v>
      </c>
      <c r="G51" s="149">
        <v>3863.16</v>
      </c>
      <c r="H51" s="77">
        <f t="shared" si="0"/>
        <v>-9.2886561453359908E-3</v>
      </c>
    </row>
    <row r="52" spans="2:8" x14ac:dyDescent="0.3">
      <c r="B52" s="73">
        <v>44759</v>
      </c>
      <c r="C52">
        <v>37.58</v>
      </c>
      <c r="D52" s="77">
        <f t="shared" si="1"/>
        <v>8.6127167630057705E-2</v>
      </c>
      <c r="G52" s="149">
        <v>3961.63</v>
      </c>
      <c r="H52" s="77">
        <f t="shared" si="0"/>
        <v>2.5489495646051488E-2</v>
      </c>
    </row>
    <row r="53" spans="2:8" x14ac:dyDescent="0.3">
      <c r="B53" s="73">
        <v>44766</v>
      </c>
      <c r="C53">
        <v>39.229999999999997</v>
      </c>
      <c r="D53" s="77">
        <f t="shared" si="1"/>
        <v>4.3906333155933973E-2</v>
      </c>
      <c r="G53" s="149">
        <v>4130.29</v>
      </c>
      <c r="H53" s="77">
        <f t="shared" si="0"/>
        <v>4.2573385197507051E-2</v>
      </c>
    </row>
    <row r="54" spans="2:8" x14ac:dyDescent="0.3">
      <c r="B54" s="73">
        <v>44773</v>
      </c>
      <c r="C54">
        <v>40.799999999999997</v>
      </c>
      <c r="D54" s="77">
        <f t="shared" si="1"/>
        <v>4.0020392556716806E-2</v>
      </c>
      <c r="G54" s="149">
        <v>4145.1899999999996</v>
      </c>
      <c r="H54" s="77">
        <f t="shared" si="0"/>
        <v>3.6074948732412581E-3</v>
      </c>
    </row>
    <row r="55" spans="2:8" x14ac:dyDescent="0.3">
      <c r="B55" s="73">
        <v>44780</v>
      </c>
      <c r="C55">
        <v>42.94</v>
      </c>
      <c r="D55" s="77">
        <f t="shared" si="1"/>
        <v>5.2450980392156878E-2</v>
      </c>
      <c r="G55" s="149">
        <v>4280.1499999999996</v>
      </c>
      <c r="H55" s="77">
        <f t="shared" si="0"/>
        <v>3.2558218079267787E-2</v>
      </c>
    </row>
    <row r="56" spans="2:8" x14ac:dyDescent="0.3">
      <c r="B56" s="73">
        <v>44787</v>
      </c>
      <c r="C56">
        <v>44.19</v>
      </c>
      <c r="D56" s="77">
        <f t="shared" si="1"/>
        <v>2.9110386585933862E-2</v>
      </c>
      <c r="G56" s="149">
        <v>4228.4799999999996</v>
      </c>
      <c r="H56" s="77">
        <f t="shared" si="0"/>
        <v>-1.2072006822190829E-2</v>
      </c>
    </row>
    <row r="57" spans="2:8" x14ac:dyDescent="0.3">
      <c r="B57" s="73">
        <v>44794</v>
      </c>
      <c r="C57">
        <v>43.5</v>
      </c>
      <c r="D57" s="77">
        <f t="shared" si="1"/>
        <v>-1.5614392396469738E-2</v>
      </c>
      <c r="G57" s="149">
        <v>4057.66</v>
      </c>
      <c r="H57" s="77">
        <f t="shared" si="0"/>
        <v>-4.0397495080974656E-2</v>
      </c>
    </row>
    <row r="58" spans="2:8" x14ac:dyDescent="0.3">
      <c r="B58" s="73">
        <v>44801</v>
      </c>
      <c r="C58">
        <v>40.22</v>
      </c>
      <c r="D58" s="77">
        <f t="shared" si="1"/>
        <v>-7.5402298850574742E-2</v>
      </c>
      <c r="G58" s="149">
        <v>3924.26</v>
      </c>
      <c r="H58" s="77">
        <f t="shared" si="0"/>
        <v>-3.2876091146128467E-2</v>
      </c>
    </row>
    <row r="59" spans="2:8" x14ac:dyDescent="0.3">
      <c r="B59" s="73">
        <v>44808</v>
      </c>
      <c r="C59">
        <v>38.619999999999997</v>
      </c>
      <c r="D59" s="77">
        <f t="shared" si="1"/>
        <v>-3.9781203381402321E-2</v>
      </c>
      <c r="G59" s="149">
        <v>4067.36</v>
      </c>
      <c r="H59" s="77">
        <f t="shared" si="0"/>
        <v>3.6465473745368529E-2</v>
      </c>
    </row>
    <row r="60" spans="2:8" x14ac:dyDescent="0.3">
      <c r="B60" s="73">
        <v>44815</v>
      </c>
      <c r="C60">
        <v>41.81</v>
      </c>
      <c r="D60" s="77">
        <f t="shared" si="1"/>
        <v>8.2599689280165853E-2</v>
      </c>
      <c r="G60" s="149">
        <v>3873.33</v>
      </c>
      <c r="H60" s="77">
        <f t="shared" si="0"/>
        <v>-4.770416191337875E-2</v>
      </c>
    </row>
    <row r="61" spans="2:8" x14ac:dyDescent="0.3">
      <c r="B61" s="73">
        <v>44822</v>
      </c>
      <c r="C61">
        <v>41.4</v>
      </c>
      <c r="D61" s="77">
        <f t="shared" si="1"/>
        <v>-9.8062664434346736E-3</v>
      </c>
      <c r="G61" s="149">
        <v>3693.23</v>
      </c>
      <c r="H61" s="77">
        <f t="shared" si="0"/>
        <v>-4.6497458259430496E-2</v>
      </c>
    </row>
    <row r="62" spans="2:8" x14ac:dyDescent="0.3">
      <c r="B62" s="73">
        <v>44829</v>
      </c>
      <c r="C62">
        <v>41.5</v>
      </c>
      <c r="D62" s="77">
        <f t="shared" si="1"/>
        <v>2.4154589371981022E-3</v>
      </c>
      <c r="G62" s="149">
        <v>3585.62</v>
      </c>
      <c r="H62" s="77">
        <f t="shared" si="0"/>
        <v>-2.9137096796029525E-2</v>
      </c>
    </row>
    <row r="63" spans="2:8" x14ac:dyDescent="0.3">
      <c r="B63" s="73">
        <v>44836</v>
      </c>
      <c r="C63">
        <v>43.9</v>
      </c>
      <c r="D63" s="77">
        <f t="shared" si="1"/>
        <v>5.7831325301204786E-2</v>
      </c>
      <c r="G63" s="149">
        <v>3639.66</v>
      </c>
      <c r="H63" s="77">
        <f t="shared" si="0"/>
        <v>1.5071312632124979E-2</v>
      </c>
    </row>
    <row r="64" spans="2:8" x14ac:dyDescent="0.3">
      <c r="B64" s="73">
        <v>44843</v>
      </c>
      <c r="C64">
        <v>49.66</v>
      </c>
      <c r="D64" s="77">
        <f t="shared" si="1"/>
        <v>0.13120728929384962</v>
      </c>
      <c r="G64" s="149">
        <v>3583.07</v>
      </c>
      <c r="H64" s="77">
        <f t="shared" si="0"/>
        <v>-1.5548155596951279E-2</v>
      </c>
    </row>
    <row r="65" spans="2:8" x14ac:dyDescent="0.3">
      <c r="B65" s="73">
        <v>44850</v>
      </c>
      <c r="C65">
        <v>50.5</v>
      </c>
      <c r="D65" s="77">
        <f t="shared" si="1"/>
        <v>1.6915022150624313E-2</v>
      </c>
      <c r="G65" s="149">
        <v>3752.75</v>
      </c>
      <c r="H65" s="77">
        <f t="shared" si="0"/>
        <v>4.7356038257695167E-2</v>
      </c>
    </row>
    <row r="66" spans="2:8" x14ac:dyDescent="0.3">
      <c r="B66" s="73">
        <v>44857</v>
      </c>
      <c r="C66">
        <v>50.71</v>
      </c>
      <c r="D66" s="77">
        <f t="shared" si="1"/>
        <v>4.1584158415841751E-3</v>
      </c>
      <c r="G66" s="149">
        <v>3901.06</v>
      </c>
      <c r="H66" s="77">
        <f t="shared" si="0"/>
        <v>3.9520351742055808E-2</v>
      </c>
    </row>
    <row r="67" spans="2:8" x14ac:dyDescent="0.3">
      <c r="B67" s="73"/>
      <c r="D67" s="77"/>
      <c r="G67" s="3"/>
      <c r="H67" s="77"/>
    </row>
    <row r="68" spans="2:8" x14ac:dyDescent="0.3">
      <c r="B68" s="73"/>
      <c r="D68" s="77"/>
      <c r="G68" s="3"/>
      <c r="H68" s="77"/>
    </row>
    <row r="69" spans="2:8" x14ac:dyDescent="0.3">
      <c r="B69" s="73"/>
      <c r="D69" s="77"/>
      <c r="G69" s="3"/>
      <c r="H69" s="77"/>
    </row>
  </sheetData>
  <mergeCells count="7">
    <mergeCell ref="R8:U8"/>
    <mergeCell ref="R10:U10"/>
    <mergeCell ref="J16:N25"/>
    <mergeCell ref="B2:D2"/>
    <mergeCell ref="B4:E4"/>
    <mergeCell ref="G4:H4"/>
    <mergeCell ref="J4:K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93C88-8CEA-483F-9AF7-C48B3C35752B}">
  <dimension ref="B2:Y66"/>
  <sheetViews>
    <sheetView showGridLines="0" workbookViewId="0">
      <selection activeCell="G12" sqref="G12"/>
    </sheetView>
  </sheetViews>
  <sheetFormatPr defaultRowHeight="14.4" x14ac:dyDescent="0.3"/>
  <cols>
    <col min="2" max="2" width="14.33203125" customWidth="1"/>
    <col min="3" max="3" width="12.88671875" customWidth="1"/>
    <col min="4" max="4" width="13.44140625" customWidth="1"/>
    <col min="7" max="7" width="14.77734375" customWidth="1"/>
    <col min="10" max="10" width="23.44140625" customWidth="1"/>
    <col min="12" max="12" width="18" customWidth="1"/>
    <col min="14" max="14" width="21.6640625" customWidth="1"/>
  </cols>
  <sheetData>
    <row r="2" spans="2:19" x14ac:dyDescent="0.3">
      <c r="B2" s="346" t="s">
        <v>52</v>
      </c>
      <c r="C2" s="346"/>
      <c r="D2" s="346"/>
    </row>
    <row r="3" spans="2:19" x14ac:dyDescent="0.3">
      <c r="B3" s="68"/>
      <c r="J3" s="62"/>
    </row>
    <row r="4" spans="2:19" x14ac:dyDescent="0.3">
      <c r="B4" s="344" t="str">
        <f>'Data-competitors'!B8</f>
        <v>Meta Platforms, Inc.</v>
      </c>
      <c r="C4" s="344"/>
      <c r="D4" s="344"/>
      <c r="E4" s="344"/>
      <c r="G4" s="344" t="str">
        <f>'Beta-Twitter Inc'!G4:H4</f>
        <v>S&amp;P 500 Returns</v>
      </c>
      <c r="H4" s="344"/>
      <c r="I4" s="69"/>
      <c r="J4" s="344" t="s">
        <v>53</v>
      </c>
      <c r="K4" s="344"/>
      <c r="L4" s="69"/>
    </row>
    <row r="6" spans="2:19" x14ac:dyDescent="0.3">
      <c r="B6" s="70" t="s">
        <v>54</v>
      </c>
      <c r="C6" s="70" t="s">
        <v>55</v>
      </c>
      <c r="D6" s="70" t="s">
        <v>56</v>
      </c>
      <c r="E6" s="10"/>
      <c r="F6" s="10"/>
      <c r="G6" s="70" t="s">
        <v>55</v>
      </c>
      <c r="H6" s="70" t="s">
        <v>56</v>
      </c>
      <c r="J6" t="s">
        <v>57</v>
      </c>
      <c r="K6" s="71">
        <f>O10</f>
        <v>0.91251008713722026</v>
      </c>
      <c r="N6" t="s">
        <v>58</v>
      </c>
      <c r="O6" s="71">
        <f>SLOPE(D8:D66,H8:H66)</f>
        <v>0.91251008713722082</v>
      </c>
      <c r="P6" s="29" t="s">
        <v>59</v>
      </c>
      <c r="Q6" s="72"/>
      <c r="R6" s="72"/>
      <c r="S6" s="30"/>
    </row>
    <row r="7" spans="2:19" x14ac:dyDescent="0.3">
      <c r="B7" s="73">
        <f>'Beta-Twitter Inc'!B7</f>
        <v>44444</v>
      </c>
      <c r="C7">
        <v>378.69</v>
      </c>
      <c r="D7" s="8"/>
      <c r="G7" s="74">
        <f>'Beta-Twitter Inc'!G7</f>
        <v>4458.58</v>
      </c>
      <c r="H7" s="8"/>
      <c r="J7" t="s">
        <v>60</v>
      </c>
      <c r="K7" s="43">
        <v>0.5</v>
      </c>
      <c r="L7" s="75"/>
      <c r="O7" s="71"/>
      <c r="P7" s="76"/>
      <c r="Q7" s="76"/>
      <c r="R7" s="76"/>
      <c r="S7" s="76"/>
    </row>
    <row r="8" spans="2:19" x14ac:dyDescent="0.3">
      <c r="B8" s="73">
        <f>'Beta-Twitter Inc'!B8</f>
        <v>44451</v>
      </c>
      <c r="C8">
        <v>364.72</v>
      </c>
      <c r="D8" s="77">
        <f>(C8-C7)/C7</f>
        <v>-3.6890332461908079E-2</v>
      </c>
      <c r="G8" s="74">
        <f>'Beta-Twitter Inc'!G8</f>
        <v>4432.99</v>
      </c>
      <c r="H8" s="77">
        <f t="shared" ref="H8:H66" si="0">(G8-G7)/G7</f>
        <v>-5.7394955344527059E-3</v>
      </c>
      <c r="N8" t="s">
        <v>61</v>
      </c>
      <c r="O8" s="71">
        <f>_xlfn.COVARIANCE.S(D8:D66,H8:H66)/_xlfn.VAR.S(H8:H66)</f>
        <v>0.9125100871372207</v>
      </c>
      <c r="P8" s="341" t="s">
        <v>62</v>
      </c>
      <c r="Q8" s="341"/>
      <c r="R8" s="341"/>
      <c r="S8" s="341"/>
    </row>
    <row r="9" spans="2:19" x14ac:dyDescent="0.3">
      <c r="B9" s="73">
        <f>'Beta-Twitter Inc'!B9</f>
        <v>44458</v>
      </c>
      <c r="C9">
        <v>352.96</v>
      </c>
      <c r="D9" s="77">
        <f t="shared" ref="D9:D66" si="1">(C9-C8)/C8</f>
        <v>-3.2243913138846364E-2</v>
      </c>
      <c r="G9" s="74">
        <f>'Beta-Twitter Inc'!G9</f>
        <v>4455.4799999999996</v>
      </c>
      <c r="H9" s="77">
        <f t="shared" si="0"/>
        <v>5.0733252274423766E-3</v>
      </c>
      <c r="J9" t="s">
        <v>63</v>
      </c>
      <c r="K9">
        <v>1</v>
      </c>
      <c r="O9" s="71"/>
      <c r="P9" s="76"/>
      <c r="Q9" s="76"/>
      <c r="R9" s="76"/>
      <c r="S9" s="76"/>
    </row>
    <row r="10" spans="2:19" x14ac:dyDescent="0.3">
      <c r="B10" s="73">
        <f>'Beta-Twitter Inc'!B10</f>
        <v>44465</v>
      </c>
      <c r="C10">
        <v>343.01</v>
      </c>
      <c r="D10" s="77">
        <f t="shared" si="1"/>
        <v>-2.8190163191296434E-2</v>
      </c>
      <c r="G10" s="74">
        <f>'Beta-Twitter Inc'!G10</f>
        <v>4357.04</v>
      </c>
      <c r="H10" s="77">
        <f t="shared" si="0"/>
        <v>-2.209414024975976E-2</v>
      </c>
      <c r="J10" t="s">
        <v>64</v>
      </c>
      <c r="K10" s="40">
        <f>100%-K7</f>
        <v>0.5</v>
      </c>
      <c r="N10" t="s">
        <v>65</v>
      </c>
      <c r="O10" s="71">
        <f>R34</f>
        <v>0.91251008713722026</v>
      </c>
      <c r="P10" s="341" t="s">
        <v>66</v>
      </c>
      <c r="Q10" s="341"/>
      <c r="R10" s="341"/>
      <c r="S10" s="341"/>
    </row>
    <row r="11" spans="2:19" x14ac:dyDescent="0.3">
      <c r="B11" s="73">
        <f>'Beta-Twitter Inc'!B11</f>
        <v>44472</v>
      </c>
      <c r="C11">
        <v>330.05</v>
      </c>
      <c r="D11" s="77">
        <f t="shared" si="1"/>
        <v>-3.778315501005796E-2</v>
      </c>
      <c r="G11" s="74">
        <f>'Beta-Twitter Inc'!G11</f>
        <v>4391.34</v>
      </c>
      <c r="H11" s="77">
        <f t="shared" si="0"/>
        <v>7.8723169858436418E-3</v>
      </c>
    </row>
    <row r="12" spans="2:19" x14ac:dyDescent="0.3">
      <c r="B12" s="73">
        <f>'Beta-Twitter Inc'!B12</f>
        <v>44479</v>
      </c>
      <c r="C12">
        <v>324.76</v>
      </c>
      <c r="D12" s="77">
        <f>(C12-C9)/C9</f>
        <v>-7.9895738893925636E-2</v>
      </c>
      <c r="G12" s="74">
        <f>'Beta-Twitter Inc'!G12</f>
        <v>4471.37</v>
      </c>
      <c r="H12" s="77">
        <f t="shared" si="0"/>
        <v>1.8224505504014662E-2</v>
      </c>
      <c r="J12" s="72" t="s">
        <v>67</v>
      </c>
      <c r="K12" s="78">
        <f>(K6*K7)+(K9*K10)</f>
        <v>0.95625504356861013</v>
      </c>
    </row>
    <row r="13" spans="2:19" x14ac:dyDescent="0.3">
      <c r="B13" s="73">
        <f>'Beta-Twitter Inc'!B13</f>
        <v>44486</v>
      </c>
      <c r="C13">
        <v>324.61</v>
      </c>
      <c r="D13" s="77">
        <f t="shared" si="1"/>
        <v>-4.618795418154245E-4</v>
      </c>
      <c r="G13" s="74">
        <f>'Beta-Twitter Inc'!G13</f>
        <v>4544.8999999999996</v>
      </c>
      <c r="H13" s="77">
        <f t="shared" si="0"/>
        <v>1.6444624354504268E-2</v>
      </c>
    </row>
    <row r="14" spans="2:19" x14ac:dyDescent="0.3">
      <c r="B14" s="73">
        <f>'Beta-Twitter Inc'!B14</f>
        <v>44493</v>
      </c>
      <c r="C14">
        <v>323.57</v>
      </c>
      <c r="D14" s="77">
        <f t="shared" si="1"/>
        <v>-3.2038446135363064E-3</v>
      </c>
      <c r="G14" s="74">
        <f>'Beta-Twitter Inc'!G14</f>
        <v>4605.38</v>
      </c>
      <c r="H14" s="77">
        <f t="shared" si="0"/>
        <v>1.330722348126482E-2</v>
      </c>
    </row>
    <row r="15" spans="2:19" x14ac:dyDescent="0.3">
      <c r="B15" s="73">
        <f>'Beta-Twitter Inc'!B15</f>
        <v>44500</v>
      </c>
      <c r="C15">
        <v>341.13</v>
      </c>
      <c r="D15" s="77">
        <f t="shared" si="1"/>
        <v>5.4269555273974729E-2</v>
      </c>
      <c r="G15" s="74">
        <f>'Beta-Twitter Inc'!G15</f>
        <v>4697.53</v>
      </c>
      <c r="H15" s="77">
        <f t="shared" si="0"/>
        <v>2.0009206623557586E-2</v>
      </c>
      <c r="J15" s="62"/>
    </row>
    <row r="16" spans="2:19" x14ac:dyDescent="0.3">
      <c r="B16" s="73">
        <f>'Beta-Twitter Inc'!B16</f>
        <v>44507</v>
      </c>
      <c r="C16">
        <v>340.89</v>
      </c>
      <c r="D16" s="77">
        <f t="shared" si="1"/>
        <v>-7.0354410342100989E-4</v>
      </c>
      <c r="G16" s="74">
        <f>'Beta-Twitter Inc'!G16</f>
        <v>4682.8500000000004</v>
      </c>
      <c r="H16" s="77">
        <f t="shared" si="0"/>
        <v>-3.1250465670255184E-3</v>
      </c>
      <c r="J16" s="79"/>
      <c r="K16" s="79"/>
      <c r="L16" s="79"/>
    </row>
    <row r="17" spans="2:25" x14ac:dyDescent="0.3">
      <c r="B17" s="73">
        <f>'Beta-Twitter Inc'!B17</f>
        <v>44514</v>
      </c>
      <c r="C17">
        <v>345.3</v>
      </c>
      <c r="D17" s="77">
        <f t="shared" si="1"/>
        <v>1.2936724456569642E-2</v>
      </c>
      <c r="G17" s="74">
        <f>'Beta-Twitter Inc'!G17</f>
        <v>4697.96</v>
      </c>
      <c r="H17" s="77">
        <f t="shared" si="0"/>
        <v>3.2266675208472771E-3</v>
      </c>
      <c r="J17" s="79"/>
      <c r="K17" s="79"/>
      <c r="L17" s="79"/>
      <c r="Q17" t="s">
        <v>69</v>
      </c>
    </row>
    <row r="18" spans="2:25" ht="15" thickBot="1" x14ac:dyDescent="0.35">
      <c r="B18" s="73">
        <f>'Beta-Twitter Inc'!B18</f>
        <v>44521</v>
      </c>
      <c r="C18">
        <v>333.12</v>
      </c>
      <c r="D18" s="77">
        <f t="shared" si="1"/>
        <v>-3.5273675065160749E-2</v>
      </c>
      <c r="G18" s="74">
        <f>'Beta-Twitter Inc'!G18</f>
        <v>4594.62</v>
      </c>
      <c r="H18" s="77">
        <f t="shared" si="0"/>
        <v>-2.1996781581792978E-2</v>
      </c>
      <c r="J18" s="79"/>
      <c r="K18" s="79"/>
      <c r="L18" s="79"/>
      <c r="N18" s="80"/>
      <c r="O18" s="80"/>
    </row>
    <row r="19" spans="2:25" x14ac:dyDescent="0.3">
      <c r="B19" s="73">
        <f>'Beta-Twitter Inc'!B19</f>
        <v>44528</v>
      </c>
      <c r="C19">
        <v>306.83999999999997</v>
      </c>
      <c r="D19" s="77">
        <f t="shared" si="1"/>
        <v>-7.8890489913544762E-2</v>
      </c>
      <c r="G19" s="74">
        <f>'Beta-Twitter Inc'!G19</f>
        <v>4538.43</v>
      </c>
      <c r="H19" s="77">
        <f t="shared" si="0"/>
        <v>-1.2229520613238875E-2</v>
      </c>
      <c r="J19" s="79"/>
      <c r="K19" s="79"/>
      <c r="L19" s="79"/>
      <c r="Q19" s="191" t="s">
        <v>70</v>
      </c>
      <c r="R19" s="191"/>
    </row>
    <row r="20" spans="2:25" x14ac:dyDescent="0.3">
      <c r="B20" s="73">
        <f>'Beta-Twitter Inc'!B20</f>
        <v>44535</v>
      </c>
      <c r="C20">
        <v>329.75</v>
      </c>
      <c r="D20" s="77">
        <f t="shared" si="1"/>
        <v>7.4664320166862294E-2</v>
      </c>
      <c r="G20" s="74">
        <f>'Beta-Twitter Inc'!G20</f>
        <v>4712.0200000000004</v>
      </c>
      <c r="H20" s="77">
        <f t="shared" si="0"/>
        <v>3.8248909865305873E-2</v>
      </c>
      <c r="J20" s="79"/>
      <c r="K20" s="79"/>
      <c r="L20" s="79"/>
      <c r="Q20" t="s">
        <v>71</v>
      </c>
      <c r="R20">
        <v>0.38474591847481543</v>
      </c>
    </row>
    <row r="21" spans="2:25" x14ac:dyDescent="0.3">
      <c r="B21" s="73">
        <f>'Beta-Twitter Inc'!B21</f>
        <v>44542</v>
      </c>
      <c r="C21">
        <v>333.79</v>
      </c>
      <c r="D21" s="77">
        <f t="shared" si="1"/>
        <v>1.2251705837755937E-2</v>
      </c>
      <c r="G21" s="74">
        <f>'Beta-Twitter Inc'!G21</f>
        <v>4620.6400000000003</v>
      </c>
      <c r="H21" s="77">
        <f t="shared" si="0"/>
        <v>-1.9392956736176862E-2</v>
      </c>
      <c r="J21" s="79"/>
      <c r="K21" s="79"/>
      <c r="L21" s="79"/>
      <c r="N21" s="80"/>
      <c r="O21" s="80"/>
      <c r="Q21" t="s">
        <v>72</v>
      </c>
      <c r="R21">
        <v>0.1480294217830293</v>
      </c>
    </row>
    <row r="22" spans="2:25" x14ac:dyDescent="0.3">
      <c r="B22" s="73">
        <f>'Beta-Twitter Inc'!B22</f>
        <v>44549</v>
      </c>
      <c r="C22">
        <v>335.24</v>
      </c>
      <c r="D22" s="77">
        <f t="shared" si="1"/>
        <v>4.3440486533448831E-3</v>
      </c>
      <c r="G22" s="74">
        <f>'Beta-Twitter Inc'!G22</f>
        <v>4725.79</v>
      </c>
      <c r="H22" s="77">
        <f t="shared" si="0"/>
        <v>2.2756587831988563E-2</v>
      </c>
      <c r="J22" s="79"/>
      <c r="K22" s="79"/>
      <c r="L22" s="79"/>
      <c r="Q22" t="s">
        <v>73</v>
      </c>
      <c r="R22">
        <v>0.13308256953360875</v>
      </c>
    </row>
    <row r="23" spans="2:25" x14ac:dyDescent="0.3">
      <c r="B23" s="73">
        <f>'Beta-Twitter Inc'!B23</f>
        <v>44556</v>
      </c>
      <c r="C23">
        <v>336.35</v>
      </c>
      <c r="D23" s="77">
        <f t="shared" si="1"/>
        <v>3.3110607326095145E-3</v>
      </c>
      <c r="G23" s="74">
        <f>'Beta-Twitter Inc'!G23</f>
        <v>4766.18</v>
      </c>
      <c r="H23" s="77">
        <f t="shared" si="0"/>
        <v>8.5467191728791012E-3</v>
      </c>
      <c r="J23" s="79"/>
      <c r="K23" s="79"/>
      <c r="L23" s="79"/>
      <c r="Q23" t="s">
        <v>74</v>
      </c>
      <c r="R23">
        <v>6.5511054454307618E-2</v>
      </c>
    </row>
    <row r="24" spans="2:25" ht="15" thickBot="1" x14ac:dyDescent="0.35">
      <c r="B24" s="73">
        <f>'Beta-Twitter Inc'!B24</f>
        <v>44563</v>
      </c>
      <c r="C24">
        <v>331.79</v>
      </c>
      <c r="D24" s="77">
        <f t="shared" si="1"/>
        <v>-1.3557306377285571E-2</v>
      </c>
      <c r="G24" s="74">
        <f>'Beta-Twitter Inc'!G24</f>
        <v>4677.03</v>
      </c>
      <c r="H24" s="77">
        <f t="shared" si="0"/>
        <v>-1.8704706914132604E-2</v>
      </c>
      <c r="J24" s="79"/>
      <c r="K24" s="79"/>
      <c r="L24" s="79"/>
      <c r="Q24" s="81" t="s">
        <v>75</v>
      </c>
      <c r="R24" s="81">
        <v>59</v>
      </c>
    </row>
    <row r="25" spans="2:25" x14ac:dyDescent="0.3">
      <c r="B25" s="73">
        <f>'Beta-Twitter Inc'!B25</f>
        <v>44570</v>
      </c>
      <c r="C25">
        <v>331.9</v>
      </c>
      <c r="D25" s="77">
        <f t="shared" si="1"/>
        <v>3.3153500708266311E-4</v>
      </c>
      <c r="G25" s="74">
        <f>'Beta-Twitter Inc'!G25</f>
        <v>4662.8500000000004</v>
      </c>
      <c r="H25" s="77">
        <f t="shared" si="0"/>
        <v>-3.0318385813217752E-3</v>
      </c>
      <c r="J25" s="79"/>
      <c r="K25" s="79"/>
      <c r="L25" s="79"/>
    </row>
    <row r="26" spans="2:25" ht="15" thickBot="1" x14ac:dyDescent="0.35">
      <c r="B26" s="73">
        <f>'Beta-Twitter Inc'!B26</f>
        <v>44577</v>
      </c>
      <c r="C26">
        <v>303.17</v>
      </c>
      <c r="D26" s="77">
        <f t="shared" si="1"/>
        <v>-8.6562217535402122E-2</v>
      </c>
      <c r="G26" s="74">
        <f>'Beta-Twitter Inc'!G26</f>
        <v>4397.9399999999996</v>
      </c>
      <c r="H26" s="77">
        <f t="shared" si="0"/>
        <v>-5.681289340210402E-2</v>
      </c>
      <c r="Q26" t="s">
        <v>76</v>
      </c>
    </row>
    <row r="27" spans="2:25" x14ac:dyDescent="0.3">
      <c r="B27" s="73">
        <f>'Beta-Twitter Inc'!B27</f>
        <v>44584</v>
      </c>
      <c r="C27">
        <v>301.70999999999998</v>
      </c>
      <c r="D27" s="77">
        <f t="shared" si="1"/>
        <v>-4.8157799254544857E-3</v>
      </c>
      <c r="G27" s="74">
        <f>'Beta-Twitter Inc'!G27</f>
        <v>4431.8500000000004</v>
      </c>
      <c r="H27" s="77">
        <f t="shared" si="0"/>
        <v>7.7104280640483422E-3</v>
      </c>
      <c r="Q27" s="190"/>
      <c r="R27" s="190" t="s">
        <v>77</v>
      </c>
      <c r="S27" s="190" t="s">
        <v>78</v>
      </c>
      <c r="T27" s="190" t="s">
        <v>79</v>
      </c>
      <c r="U27" s="190" t="s">
        <v>80</v>
      </c>
      <c r="V27" s="190" t="s">
        <v>81</v>
      </c>
    </row>
    <row r="28" spans="2:25" x14ac:dyDescent="0.3">
      <c r="B28" s="73">
        <f>'Beta-Twitter Inc'!B28</f>
        <v>44591</v>
      </c>
      <c r="C28">
        <v>237.09</v>
      </c>
      <c r="D28" s="77">
        <f t="shared" si="1"/>
        <v>-0.21417917868151529</v>
      </c>
      <c r="G28" s="74">
        <f>'Beta-Twitter Inc'!G28</f>
        <v>4500.53</v>
      </c>
      <c r="H28" s="77">
        <f t="shared" si="0"/>
        <v>1.5496914381127378E-2</v>
      </c>
      <c r="Q28" t="s">
        <v>82</v>
      </c>
      <c r="R28">
        <v>1</v>
      </c>
      <c r="S28">
        <v>4.2503772744886426E-2</v>
      </c>
      <c r="T28">
        <v>4.2503772744886426E-2</v>
      </c>
      <c r="U28">
        <v>9.9037188106792264</v>
      </c>
      <c r="V28">
        <v>2.6227721094320014E-3</v>
      </c>
    </row>
    <row r="29" spans="2:25" x14ac:dyDescent="0.3">
      <c r="B29" s="73">
        <f>'Beta-Twitter Inc'!B29</f>
        <v>44598</v>
      </c>
      <c r="C29">
        <v>219.55</v>
      </c>
      <c r="D29" s="77">
        <f t="shared" si="1"/>
        <v>-7.3980345016660301E-2</v>
      </c>
      <c r="G29" s="74">
        <f>'Beta-Twitter Inc'!G29</f>
        <v>4418.6400000000003</v>
      </c>
      <c r="H29" s="77">
        <f t="shared" si="0"/>
        <v>-1.8195634736353147E-2</v>
      </c>
      <c r="N29" s="82"/>
      <c r="O29" s="82"/>
      <c r="P29" s="82"/>
      <c r="Q29" t="s">
        <v>83</v>
      </c>
      <c r="R29">
        <v>57</v>
      </c>
      <c r="S29">
        <v>0.24462680057576969</v>
      </c>
      <c r="T29">
        <v>4.291698255715258E-3</v>
      </c>
    </row>
    <row r="30" spans="2:25" ht="15" thickBot="1" x14ac:dyDescent="0.35">
      <c r="B30" s="73">
        <f>'Beta-Twitter Inc'!B30</f>
        <v>44605</v>
      </c>
      <c r="C30">
        <v>206.16</v>
      </c>
      <c r="D30" s="77">
        <f t="shared" si="1"/>
        <v>-6.0988385333637048E-2</v>
      </c>
      <c r="G30" s="74">
        <f>'Beta-Twitter Inc'!G30</f>
        <v>4348.87</v>
      </c>
      <c r="H30" s="77">
        <f t="shared" si="0"/>
        <v>-1.5789926312168547E-2</v>
      </c>
      <c r="Q30" s="81" t="s">
        <v>84</v>
      </c>
      <c r="R30" s="81">
        <v>58</v>
      </c>
      <c r="S30" s="81">
        <v>0.28713057332065611</v>
      </c>
      <c r="T30" s="81"/>
      <c r="U30" s="81"/>
      <c r="V30" s="81"/>
    </row>
    <row r="31" spans="2:25" ht="15" thickBot="1" x14ac:dyDescent="0.35">
      <c r="B31" s="73">
        <f>'Beta-Twitter Inc'!B31</f>
        <v>44612</v>
      </c>
      <c r="C31">
        <v>210.48</v>
      </c>
      <c r="D31" s="77">
        <f t="shared" si="1"/>
        <v>2.095459837019787E-2</v>
      </c>
      <c r="G31" s="74">
        <f>'Beta-Twitter Inc'!G31</f>
        <v>4384.6499999999996</v>
      </c>
      <c r="H31" s="77">
        <f t="shared" si="0"/>
        <v>8.2274245953545978E-3</v>
      </c>
    </row>
    <row r="32" spans="2:25" x14ac:dyDescent="0.3">
      <c r="B32" s="73">
        <f>'Beta-Twitter Inc'!B32</f>
        <v>44619</v>
      </c>
      <c r="C32">
        <v>200.06</v>
      </c>
      <c r="D32" s="77">
        <f t="shared" si="1"/>
        <v>-4.9505891296085083E-2</v>
      </c>
      <c r="G32" s="74">
        <f>'Beta-Twitter Inc'!G32</f>
        <v>4328.87</v>
      </c>
      <c r="H32" s="77">
        <f t="shared" si="0"/>
        <v>-1.2721653951854709E-2</v>
      </c>
      <c r="Q32" s="190"/>
      <c r="R32" s="190" t="s">
        <v>85</v>
      </c>
      <c r="S32" s="190" t="s">
        <v>74</v>
      </c>
      <c r="T32" s="190" t="s">
        <v>86</v>
      </c>
      <c r="U32" s="190" t="s">
        <v>87</v>
      </c>
      <c r="V32" s="190" t="s">
        <v>88</v>
      </c>
      <c r="W32" s="190" t="s">
        <v>89</v>
      </c>
      <c r="X32" s="190" t="s">
        <v>90</v>
      </c>
      <c r="Y32" s="190" t="s">
        <v>91</v>
      </c>
    </row>
    <row r="33" spans="2:25" x14ac:dyDescent="0.3">
      <c r="B33" s="73">
        <f>'Beta-Twitter Inc'!B33</f>
        <v>44626</v>
      </c>
      <c r="C33">
        <v>187.61</v>
      </c>
      <c r="D33" s="77">
        <f t="shared" si="1"/>
        <v>-6.2231330600819694E-2</v>
      </c>
      <c r="G33" s="74">
        <f>'Beta-Twitter Inc'!G33</f>
        <v>4204.3100000000004</v>
      </c>
      <c r="H33" s="77">
        <f t="shared" si="0"/>
        <v>-2.8774252865066286E-2</v>
      </c>
      <c r="Q33" t="s">
        <v>92</v>
      </c>
      <c r="R33">
        <v>-1.6984918412775083E-2</v>
      </c>
      <c r="S33">
        <v>8.5453122143528317E-3</v>
      </c>
      <c r="T33">
        <v>-1.9876299410391307</v>
      </c>
      <c r="U33">
        <v>5.1664333247659962E-2</v>
      </c>
      <c r="V33">
        <v>-3.4096610960874171E-2</v>
      </c>
      <c r="W33">
        <v>1.2677413532400858E-4</v>
      </c>
      <c r="X33">
        <v>-3.4096610960874171E-2</v>
      </c>
      <c r="Y33">
        <v>1.2677413532400858E-4</v>
      </c>
    </row>
    <row r="34" spans="2:25" ht="15" thickBot="1" x14ac:dyDescent="0.35">
      <c r="B34" s="73">
        <f>'Beta-Twitter Inc'!B34</f>
        <v>44633</v>
      </c>
      <c r="C34">
        <v>216.49</v>
      </c>
      <c r="D34" s="77">
        <f>(C34-C33)/C33</f>
        <v>0.1539363573370289</v>
      </c>
      <c r="G34" s="74">
        <f>'Beta-Twitter Inc'!G34</f>
        <v>4463.12</v>
      </c>
      <c r="H34" s="77">
        <f t="shared" si="0"/>
        <v>6.1558258073262789E-2</v>
      </c>
      <c r="N34" s="82"/>
      <c r="O34" s="82"/>
      <c r="P34" s="82"/>
      <c r="Q34" s="81" t="s">
        <v>93</v>
      </c>
      <c r="R34" s="81">
        <v>0.91251008713722026</v>
      </c>
      <c r="S34" s="81">
        <v>0.28996028860760203</v>
      </c>
      <c r="T34" s="81">
        <v>3.1470174468342575</v>
      </c>
      <c r="U34" s="81">
        <v>2.6227721094320244E-3</v>
      </c>
      <c r="V34" s="81">
        <v>0.33187462463444561</v>
      </c>
      <c r="W34" s="81">
        <v>1.493145549639995</v>
      </c>
      <c r="X34" s="81">
        <v>0.33187462463444561</v>
      </c>
      <c r="Y34" s="81">
        <v>1.493145549639995</v>
      </c>
    </row>
    <row r="35" spans="2:25" x14ac:dyDescent="0.3">
      <c r="B35" s="73">
        <f>'Beta-Twitter Inc'!B35</f>
        <v>44640</v>
      </c>
      <c r="C35">
        <v>221.82</v>
      </c>
      <c r="D35" s="77">
        <f>(C35-C33)/C33</f>
        <v>0.18234635680400818</v>
      </c>
      <c r="G35" s="74">
        <f>'Beta-Twitter Inc'!G35</f>
        <v>4543.0600000000004</v>
      </c>
      <c r="H35" s="77">
        <f t="shared" si="0"/>
        <v>1.7911236982200908E-2</v>
      </c>
    </row>
    <row r="36" spans="2:25" x14ac:dyDescent="0.3">
      <c r="B36" s="73">
        <f>'Beta-Twitter Inc'!B36</f>
        <v>44647</v>
      </c>
      <c r="C36">
        <v>224.85</v>
      </c>
      <c r="D36" s="77">
        <f t="shared" si="1"/>
        <v>1.3659724100622132E-2</v>
      </c>
      <c r="G36" s="74">
        <f>'Beta-Twitter Inc'!G36</f>
        <v>4545.8599999999997</v>
      </c>
      <c r="H36" s="77">
        <f t="shared" si="0"/>
        <v>6.1632467984118022E-4</v>
      </c>
    </row>
    <row r="37" spans="2:25" x14ac:dyDescent="0.3">
      <c r="B37" s="73">
        <f>'Beta-Twitter Inc'!B37</f>
        <v>44654</v>
      </c>
      <c r="C37">
        <v>222.33</v>
      </c>
      <c r="D37" s="77">
        <f t="shared" si="1"/>
        <v>-1.1207471647765097E-2</v>
      </c>
      <c r="G37" s="74">
        <f>'Beta-Twitter Inc'!G37</f>
        <v>4488.28</v>
      </c>
      <c r="H37" s="77">
        <f t="shared" si="0"/>
        <v>-1.2666470150862528E-2</v>
      </c>
    </row>
    <row r="38" spans="2:25" x14ac:dyDescent="0.3">
      <c r="B38" s="73">
        <f>'Beta-Twitter Inc'!B38</f>
        <v>44661</v>
      </c>
      <c r="C38">
        <v>210.18</v>
      </c>
      <c r="D38" s="77">
        <f t="shared" si="1"/>
        <v>-5.4648495479692374E-2</v>
      </c>
      <c r="G38" s="74">
        <f>'Beta-Twitter Inc'!G38</f>
        <v>4392.59</v>
      </c>
      <c r="H38" s="77">
        <f t="shared" si="0"/>
        <v>-2.1319971124796049E-2</v>
      </c>
    </row>
    <row r="39" spans="2:25" x14ac:dyDescent="0.3">
      <c r="B39" s="73">
        <f>'Beta-Twitter Inc'!B39</f>
        <v>44668</v>
      </c>
      <c r="C39">
        <v>184.11</v>
      </c>
      <c r="D39" s="77">
        <f t="shared" si="1"/>
        <v>-0.12403654010847841</v>
      </c>
      <c r="G39" s="74">
        <f>'Beta-Twitter Inc'!G39</f>
        <v>4271.78</v>
      </c>
      <c r="H39" s="77">
        <f t="shared" si="0"/>
        <v>-2.750313596306516E-2</v>
      </c>
    </row>
    <row r="40" spans="2:25" x14ac:dyDescent="0.3">
      <c r="B40" s="73">
        <f>'Beta-Twitter Inc'!B40</f>
        <v>44675</v>
      </c>
      <c r="C40">
        <v>200.47</v>
      </c>
      <c r="D40" s="77">
        <f t="shared" si="1"/>
        <v>8.8859920699581679E-2</v>
      </c>
      <c r="G40" s="74">
        <f>'Beta-Twitter Inc'!G40</f>
        <v>4131.93</v>
      </c>
      <c r="H40" s="77">
        <f t="shared" si="0"/>
        <v>-3.2738109172288712E-2</v>
      </c>
      <c r="N40" s="82"/>
      <c r="O40" s="82"/>
      <c r="P40" s="82"/>
      <c r="Q40" s="82"/>
      <c r="R40" s="82"/>
      <c r="S40" s="82"/>
      <c r="T40" s="82"/>
      <c r="U40" s="82"/>
      <c r="V40" s="82"/>
    </row>
    <row r="41" spans="2:25" x14ac:dyDescent="0.3">
      <c r="B41" s="73">
        <f>'Beta-Twitter Inc'!B41</f>
        <v>44682</v>
      </c>
      <c r="C41">
        <v>203.77</v>
      </c>
      <c r="D41" s="77">
        <f t="shared" si="1"/>
        <v>1.6461315907617156E-2</v>
      </c>
      <c r="G41" s="74">
        <f>'Beta-Twitter Inc'!G41</f>
        <v>4123.34</v>
      </c>
      <c r="H41" s="77">
        <f t="shared" si="0"/>
        <v>-2.0789316372736579E-3</v>
      </c>
    </row>
    <row r="42" spans="2:25" x14ac:dyDescent="0.3">
      <c r="B42" s="73">
        <f>'Beta-Twitter Inc'!B42</f>
        <v>44689</v>
      </c>
      <c r="C42">
        <v>198.62</v>
      </c>
      <c r="D42" s="77">
        <f t="shared" si="1"/>
        <v>-2.5273592776169237E-2</v>
      </c>
      <c r="G42" s="74">
        <f>'Beta-Twitter Inc'!G42</f>
        <v>4023.89</v>
      </c>
      <c r="H42" s="77">
        <f t="shared" si="0"/>
        <v>-2.4118796897660701E-2</v>
      </c>
    </row>
    <row r="43" spans="2:25" x14ac:dyDescent="0.3">
      <c r="B43" s="73">
        <f>'Beta-Twitter Inc'!B43</f>
        <v>44696</v>
      </c>
      <c r="C43">
        <v>193.54</v>
      </c>
      <c r="D43" s="77">
        <f t="shared" si="1"/>
        <v>-2.5576477696103175E-2</v>
      </c>
      <c r="G43" s="74">
        <f>'Beta-Twitter Inc'!G43</f>
        <v>3901.36</v>
      </c>
      <c r="H43" s="77">
        <f t="shared" si="0"/>
        <v>-3.0450633590878417E-2</v>
      </c>
    </row>
    <row r="44" spans="2:25" x14ac:dyDescent="0.3">
      <c r="B44" s="73">
        <f>'Beta-Twitter Inc'!B44</f>
        <v>44703</v>
      </c>
      <c r="C44">
        <v>195.13</v>
      </c>
      <c r="D44" s="77">
        <f t="shared" si="1"/>
        <v>8.2153559987599642E-3</v>
      </c>
      <c r="G44" s="74">
        <f>'Beta-Twitter Inc'!G44</f>
        <v>4158.24</v>
      </c>
      <c r="H44" s="77">
        <f t="shared" si="0"/>
        <v>6.5843705784649362E-2</v>
      </c>
    </row>
    <row r="45" spans="2:25" x14ac:dyDescent="0.3">
      <c r="B45" s="73">
        <f>'Beta-Twitter Inc'!B45</f>
        <v>44710</v>
      </c>
      <c r="C45">
        <v>190.78</v>
      </c>
      <c r="D45" s="77">
        <f t="shared" si="1"/>
        <v>-2.2292830420745115E-2</v>
      </c>
      <c r="G45" s="74">
        <f>'Beta-Twitter Inc'!G45</f>
        <v>4108.54</v>
      </c>
      <c r="H45" s="77">
        <f t="shared" si="0"/>
        <v>-1.1952172072799987E-2</v>
      </c>
    </row>
    <row r="46" spans="2:25" x14ac:dyDescent="0.3">
      <c r="B46" s="73">
        <f>'Beta-Twitter Inc'!B46</f>
        <v>44717</v>
      </c>
      <c r="C46">
        <v>175.57</v>
      </c>
      <c r="D46" s="77">
        <f t="shared" si="1"/>
        <v>-7.9725338085753258E-2</v>
      </c>
      <c r="G46" s="74">
        <f>'Beta-Twitter Inc'!G46</f>
        <v>3900.86</v>
      </c>
      <c r="H46" s="77">
        <f t="shared" si="0"/>
        <v>-5.0548369980577004E-2</v>
      </c>
    </row>
    <row r="47" spans="2:25" x14ac:dyDescent="0.3">
      <c r="B47" s="73">
        <f>'Beta-Twitter Inc'!B47</f>
        <v>44724</v>
      </c>
      <c r="C47">
        <v>163.74</v>
      </c>
      <c r="D47" s="77">
        <f t="shared" si="1"/>
        <v>-6.7380531981545741E-2</v>
      </c>
      <c r="G47" s="74">
        <f>'Beta-Twitter Inc'!G47</f>
        <v>3674.84</v>
      </c>
      <c r="H47" s="77">
        <f t="shared" si="0"/>
        <v>-5.7941069405208073E-2</v>
      </c>
    </row>
    <row r="48" spans="2:25" x14ac:dyDescent="0.3">
      <c r="B48" s="73">
        <f>'Beta-Twitter Inc'!B48</f>
        <v>44731</v>
      </c>
      <c r="C48">
        <v>170.16</v>
      </c>
      <c r="D48" s="77">
        <f t="shared" si="1"/>
        <v>3.9208501282520992E-2</v>
      </c>
      <c r="G48" s="74">
        <f>'Beta-Twitter Inc'!G48</f>
        <v>3911.74</v>
      </c>
      <c r="H48" s="77">
        <f t="shared" si="0"/>
        <v>6.4465391690522483E-2</v>
      </c>
    </row>
    <row r="49" spans="2:8" x14ac:dyDescent="0.3">
      <c r="B49" s="73">
        <f>'Beta-Twitter Inc'!B49</f>
        <v>44738</v>
      </c>
      <c r="C49">
        <v>160.03</v>
      </c>
      <c r="D49" s="77">
        <f t="shared" si="1"/>
        <v>-5.9532204983544876E-2</v>
      </c>
      <c r="G49" s="74">
        <f>'Beta-Twitter Inc'!G49</f>
        <v>3825.33</v>
      </c>
      <c r="H49" s="77">
        <f t="shared" si="0"/>
        <v>-2.2089913951336197E-2</v>
      </c>
    </row>
    <row r="50" spans="2:8" x14ac:dyDescent="0.3">
      <c r="B50" s="73">
        <f>'Beta-Twitter Inc'!B50</f>
        <v>44745</v>
      </c>
      <c r="C50">
        <v>170.88</v>
      </c>
      <c r="D50" s="77">
        <f t="shared" si="1"/>
        <v>6.7799787539836245E-2</v>
      </c>
      <c r="G50" s="74">
        <f>'Beta-Twitter Inc'!G50</f>
        <v>3899.38</v>
      </c>
      <c r="H50" s="77">
        <f t="shared" si="0"/>
        <v>1.9357807038869898E-2</v>
      </c>
    </row>
    <row r="51" spans="2:8" x14ac:dyDescent="0.3">
      <c r="B51" s="73">
        <f>'Beta-Twitter Inc'!B51</f>
        <v>44752</v>
      </c>
      <c r="C51">
        <v>164.7</v>
      </c>
      <c r="D51" s="77">
        <f t="shared" si="1"/>
        <v>-3.6165730337078691E-2</v>
      </c>
      <c r="G51" s="74">
        <f>'Beta-Twitter Inc'!G51</f>
        <v>3863.16</v>
      </c>
      <c r="H51" s="77">
        <f t="shared" si="0"/>
        <v>-9.2886561453359908E-3</v>
      </c>
    </row>
    <row r="52" spans="2:8" x14ac:dyDescent="0.3">
      <c r="B52" s="73">
        <f>'Beta-Twitter Inc'!B52</f>
        <v>44759</v>
      </c>
      <c r="C52">
        <v>169.27</v>
      </c>
      <c r="D52" s="77">
        <f t="shared" si="1"/>
        <v>2.7747419550698371E-2</v>
      </c>
      <c r="G52" s="74">
        <f>'Beta-Twitter Inc'!G52</f>
        <v>3961.63</v>
      </c>
      <c r="H52" s="77">
        <f t="shared" si="0"/>
        <v>2.5489495646051488E-2</v>
      </c>
    </row>
    <row r="53" spans="2:8" x14ac:dyDescent="0.3">
      <c r="B53" s="73">
        <f>'Beta-Twitter Inc'!B53</f>
        <v>44766</v>
      </c>
      <c r="C53">
        <v>159.1</v>
      </c>
      <c r="D53" s="77">
        <f t="shared" si="1"/>
        <v>-6.0081526555207744E-2</v>
      </c>
      <c r="G53" s="74">
        <f>'Beta-Twitter Inc'!G53</f>
        <v>4130.29</v>
      </c>
      <c r="H53" s="77">
        <f t="shared" si="0"/>
        <v>4.2573385197507051E-2</v>
      </c>
    </row>
    <row r="54" spans="2:8" x14ac:dyDescent="0.3">
      <c r="B54" s="73">
        <f>'Beta-Twitter Inc'!B54</f>
        <v>44773</v>
      </c>
      <c r="C54">
        <v>167.11</v>
      </c>
      <c r="D54" s="77">
        <f t="shared" si="1"/>
        <v>5.0345694531741168E-2</v>
      </c>
      <c r="G54" s="74">
        <f>'Beta-Twitter Inc'!G54</f>
        <v>4145.1899999999996</v>
      </c>
      <c r="H54" s="77">
        <f t="shared" si="0"/>
        <v>3.6074948732412581E-3</v>
      </c>
    </row>
    <row r="55" spans="2:8" x14ac:dyDescent="0.3">
      <c r="B55" s="73">
        <f>'Beta-Twitter Inc'!B55</f>
        <v>44780</v>
      </c>
      <c r="C55">
        <v>180.5</v>
      </c>
      <c r="D55" s="77">
        <f t="shared" si="1"/>
        <v>8.0126862545628535E-2</v>
      </c>
      <c r="G55" s="74">
        <f>'Beta-Twitter Inc'!G55</f>
        <v>4280.1499999999996</v>
      </c>
      <c r="H55" s="77">
        <f t="shared" si="0"/>
        <v>3.2558218079267787E-2</v>
      </c>
    </row>
    <row r="56" spans="2:8" x14ac:dyDescent="0.3">
      <c r="B56" s="73">
        <f>'Beta-Twitter Inc'!B56</f>
        <v>44787</v>
      </c>
      <c r="C56">
        <v>167.96</v>
      </c>
      <c r="D56" s="77">
        <f t="shared" si="1"/>
        <v>-6.9473684210526271E-2</v>
      </c>
      <c r="G56" s="74">
        <f>'Beta-Twitter Inc'!G56</f>
        <v>4228.4799999999996</v>
      </c>
      <c r="H56" s="77">
        <f t="shared" si="0"/>
        <v>-1.2072006822190829E-2</v>
      </c>
    </row>
    <row r="57" spans="2:8" x14ac:dyDescent="0.3">
      <c r="B57" s="73">
        <f>'Beta-Twitter Inc'!B57</f>
        <v>44794</v>
      </c>
      <c r="C57">
        <v>161.78</v>
      </c>
      <c r="D57" s="77">
        <f t="shared" si="1"/>
        <v>-3.679447487497027E-2</v>
      </c>
      <c r="G57" s="74">
        <f>'Beta-Twitter Inc'!G57</f>
        <v>4057.66</v>
      </c>
      <c r="H57" s="77">
        <f t="shared" si="0"/>
        <v>-4.0397495080974656E-2</v>
      </c>
    </row>
    <row r="58" spans="2:8" x14ac:dyDescent="0.3">
      <c r="B58" s="73">
        <f>'Beta-Twitter Inc'!B58</f>
        <v>44801</v>
      </c>
      <c r="C58">
        <v>160.32</v>
      </c>
      <c r="D58" s="77">
        <f t="shared" si="1"/>
        <v>-9.0246013104216087E-3</v>
      </c>
      <c r="G58" s="74">
        <f>'Beta-Twitter Inc'!G58</f>
        <v>3924.26</v>
      </c>
      <c r="H58" s="77">
        <f t="shared" si="0"/>
        <v>-3.2876091146128467E-2</v>
      </c>
    </row>
    <row r="59" spans="2:8" x14ac:dyDescent="0.3">
      <c r="B59" s="73">
        <f>'Beta-Twitter Inc'!B59</f>
        <v>44808</v>
      </c>
      <c r="C59">
        <v>169.15</v>
      </c>
      <c r="D59" s="77">
        <f t="shared" si="1"/>
        <v>5.5077345309381319E-2</v>
      </c>
      <c r="G59" s="74">
        <f>'Beta-Twitter Inc'!G59</f>
        <v>4067.36</v>
      </c>
      <c r="H59" s="77">
        <f t="shared" si="0"/>
        <v>3.6465473745368529E-2</v>
      </c>
    </row>
    <row r="60" spans="2:8" x14ac:dyDescent="0.3">
      <c r="B60" s="73">
        <f>'Beta-Twitter Inc'!B60</f>
        <v>44815</v>
      </c>
      <c r="C60">
        <v>146.29</v>
      </c>
      <c r="D60" s="77">
        <f t="shared" si="1"/>
        <v>-0.13514631983446654</v>
      </c>
      <c r="G60" s="74">
        <f>'Beta-Twitter Inc'!G60</f>
        <v>3873.33</v>
      </c>
      <c r="H60" s="77">
        <f t="shared" si="0"/>
        <v>-4.770416191337875E-2</v>
      </c>
    </row>
    <row r="61" spans="2:8" x14ac:dyDescent="0.3">
      <c r="B61" s="73">
        <f>'Beta-Twitter Inc'!B61</f>
        <v>44822</v>
      </c>
      <c r="C61">
        <v>140.41</v>
      </c>
      <c r="D61" s="77">
        <f t="shared" si="1"/>
        <v>-4.0194134937452976E-2</v>
      </c>
      <c r="G61" s="74">
        <f>'Beta-Twitter Inc'!G61</f>
        <v>3693.23</v>
      </c>
      <c r="H61" s="77">
        <f t="shared" si="0"/>
        <v>-4.6497458259430496E-2</v>
      </c>
    </row>
    <row r="62" spans="2:8" x14ac:dyDescent="0.3">
      <c r="B62" s="73">
        <f>'Beta-Twitter Inc'!B62</f>
        <v>44829</v>
      </c>
      <c r="C62">
        <v>135.68</v>
      </c>
      <c r="D62" s="77">
        <f t="shared" si="1"/>
        <v>-3.3687059326258741E-2</v>
      </c>
      <c r="G62" s="74">
        <f>'Beta-Twitter Inc'!G62</f>
        <v>3585.62</v>
      </c>
      <c r="H62" s="77">
        <f t="shared" si="0"/>
        <v>-2.9137096796029525E-2</v>
      </c>
    </row>
    <row r="63" spans="2:8" x14ac:dyDescent="0.3">
      <c r="B63" s="73">
        <f>'Beta-Twitter Inc'!B63</f>
        <v>44836</v>
      </c>
      <c r="C63">
        <v>133.44999999999999</v>
      </c>
      <c r="D63" s="77">
        <f t="shared" si="1"/>
        <v>-1.6435731132075606E-2</v>
      </c>
      <c r="G63" s="74">
        <f>'Beta-Twitter Inc'!G63</f>
        <v>3639.66</v>
      </c>
      <c r="H63" s="77">
        <f t="shared" si="0"/>
        <v>1.5071312632124979E-2</v>
      </c>
    </row>
    <row r="64" spans="2:8" x14ac:dyDescent="0.3">
      <c r="B64" s="73">
        <f>'Beta-Twitter Inc'!B64</f>
        <v>44843</v>
      </c>
      <c r="C64">
        <v>126.76</v>
      </c>
      <c r="D64" s="77">
        <f t="shared" si="1"/>
        <v>-5.0131135256650312E-2</v>
      </c>
      <c r="G64" s="74">
        <f>'Beta-Twitter Inc'!G64</f>
        <v>3583.07</v>
      </c>
      <c r="H64" s="77">
        <f t="shared" si="0"/>
        <v>-1.5548155596951279E-2</v>
      </c>
    </row>
    <row r="65" spans="2:8" x14ac:dyDescent="0.3">
      <c r="B65" s="73">
        <f>'Beta-Twitter Inc'!B65</f>
        <v>44850</v>
      </c>
      <c r="C65">
        <v>130.01</v>
      </c>
      <c r="D65" s="77">
        <f t="shared" si="1"/>
        <v>2.5639002840012508E-2</v>
      </c>
      <c r="G65" s="74">
        <f>'Beta-Twitter Inc'!G65</f>
        <v>3752.75</v>
      </c>
      <c r="H65" s="77">
        <f t="shared" si="0"/>
        <v>4.7356038257695167E-2</v>
      </c>
    </row>
    <row r="66" spans="2:8" x14ac:dyDescent="0.3">
      <c r="B66" s="73">
        <f>'Beta-Twitter Inc'!B66</f>
        <v>44857</v>
      </c>
      <c r="C66">
        <v>99.2</v>
      </c>
      <c r="D66" s="77">
        <f t="shared" si="1"/>
        <v>-0.23698177063302817</v>
      </c>
      <c r="G66" s="74">
        <f>'Beta-Twitter Inc'!G66</f>
        <v>3901.06</v>
      </c>
      <c r="H66" s="77">
        <f t="shared" si="0"/>
        <v>3.9520351742055808E-2</v>
      </c>
    </row>
  </sheetData>
  <mergeCells count="6">
    <mergeCell ref="P10:S10"/>
    <mergeCell ref="B2:D2"/>
    <mergeCell ref="B4:E4"/>
    <mergeCell ref="G4:H4"/>
    <mergeCell ref="J4:K4"/>
    <mergeCell ref="P8:S8"/>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461E1-9A42-4532-A611-D1644FF0628B}">
  <dimension ref="B2:Y66"/>
  <sheetViews>
    <sheetView showGridLines="0" topLeftCell="B1" workbookViewId="0">
      <selection activeCell="Q7" sqref="Q7"/>
    </sheetView>
  </sheetViews>
  <sheetFormatPr defaultRowHeight="14.4" x14ac:dyDescent="0.3"/>
  <cols>
    <col min="2" max="2" width="14.33203125" customWidth="1"/>
    <col min="3" max="3" width="12.88671875" customWidth="1"/>
    <col min="4" max="4" width="13.44140625" customWidth="1"/>
    <col min="7" max="7" width="14.77734375" customWidth="1"/>
    <col min="10" max="10" width="23.44140625" customWidth="1"/>
    <col min="12" max="12" width="18" customWidth="1"/>
    <col min="14" max="14" width="21.6640625" customWidth="1"/>
  </cols>
  <sheetData>
    <row r="2" spans="2:19" x14ac:dyDescent="0.3">
      <c r="B2" s="346" t="s">
        <v>52</v>
      </c>
      <c r="C2" s="346"/>
      <c r="D2" s="346"/>
    </row>
    <row r="3" spans="2:19" x14ac:dyDescent="0.3">
      <c r="B3" s="68"/>
      <c r="J3" s="62"/>
    </row>
    <row r="4" spans="2:19" x14ac:dyDescent="0.3">
      <c r="B4" s="344" t="s">
        <v>249</v>
      </c>
      <c r="C4" s="344"/>
      <c r="D4" s="344"/>
      <c r="E4" s="344"/>
      <c r="G4" s="344" t="str">
        <f>'Beta-Meta'!G4:H4</f>
        <v>S&amp;P 500 Returns</v>
      </c>
      <c r="H4" s="344"/>
      <c r="I4" s="69"/>
      <c r="J4" s="344" t="s">
        <v>53</v>
      </c>
      <c r="K4" s="344"/>
      <c r="L4" s="69"/>
    </row>
    <row r="6" spans="2:19" x14ac:dyDescent="0.3">
      <c r="B6" s="70" t="s">
        <v>54</v>
      </c>
      <c r="C6" s="70" t="s">
        <v>55</v>
      </c>
      <c r="D6" s="70" t="s">
        <v>56</v>
      </c>
      <c r="E6" s="10"/>
      <c r="F6" s="10"/>
      <c r="G6" s="70" t="s">
        <v>55</v>
      </c>
      <c r="H6" s="70" t="s">
        <v>56</v>
      </c>
      <c r="J6" t="s">
        <v>57</v>
      </c>
      <c r="K6" s="71">
        <f>O10</f>
        <v>1.1077761536533466</v>
      </c>
      <c r="N6" t="s">
        <v>58</v>
      </c>
      <c r="O6" s="71">
        <f>SLOPE(D8:D66,H8:H66)</f>
        <v>1.1077761536533468</v>
      </c>
      <c r="P6" s="29" t="s">
        <v>59</v>
      </c>
      <c r="Q6" s="72"/>
      <c r="R6" s="72"/>
      <c r="S6" s="30"/>
    </row>
    <row r="7" spans="2:19" x14ac:dyDescent="0.3">
      <c r="B7" s="73">
        <f>'Beta-Meta'!B7</f>
        <v>44444</v>
      </c>
      <c r="C7">
        <v>140.88</v>
      </c>
      <c r="D7" s="8"/>
      <c r="G7" s="74">
        <f>'Beta-Meta'!G7</f>
        <v>4458.58</v>
      </c>
      <c r="H7" s="8"/>
      <c r="J7" t="s">
        <v>60</v>
      </c>
      <c r="K7" s="43">
        <v>0.5</v>
      </c>
      <c r="L7" s="75"/>
      <c r="O7" s="71"/>
      <c r="P7" s="76"/>
      <c r="Q7" s="76"/>
      <c r="R7" s="76"/>
      <c r="S7" s="76"/>
    </row>
    <row r="8" spans="2:19" x14ac:dyDescent="0.3">
      <c r="B8" s="73">
        <f>'Beta-Meta'!B8</f>
        <v>44451</v>
      </c>
      <c r="C8">
        <v>140.80000000000001</v>
      </c>
      <c r="D8" s="77">
        <f>(C8-C7)/C7</f>
        <v>-5.6785917092549748E-4</v>
      </c>
      <c r="G8" s="74">
        <f>'Beta-Meta'!G8</f>
        <v>4432.99</v>
      </c>
      <c r="H8" s="77">
        <f t="shared" ref="H8:H66" si="0">(G8-G7)/G7</f>
        <v>-5.7394955344527059E-3</v>
      </c>
      <c r="N8" t="s">
        <v>61</v>
      </c>
      <c r="O8" s="71">
        <f>_xlfn.COVARIANCE.S(D8:D66,H8:H66)/_xlfn.VAR.S(H8:H66)</f>
        <v>1.1077761536533468</v>
      </c>
      <c r="P8" s="341" t="s">
        <v>62</v>
      </c>
      <c r="Q8" s="341"/>
      <c r="R8" s="341"/>
      <c r="S8" s="341"/>
    </row>
    <row r="9" spans="2:19" x14ac:dyDescent="0.3">
      <c r="B9" s="73">
        <f>'Beta-Meta'!B9</f>
        <v>44458</v>
      </c>
      <c r="C9">
        <v>142.21</v>
      </c>
      <c r="D9" s="77">
        <f t="shared" ref="D9:D66" si="1">(C9-C8)/C8</f>
        <v>1.0014204545454521E-2</v>
      </c>
      <c r="G9" s="74">
        <f>'Beta-Meta'!G9</f>
        <v>4455.4799999999996</v>
      </c>
      <c r="H9" s="77">
        <f t="shared" si="0"/>
        <v>5.0733252274423766E-3</v>
      </c>
      <c r="J9" t="s">
        <v>63</v>
      </c>
      <c r="K9">
        <v>1</v>
      </c>
      <c r="O9" s="71"/>
      <c r="P9" s="76"/>
      <c r="Q9" s="76"/>
      <c r="R9" s="76"/>
      <c r="S9" s="76"/>
    </row>
    <row r="10" spans="2:19" x14ac:dyDescent="0.3">
      <c r="B10" s="73">
        <f>'Beta-Meta'!B10</f>
        <v>44465</v>
      </c>
      <c r="C10">
        <v>136.54</v>
      </c>
      <c r="D10" s="77">
        <f t="shared" si="1"/>
        <v>-3.98706138808805E-2</v>
      </c>
      <c r="G10" s="74">
        <f>'Beta-Meta'!G10</f>
        <v>4357.04</v>
      </c>
      <c r="H10" s="77">
        <f t="shared" si="0"/>
        <v>-2.209414024975976E-2</v>
      </c>
      <c r="J10" t="s">
        <v>64</v>
      </c>
      <c r="K10" s="40">
        <f>100%-K7</f>
        <v>0.5</v>
      </c>
      <c r="N10" t="s">
        <v>65</v>
      </c>
      <c r="O10" s="71">
        <f>R34</f>
        <v>1.1077761536533466</v>
      </c>
      <c r="P10" s="341" t="s">
        <v>66</v>
      </c>
      <c r="Q10" s="341"/>
      <c r="R10" s="341"/>
      <c r="S10" s="341"/>
    </row>
    <row r="11" spans="2:19" x14ac:dyDescent="0.3">
      <c r="B11" s="73">
        <f>'Beta-Meta'!B11</f>
        <v>44472</v>
      </c>
      <c r="C11">
        <v>139.79</v>
      </c>
      <c r="D11" s="77">
        <f t="shared" si="1"/>
        <v>2.3802548703676579E-2</v>
      </c>
      <c r="G11" s="74">
        <f>'Beta-Meta'!G11</f>
        <v>4391.34</v>
      </c>
      <c r="H11" s="77">
        <f t="shared" si="0"/>
        <v>7.8723169858436418E-3</v>
      </c>
    </row>
    <row r="12" spans="2:19" x14ac:dyDescent="0.3">
      <c r="B12" s="73">
        <f>'Beta-Meta'!B12</f>
        <v>44479</v>
      </c>
      <c r="C12">
        <v>141.37</v>
      </c>
      <c r="D12" s="77">
        <f>(C12-C9)/C9</f>
        <v>-5.9067576119823037E-3</v>
      </c>
      <c r="G12" s="74">
        <f>'Beta-Meta'!G12</f>
        <v>4471.37</v>
      </c>
      <c r="H12" s="77">
        <f t="shared" si="0"/>
        <v>1.8224505504014662E-2</v>
      </c>
      <c r="J12" s="72" t="s">
        <v>67</v>
      </c>
      <c r="K12" s="78">
        <f>(K6*K7)+(K9*K10)</f>
        <v>1.0538880768266732</v>
      </c>
    </row>
    <row r="13" spans="2:19" x14ac:dyDescent="0.3">
      <c r="B13" s="73">
        <f>'Beta-Meta'!B13</f>
        <v>44486</v>
      </c>
      <c r="C13">
        <v>137.57</v>
      </c>
      <c r="D13" s="77">
        <f t="shared" si="1"/>
        <v>-2.6879818914904232E-2</v>
      </c>
      <c r="G13" s="74">
        <f>'Beta-Meta'!G13</f>
        <v>4544.8999999999996</v>
      </c>
      <c r="H13" s="77">
        <f t="shared" si="0"/>
        <v>1.6444624354504268E-2</v>
      </c>
    </row>
    <row r="14" spans="2:19" x14ac:dyDescent="0.3">
      <c r="B14" s="73">
        <f>'Beta-Meta'!B14</f>
        <v>44493</v>
      </c>
      <c r="C14">
        <v>148.05000000000001</v>
      </c>
      <c r="D14" s="77">
        <f t="shared" si="1"/>
        <v>7.6179399578396589E-2</v>
      </c>
      <c r="G14" s="74">
        <f>'Beta-Meta'!G14</f>
        <v>4605.38</v>
      </c>
      <c r="H14" s="77">
        <f t="shared" si="0"/>
        <v>1.330722348126482E-2</v>
      </c>
    </row>
    <row r="15" spans="2:19" x14ac:dyDescent="0.3">
      <c r="B15" s="73">
        <f>'Beta-Meta'!B15</f>
        <v>44500</v>
      </c>
      <c r="C15">
        <v>148.85</v>
      </c>
      <c r="D15" s="77">
        <f t="shared" si="1"/>
        <v>5.4035798716648622E-3</v>
      </c>
      <c r="G15" s="74">
        <f>'Beta-Meta'!G15</f>
        <v>4697.53</v>
      </c>
      <c r="H15" s="77">
        <f t="shared" si="0"/>
        <v>2.0009206623557586E-2</v>
      </c>
      <c r="J15" s="62"/>
    </row>
    <row r="16" spans="2:19" x14ac:dyDescent="0.3">
      <c r="B16" s="73">
        <f>'Beta-Meta'!B16</f>
        <v>44507</v>
      </c>
      <c r="C16">
        <v>148.68</v>
      </c>
      <c r="D16" s="77">
        <f t="shared" si="1"/>
        <v>-1.1420893516962546E-3</v>
      </c>
      <c r="G16" s="74">
        <f>'Beta-Meta'!G16</f>
        <v>4682.8500000000004</v>
      </c>
      <c r="H16" s="77">
        <f t="shared" si="0"/>
        <v>-3.1250465670255184E-3</v>
      </c>
      <c r="J16" s="79"/>
      <c r="K16" s="79"/>
      <c r="L16" s="79"/>
    </row>
    <row r="17" spans="2:25" x14ac:dyDescent="0.3">
      <c r="B17" s="73">
        <f>'Beta-Meta'!B17</f>
        <v>44514</v>
      </c>
      <c r="C17">
        <v>148.93</v>
      </c>
      <c r="D17" s="77">
        <f t="shared" si="1"/>
        <v>1.6814635458703255E-3</v>
      </c>
      <c r="G17" s="74">
        <f>'Beta-Meta'!G17</f>
        <v>4697.96</v>
      </c>
      <c r="H17" s="77">
        <f t="shared" si="0"/>
        <v>3.2266675208472771E-3</v>
      </c>
      <c r="J17" s="79"/>
      <c r="K17" s="79"/>
      <c r="L17" s="79"/>
      <c r="Q17" t="s">
        <v>69</v>
      </c>
    </row>
    <row r="18" spans="2:25" ht="15" thickBot="1" x14ac:dyDescent="0.35">
      <c r="B18" s="73">
        <f>'Beta-Meta'!B18</f>
        <v>44521</v>
      </c>
      <c r="C18">
        <v>142.18</v>
      </c>
      <c r="D18" s="77">
        <f>(C18-C17)/C17</f>
        <v>-4.532330625125898E-2</v>
      </c>
      <c r="G18" s="74">
        <f>'Beta-Meta'!G18</f>
        <v>4594.62</v>
      </c>
      <c r="H18" s="77">
        <f t="shared" si="0"/>
        <v>-2.1996781581792978E-2</v>
      </c>
      <c r="J18" s="79"/>
      <c r="K18" s="79"/>
      <c r="L18" s="79"/>
      <c r="N18" s="80"/>
      <c r="O18" s="80"/>
    </row>
    <row r="19" spans="2:25" x14ac:dyDescent="0.3">
      <c r="B19" s="73">
        <f>'Beta-Meta'!B19</f>
        <v>44528</v>
      </c>
      <c r="C19">
        <v>142</v>
      </c>
      <c r="D19" s="77">
        <f t="shared" si="1"/>
        <v>-1.2660008440006105E-3</v>
      </c>
      <c r="G19" s="74">
        <f>'Beta-Meta'!G19</f>
        <v>4538.43</v>
      </c>
      <c r="H19" s="77">
        <f t="shared" si="0"/>
        <v>-1.2229520613238875E-2</v>
      </c>
      <c r="J19" s="79"/>
      <c r="K19" s="79"/>
      <c r="L19" s="79"/>
      <c r="Q19" s="191" t="s">
        <v>70</v>
      </c>
      <c r="R19" s="191"/>
    </row>
    <row r="20" spans="2:25" x14ac:dyDescent="0.3">
      <c r="B20" s="73">
        <f>'Beta-Meta'!B20</f>
        <v>44535</v>
      </c>
      <c r="C20">
        <v>148</v>
      </c>
      <c r="D20" s="77">
        <f t="shared" si="1"/>
        <v>4.2253521126760563E-2</v>
      </c>
      <c r="G20" s="74">
        <f>'Beta-Meta'!G20</f>
        <v>4712.0200000000004</v>
      </c>
      <c r="H20" s="77">
        <f t="shared" si="0"/>
        <v>3.8248909865305873E-2</v>
      </c>
      <c r="J20" s="79"/>
      <c r="K20" s="79"/>
      <c r="L20" s="79"/>
      <c r="Q20" t="s">
        <v>71</v>
      </c>
      <c r="R20">
        <v>0.7195137235422695</v>
      </c>
    </row>
    <row r="21" spans="2:25" x14ac:dyDescent="0.3">
      <c r="B21" s="73">
        <f>'Beta-Meta'!B21</f>
        <v>44542</v>
      </c>
      <c r="C21">
        <v>141.72999999999999</v>
      </c>
      <c r="D21" s="77">
        <f t="shared" si="1"/>
        <v>-4.2364864864864932E-2</v>
      </c>
      <c r="G21" s="74">
        <f>'Beta-Meta'!G21</f>
        <v>4620.6400000000003</v>
      </c>
      <c r="H21" s="77">
        <f t="shared" si="0"/>
        <v>-1.9392956736176862E-2</v>
      </c>
      <c r="J21" s="79"/>
      <c r="K21" s="79"/>
      <c r="L21" s="79"/>
      <c r="N21" s="80"/>
      <c r="O21" s="80"/>
      <c r="Q21" t="s">
        <v>72</v>
      </c>
      <c r="R21">
        <v>0.51769999836566138</v>
      </c>
    </row>
    <row r="22" spans="2:25" x14ac:dyDescent="0.3">
      <c r="B22" s="73">
        <f>'Beta-Meta'!B22</f>
        <v>44549</v>
      </c>
      <c r="C22">
        <v>146.91999999999999</v>
      </c>
      <c r="D22" s="77">
        <f t="shared" si="1"/>
        <v>3.6618923304875456E-2</v>
      </c>
      <c r="G22" s="74">
        <f>'Beta-Meta'!G22</f>
        <v>4725.79</v>
      </c>
      <c r="H22" s="77">
        <f t="shared" si="0"/>
        <v>2.2756587831988563E-2</v>
      </c>
      <c r="J22" s="79"/>
      <c r="K22" s="79"/>
      <c r="L22" s="79"/>
      <c r="Q22" t="s">
        <v>73</v>
      </c>
      <c r="R22">
        <v>0.50923859482821687</v>
      </c>
    </row>
    <row r="23" spans="2:25" x14ac:dyDescent="0.3">
      <c r="B23" s="73">
        <f>'Beta-Meta'!B23</f>
        <v>44556</v>
      </c>
      <c r="C23">
        <v>144.85</v>
      </c>
      <c r="D23" s="77">
        <f t="shared" si="1"/>
        <v>-1.4089300299482667E-2</v>
      </c>
      <c r="G23" s="74">
        <f>'Beta-Meta'!G23</f>
        <v>4766.18</v>
      </c>
      <c r="H23" s="77">
        <f t="shared" si="0"/>
        <v>8.5467191728791012E-3</v>
      </c>
      <c r="J23" s="79"/>
      <c r="K23" s="79"/>
      <c r="L23" s="79"/>
      <c r="Q23" t="s">
        <v>74</v>
      </c>
      <c r="R23">
        <v>3.1997069208631289E-2</v>
      </c>
    </row>
    <row r="24" spans="2:25" ht="15" thickBot="1" x14ac:dyDescent="0.35">
      <c r="B24" s="73">
        <f>'Beta-Meta'!B24</f>
        <v>44563</v>
      </c>
      <c r="C24">
        <v>137.02000000000001</v>
      </c>
      <c r="D24" s="77">
        <f t="shared" si="1"/>
        <v>-5.4055919917155568E-2</v>
      </c>
      <c r="G24" s="74">
        <f>'Beta-Meta'!G24</f>
        <v>4677.03</v>
      </c>
      <c r="H24" s="77">
        <f t="shared" si="0"/>
        <v>-1.8704706914132604E-2</v>
      </c>
      <c r="J24" s="79"/>
      <c r="K24" s="79"/>
      <c r="L24" s="79"/>
      <c r="Q24" s="81" t="s">
        <v>75</v>
      </c>
      <c r="R24" s="81">
        <v>59</v>
      </c>
    </row>
    <row r="25" spans="2:25" x14ac:dyDescent="0.3">
      <c r="B25" s="73">
        <f>'Beta-Meta'!B25</f>
        <v>44570</v>
      </c>
      <c r="C25">
        <v>139.47999999999999</v>
      </c>
      <c r="D25" s="77">
        <f t="shared" si="1"/>
        <v>1.7953583418478903E-2</v>
      </c>
      <c r="G25" s="74">
        <f>'Beta-Meta'!G25</f>
        <v>4662.8500000000004</v>
      </c>
      <c r="H25" s="77">
        <f t="shared" si="0"/>
        <v>-3.0318385813217752E-3</v>
      </c>
      <c r="J25" s="79"/>
      <c r="K25" s="79"/>
      <c r="L25" s="79"/>
    </row>
    <row r="26" spans="2:25" ht="15" thickBot="1" x14ac:dyDescent="0.35">
      <c r="B26" s="73">
        <f>'Beta-Meta'!B26</f>
        <v>44577</v>
      </c>
      <c r="C26">
        <v>130.35</v>
      </c>
      <c r="D26" s="77">
        <f t="shared" si="1"/>
        <v>-6.5457413249211324E-2</v>
      </c>
      <c r="G26" s="74">
        <f>'Beta-Meta'!G26</f>
        <v>4397.9399999999996</v>
      </c>
      <c r="H26" s="77">
        <f t="shared" si="0"/>
        <v>-5.681289340210402E-2</v>
      </c>
      <c r="Q26" t="s">
        <v>76</v>
      </c>
    </row>
    <row r="27" spans="2:25" x14ac:dyDescent="0.3">
      <c r="B27" s="73">
        <f>'Beta-Meta'!B27</f>
        <v>44584</v>
      </c>
      <c r="C27">
        <v>133.35</v>
      </c>
      <c r="D27" s="77">
        <f t="shared" si="1"/>
        <v>2.3014959723820484E-2</v>
      </c>
      <c r="G27" s="74">
        <f>'Beta-Meta'!G27</f>
        <v>4431.8500000000004</v>
      </c>
      <c r="H27" s="77">
        <f t="shared" si="0"/>
        <v>7.7104280640483422E-3</v>
      </c>
      <c r="Q27" s="190"/>
      <c r="R27" s="190" t="s">
        <v>77</v>
      </c>
      <c r="S27" s="190" t="s">
        <v>78</v>
      </c>
      <c r="T27" s="190" t="s">
        <v>79</v>
      </c>
      <c r="U27" s="190" t="s">
        <v>80</v>
      </c>
      <c r="V27" s="190" t="s">
        <v>81</v>
      </c>
    </row>
    <row r="28" spans="2:25" x14ac:dyDescent="0.3">
      <c r="B28" s="73">
        <f>'Beta-Meta'!B28</f>
        <v>44591</v>
      </c>
      <c r="C28">
        <v>143.29</v>
      </c>
      <c r="D28" s="77">
        <f t="shared" si="1"/>
        <v>7.4540682414698148E-2</v>
      </c>
      <c r="G28" s="74">
        <f>'Beta-Meta'!G28</f>
        <v>4500.53</v>
      </c>
      <c r="H28" s="77">
        <f t="shared" si="0"/>
        <v>1.5496914381127378E-2</v>
      </c>
      <c r="Q28" t="s">
        <v>82</v>
      </c>
      <c r="R28">
        <v>1</v>
      </c>
      <c r="S28">
        <v>6.2640635812219181E-2</v>
      </c>
      <c r="T28">
        <v>6.2640635812219181E-2</v>
      </c>
      <c r="U28">
        <v>61.18370268888205</v>
      </c>
      <c r="V28">
        <v>1.3582702578704154E-10</v>
      </c>
    </row>
    <row r="29" spans="2:25" x14ac:dyDescent="0.3">
      <c r="B29" s="73">
        <f>'Beta-Meta'!B29</f>
        <v>44598</v>
      </c>
      <c r="C29">
        <v>134.28</v>
      </c>
      <c r="D29" s="77">
        <f t="shared" si="1"/>
        <v>-6.2879475190173714E-2</v>
      </c>
      <c r="G29" s="74">
        <f>'Beta-Meta'!G29</f>
        <v>4418.6400000000003</v>
      </c>
      <c r="H29" s="77">
        <f t="shared" si="0"/>
        <v>-1.8195634736353147E-2</v>
      </c>
      <c r="N29" s="82"/>
      <c r="O29" s="82"/>
      <c r="P29" s="82"/>
      <c r="Q29" t="s">
        <v>83</v>
      </c>
      <c r="R29">
        <v>57</v>
      </c>
      <c r="S29">
        <v>5.8357308962690597E-2</v>
      </c>
      <c r="T29">
        <v>1.0238124379419403E-3</v>
      </c>
    </row>
    <row r="30" spans="2:25" ht="15" thickBot="1" x14ac:dyDescent="0.35">
      <c r="B30" s="73">
        <f>'Beta-Meta'!B30</f>
        <v>44605</v>
      </c>
      <c r="C30">
        <v>130.4</v>
      </c>
      <c r="D30" s="77">
        <f t="shared" si="1"/>
        <v>-2.8894846589216528E-2</v>
      </c>
      <c r="G30" s="74">
        <f>'Beta-Meta'!G30</f>
        <v>4348.87</v>
      </c>
      <c r="H30" s="77">
        <f t="shared" si="0"/>
        <v>-1.5789926312168547E-2</v>
      </c>
      <c r="Q30" s="81" t="s">
        <v>84</v>
      </c>
      <c r="R30" s="81">
        <v>58</v>
      </c>
      <c r="S30" s="81">
        <v>0.12099794477490977</v>
      </c>
      <c r="T30" s="81"/>
      <c r="U30" s="81"/>
      <c r="V30" s="81"/>
    </row>
    <row r="31" spans="2:25" ht="15" thickBot="1" x14ac:dyDescent="0.35">
      <c r="B31" s="73">
        <f>'Beta-Meta'!B31</f>
        <v>44612</v>
      </c>
      <c r="C31">
        <v>134.46</v>
      </c>
      <c r="D31" s="77">
        <f t="shared" si="1"/>
        <v>3.1134969325153389E-2</v>
      </c>
      <c r="G31" s="74">
        <f>'Beta-Meta'!G31</f>
        <v>4384.6499999999996</v>
      </c>
      <c r="H31" s="77">
        <f t="shared" si="0"/>
        <v>8.2274245953545978E-3</v>
      </c>
    </row>
    <row r="32" spans="2:25" x14ac:dyDescent="0.3">
      <c r="B32" s="73">
        <f>'Beta-Meta'!B32</f>
        <v>44619</v>
      </c>
      <c r="C32">
        <v>131.91</v>
      </c>
      <c r="D32" s="77">
        <f t="shared" si="1"/>
        <v>-1.8964747880410613E-2</v>
      </c>
      <c r="G32" s="74">
        <f>'Beta-Meta'!G32</f>
        <v>4328.87</v>
      </c>
      <c r="H32" s="77">
        <f t="shared" si="0"/>
        <v>-1.2721653951854709E-2</v>
      </c>
      <c r="Q32" s="190"/>
      <c r="R32" s="190" t="s">
        <v>85</v>
      </c>
      <c r="S32" s="190" t="s">
        <v>74</v>
      </c>
      <c r="T32" s="190" t="s">
        <v>86</v>
      </c>
      <c r="U32" s="190" t="s">
        <v>87</v>
      </c>
      <c r="V32" s="190" t="s">
        <v>88</v>
      </c>
      <c r="W32" s="190" t="s">
        <v>89</v>
      </c>
      <c r="X32" s="190" t="s">
        <v>90</v>
      </c>
      <c r="Y32" s="190" t="s">
        <v>91</v>
      </c>
    </row>
    <row r="33" spans="2:25" x14ac:dyDescent="0.3">
      <c r="B33" s="73">
        <f>'Beta-Meta'!B33</f>
        <v>44626</v>
      </c>
      <c r="C33">
        <v>129.87</v>
      </c>
      <c r="D33" s="77">
        <f t="shared" si="1"/>
        <v>-1.5465089833977652E-2</v>
      </c>
      <c r="G33" s="74">
        <f>'Beta-Meta'!G33</f>
        <v>4204.3100000000004</v>
      </c>
      <c r="H33" s="77">
        <f t="shared" si="0"/>
        <v>-2.8774252865066286E-2</v>
      </c>
      <c r="Q33" t="s">
        <v>92</v>
      </c>
      <c r="R33">
        <v>-2.8819579889210424E-3</v>
      </c>
      <c r="S33">
        <v>4.1737222612210764E-3</v>
      </c>
      <c r="T33">
        <v>-0.6905006630886571</v>
      </c>
      <c r="U33">
        <v>0.4926816589505677</v>
      </c>
      <c r="V33">
        <v>-1.1239692653690202E-2</v>
      </c>
      <c r="W33">
        <v>5.4757766758481178E-3</v>
      </c>
      <c r="X33">
        <v>-1.1239692653690202E-2</v>
      </c>
      <c r="Y33">
        <v>5.4757766758481178E-3</v>
      </c>
    </row>
    <row r="34" spans="2:25" ht="15" thickBot="1" x14ac:dyDescent="0.35">
      <c r="B34" s="73">
        <f>'Beta-Meta'!B34</f>
        <v>44633</v>
      </c>
      <c r="C34">
        <v>136.13</v>
      </c>
      <c r="D34" s="77">
        <f>(C34-C33)/C33</f>
        <v>4.8202048202048133E-2</v>
      </c>
      <c r="G34" s="74">
        <f>'Beta-Meta'!G34</f>
        <v>4463.12</v>
      </c>
      <c r="H34" s="77">
        <f t="shared" si="0"/>
        <v>6.1558258073262789E-2</v>
      </c>
      <c r="N34" s="82"/>
      <c r="O34" s="82"/>
      <c r="P34" s="82"/>
      <c r="Q34" s="81" t="s">
        <v>93</v>
      </c>
      <c r="R34" s="81">
        <v>1.1077761536533466</v>
      </c>
      <c r="S34" s="81">
        <v>0.14162311230699609</v>
      </c>
      <c r="T34" s="81">
        <v>7.8220011946356802</v>
      </c>
      <c r="U34" s="81">
        <v>1.35827025787042E-10</v>
      </c>
      <c r="V34" s="81">
        <v>0.82418076302129584</v>
      </c>
      <c r="W34" s="81">
        <v>1.3913715442853973</v>
      </c>
      <c r="X34" s="81">
        <v>0.82418076302129584</v>
      </c>
      <c r="Y34" s="81">
        <v>1.3913715442853973</v>
      </c>
    </row>
    <row r="35" spans="2:25" x14ac:dyDescent="0.3">
      <c r="B35" s="73">
        <f>'Beta-Meta'!B35</f>
        <v>44640</v>
      </c>
      <c r="C35">
        <v>141.66999999999999</v>
      </c>
      <c r="D35" s="77">
        <f>(C35-C33)/C33</f>
        <v>9.0860090860090725E-2</v>
      </c>
      <c r="G35" s="74">
        <f>'Beta-Meta'!G35</f>
        <v>4543.0600000000004</v>
      </c>
      <c r="H35" s="77">
        <f t="shared" si="0"/>
        <v>1.7911236982200908E-2</v>
      </c>
    </row>
    <row r="36" spans="2:25" x14ac:dyDescent="0.3">
      <c r="B36" s="73">
        <f>'Beta-Meta'!B36</f>
        <v>44647</v>
      </c>
      <c r="C36">
        <v>140.15</v>
      </c>
      <c r="D36" s="77">
        <f t="shared" si="1"/>
        <v>-1.0729159313898369E-2</v>
      </c>
      <c r="G36" s="74">
        <f>'Beta-Meta'!G36</f>
        <v>4545.8599999999997</v>
      </c>
      <c r="H36" s="77">
        <f t="shared" si="0"/>
        <v>6.1632467984118022E-4</v>
      </c>
    </row>
    <row r="37" spans="2:25" x14ac:dyDescent="0.3">
      <c r="B37" s="73">
        <f>'Beta-Meta'!B37</f>
        <v>44654</v>
      </c>
      <c r="C37">
        <v>133.29</v>
      </c>
      <c r="D37" s="77">
        <f t="shared" si="1"/>
        <v>-4.8947556189796744E-2</v>
      </c>
      <c r="G37" s="74">
        <f>'Beta-Meta'!G37</f>
        <v>4488.28</v>
      </c>
      <c r="H37" s="77">
        <f t="shared" si="0"/>
        <v>-1.2666470150862528E-2</v>
      </c>
    </row>
    <row r="38" spans="2:25" x14ac:dyDescent="0.3">
      <c r="B38" s="73">
        <f>'Beta-Meta'!B38</f>
        <v>44661</v>
      </c>
      <c r="C38">
        <v>126.73</v>
      </c>
      <c r="D38" s="77">
        <f t="shared" si="1"/>
        <v>-4.9215995198439409E-2</v>
      </c>
      <c r="G38" s="74">
        <f>'Beta-Meta'!G38</f>
        <v>4392.59</v>
      </c>
      <c r="H38" s="77">
        <f t="shared" si="0"/>
        <v>-2.1319971124796049E-2</v>
      </c>
    </row>
    <row r="39" spans="2:25" x14ac:dyDescent="0.3">
      <c r="B39" s="73">
        <f>'Beta-Meta'!B39</f>
        <v>44668</v>
      </c>
      <c r="C39">
        <v>119.64</v>
      </c>
      <c r="D39" s="77">
        <f t="shared" si="1"/>
        <v>-5.5945711354848916E-2</v>
      </c>
      <c r="G39" s="74">
        <f>'Beta-Meta'!G39</f>
        <v>4271.78</v>
      </c>
      <c r="H39" s="77">
        <f t="shared" si="0"/>
        <v>-2.750313596306516E-2</v>
      </c>
    </row>
    <row r="40" spans="2:25" x14ac:dyDescent="0.3">
      <c r="B40" s="73">
        <f>'Beta-Meta'!B40</f>
        <v>44675</v>
      </c>
      <c r="C40">
        <v>114.11</v>
      </c>
      <c r="D40" s="77">
        <f t="shared" si="1"/>
        <v>-4.6221999331327326E-2</v>
      </c>
      <c r="G40" s="74">
        <f>'Beta-Meta'!G40</f>
        <v>4131.93</v>
      </c>
      <c r="H40" s="77">
        <f t="shared" si="0"/>
        <v>-3.2738109172288712E-2</v>
      </c>
      <c r="N40" s="82"/>
      <c r="O40" s="82"/>
      <c r="P40" s="82"/>
      <c r="Q40" s="82"/>
      <c r="R40" s="82"/>
      <c r="S40" s="82"/>
      <c r="T40" s="82"/>
      <c r="U40" s="82"/>
      <c r="V40" s="82"/>
    </row>
    <row r="41" spans="2:25" x14ac:dyDescent="0.3">
      <c r="B41" s="73">
        <f>'Beta-Meta'!B41</f>
        <v>44682</v>
      </c>
      <c r="C41">
        <v>115.75</v>
      </c>
      <c r="D41" s="77">
        <f t="shared" si="1"/>
        <v>1.4372097099290163E-2</v>
      </c>
      <c r="G41" s="74">
        <f>'Beta-Meta'!G41</f>
        <v>4123.34</v>
      </c>
      <c r="H41" s="77">
        <f t="shared" si="0"/>
        <v>-2.0789316372736579E-3</v>
      </c>
    </row>
    <row r="42" spans="2:25" x14ac:dyDescent="0.3">
      <c r="B42" s="73">
        <f>'Beta-Meta'!B42</f>
        <v>44689</v>
      </c>
      <c r="C42">
        <v>116.05</v>
      </c>
      <c r="D42" s="77">
        <f t="shared" si="1"/>
        <v>2.5917926565874484E-3</v>
      </c>
      <c r="G42" s="74">
        <f>'Beta-Meta'!G42</f>
        <v>4023.89</v>
      </c>
      <c r="H42" s="77">
        <f t="shared" si="0"/>
        <v>-2.4118796897660701E-2</v>
      </c>
    </row>
    <row r="43" spans="2:25" x14ac:dyDescent="0.3">
      <c r="B43" s="73">
        <f>'Beta-Meta'!B43</f>
        <v>44696</v>
      </c>
      <c r="C43">
        <v>108.91</v>
      </c>
      <c r="D43" s="77">
        <f t="shared" si="1"/>
        <v>-6.1525204653166743E-2</v>
      </c>
      <c r="G43" s="74">
        <f>'Beta-Meta'!G43</f>
        <v>3901.36</v>
      </c>
      <c r="H43" s="77">
        <f t="shared" si="0"/>
        <v>-3.0450633590878417E-2</v>
      </c>
    </row>
    <row r="44" spans="2:25" x14ac:dyDescent="0.3">
      <c r="B44" s="73">
        <f>'Beta-Meta'!B44</f>
        <v>44703</v>
      </c>
      <c r="C44">
        <v>112.32</v>
      </c>
      <c r="D44" s="77">
        <f t="shared" si="1"/>
        <v>3.131025617482322E-2</v>
      </c>
      <c r="G44" s="74">
        <f>'Beta-Meta'!G44</f>
        <v>4158.24</v>
      </c>
      <c r="H44" s="77">
        <f t="shared" si="0"/>
        <v>6.5843705784649362E-2</v>
      </c>
    </row>
    <row r="45" spans="2:25" x14ac:dyDescent="0.3">
      <c r="B45" s="73">
        <f>'Beta-Meta'!B45</f>
        <v>44710</v>
      </c>
      <c r="C45">
        <v>114.54</v>
      </c>
      <c r="D45" s="77">
        <f t="shared" si="1"/>
        <v>1.9764957264957382E-2</v>
      </c>
      <c r="G45" s="74">
        <f>'Beta-Meta'!G45</f>
        <v>4108.54</v>
      </c>
      <c r="H45" s="77">
        <f t="shared" si="0"/>
        <v>-1.1952172072799987E-2</v>
      </c>
    </row>
    <row r="46" spans="2:25" x14ac:dyDescent="0.3">
      <c r="B46" s="73">
        <f>'Beta-Meta'!B46</f>
        <v>44717</v>
      </c>
      <c r="C46">
        <v>111.16</v>
      </c>
      <c r="D46" s="77">
        <f t="shared" si="1"/>
        <v>-2.950934171468491E-2</v>
      </c>
      <c r="G46" s="74">
        <f>'Beta-Meta'!G46</f>
        <v>3900.86</v>
      </c>
      <c r="H46" s="77">
        <f t="shared" si="0"/>
        <v>-5.0548369980577004E-2</v>
      </c>
    </row>
    <row r="47" spans="2:25" x14ac:dyDescent="0.3">
      <c r="B47" s="73">
        <f>'Beta-Meta'!B47</f>
        <v>44724</v>
      </c>
      <c r="C47">
        <v>107.14</v>
      </c>
      <c r="D47" s="77">
        <f t="shared" si="1"/>
        <v>-3.6164087801367366E-2</v>
      </c>
      <c r="G47" s="74">
        <f>'Beta-Meta'!G47</f>
        <v>3674.84</v>
      </c>
      <c r="H47" s="77">
        <f t="shared" si="0"/>
        <v>-5.7941069405208073E-2</v>
      </c>
    </row>
    <row r="48" spans="2:25" x14ac:dyDescent="0.3">
      <c r="B48" s="73">
        <f>'Beta-Meta'!B48</f>
        <v>44731</v>
      </c>
      <c r="C48">
        <v>117.97</v>
      </c>
      <c r="D48" s="77">
        <f>(C48-C47)/C47</f>
        <v>0.10108269553854768</v>
      </c>
      <c r="G48" s="74">
        <f>'Beta-Meta'!G48</f>
        <v>3911.74</v>
      </c>
      <c r="H48" s="77">
        <f t="shared" si="0"/>
        <v>6.4465391690522483E-2</v>
      </c>
    </row>
    <row r="49" spans="2:8" x14ac:dyDescent="0.3">
      <c r="B49" s="73">
        <f>'Beta-Meta'!B49</f>
        <v>44738</v>
      </c>
      <c r="C49">
        <v>108.74</v>
      </c>
      <c r="D49" s="77">
        <f t="shared" si="1"/>
        <v>-7.8240230567093366E-2</v>
      </c>
      <c r="G49" s="74">
        <f>'Beta-Meta'!G49</f>
        <v>3825.33</v>
      </c>
      <c r="H49" s="77">
        <f t="shared" si="0"/>
        <v>-2.2089913951336197E-2</v>
      </c>
    </row>
    <row r="50" spans="2:8" x14ac:dyDescent="0.3">
      <c r="B50" s="73">
        <f>'Beta-Meta'!B50</f>
        <v>44745</v>
      </c>
      <c r="C50">
        <v>119.35</v>
      </c>
      <c r="D50" s="77">
        <f t="shared" si="1"/>
        <v>9.7572190546257126E-2</v>
      </c>
      <c r="G50" s="74">
        <f>'Beta-Meta'!G50</f>
        <v>3899.38</v>
      </c>
      <c r="H50" s="77">
        <f t="shared" si="0"/>
        <v>1.9357807038869898E-2</v>
      </c>
    </row>
    <row r="51" spans="2:8" x14ac:dyDescent="0.3">
      <c r="B51" s="73">
        <f>'Beta-Meta'!B51</f>
        <v>44752</v>
      </c>
      <c r="C51">
        <v>111.78</v>
      </c>
      <c r="D51" s="77">
        <f t="shared" si="1"/>
        <v>-6.3426895684960141E-2</v>
      </c>
      <c r="G51" s="74">
        <f>'Beta-Meta'!G51</f>
        <v>3863.16</v>
      </c>
      <c r="H51" s="77">
        <f t="shared" si="0"/>
        <v>-9.2886561453359908E-3</v>
      </c>
    </row>
    <row r="52" spans="2:8" x14ac:dyDescent="0.3">
      <c r="B52" s="73">
        <f>'Beta-Meta'!B52</f>
        <v>44759</v>
      </c>
      <c r="C52">
        <v>107.9</v>
      </c>
      <c r="D52" s="77">
        <f t="shared" si="1"/>
        <v>-3.4711039541957374E-2</v>
      </c>
      <c r="G52" s="74">
        <f>'Beta-Meta'!G52</f>
        <v>3961.63</v>
      </c>
      <c r="H52" s="77">
        <f t="shared" si="0"/>
        <v>2.5489495646051488E-2</v>
      </c>
    </row>
    <row r="53" spans="2:8" x14ac:dyDescent="0.3">
      <c r="B53" s="73">
        <f>'Beta-Meta'!B53</f>
        <v>44766</v>
      </c>
      <c r="C53">
        <v>116.32</v>
      </c>
      <c r="D53" s="77">
        <f t="shared" si="1"/>
        <v>7.8035217794253819E-2</v>
      </c>
      <c r="G53" s="74">
        <f>'Beta-Meta'!G53</f>
        <v>4130.29</v>
      </c>
      <c r="H53" s="77">
        <f t="shared" si="0"/>
        <v>4.2573385197507051E-2</v>
      </c>
    </row>
    <row r="54" spans="2:8" x14ac:dyDescent="0.3">
      <c r="B54" s="73">
        <f>'Beta-Meta'!B54</f>
        <v>44773</v>
      </c>
      <c r="C54">
        <v>117.47</v>
      </c>
      <c r="D54" s="77">
        <f t="shared" si="1"/>
        <v>9.8865199449794175E-3</v>
      </c>
      <c r="G54" s="74">
        <f>'Beta-Meta'!G54</f>
        <v>4145.1899999999996</v>
      </c>
      <c r="H54" s="77">
        <f t="shared" si="0"/>
        <v>3.6074948732412581E-3</v>
      </c>
    </row>
    <row r="55" spans="2:8" x14ac:dyDescent="0.3">
      <c r="B55" s="73">
        <f>'Beta-Meta'!B55</f>
        <v>44780</v>
      </c>
      <c r="C55">
        <v>121.68</v>
      </c>
      <c r="D55" s="77">
        <f t="shared" si="1"/>
        <v>3.5838937601089707E-2</v>
      </c>
      <c r="G55" s="74">
        <f>'Beta-Meta'!G55</f>
        <v>4280.1499999999996</v>
      </c>
      <c r="H55" s="77">
        <f t="shared" si="0"/>
        <v>3.2558218079267787E-2</v>
      </c>
    </row>
    <row r="56" spans="2:8" x14ac:dyDescent="0.3">
      <c r="B56" s="73">
        <f>'Beta-Meta'!B56</f>
        <v>44787</v>
      </c>
      <c r="C56">
        <v>117.21</v>
      </c>
      <c r="D56" s="77">
        <f t="shared" si="1"/>
        <v>-3.6735700197238763E-2</v>
      </c>
      <c r="G56" s="74">
        <f>'Beta-Meta'!G56</f>
        <v>4228.4799999999996</v>
      </c>
      <c r="H56" s="77">
        <f t="shared" si="0"/>
        <v>-1.2072006822190829E-2</v>
      </c>
    </row>
    <row r="57" spans="2:8" x14ac:dyDescent="0.3">
      <c r="B57" s="73">
        <f>'Beta-Meta'!B57</f>
        <v>44794</v>
      </c>
      <c r="C57">
        <v>110.34</v>
      </c>
      <c r="D57" s="77">
        <f t="shared" si="1"/>
        <v>-5.8612746352700203E-2</v>
      </c>
      <c r="G57" s="74">
        <f>'Beta-Meta'!G57</f>
        <v>4057.66</v>
      </c>
      <c r="H57" s="77">
        <f t="shared" si="0"/>
        <v>-4.0397495080974656E-2</v>
      </c>
    </row>
    <row r="58" spans="2:8" x14ac:dyDescent="0.3">
      <c r="B58" s="73">
        <f>'Beta-Meta'!B58</f>
        <v>44801</v>
      </c>
      <c r="C58">
        <v>107.85</v>
      </c>
      <c r="D58" s="77">
        <f t="shared" si="1"/>
        <v>-2.2566612289287739E-2</v>
      </c>
      <c r="G58" s="74">
        <f>'Beta-Meta'!G58</f>
        <v>3924.26</v>
      </c>
      <c r="H58" s="77">
        <f t="shared" si="0"/>
        <v>-3.2876091146128467E-2</v>
      </c>
    </row>
    <row r="59" spans="2:8" x14ac:dyDescent="0.3">
      <c r="B59" s="73">
        <f>'Beta-Meta'!B59</f>
        <v>44808</v>
      </c>
      <c r="C59">
        <v>110.65</v>
      </c>
      <c r="D59" s="77">
        <f t="shared" si="1"/>
        <v>2.5961984237366821E-2</v>
      </c>
      <c r="G59" s="74">
        <f>'Beta-Meta'!G59</f>
        <v>4067.36</v>
      </c>
      <c r="H59" s="77">
        <f t="shared" si="0"/>
        <v>3.6465473745368529E-2</v>
      </c>
    </row>
    <row r="60" spans="2:8" x14ac:dyDescent="0.3">
      <c r="B60" s="73">
        <f>'Beta-Meta'!B60</f>
        <v>44815</v>
      </c>
      <c r="C60">
        <v>102.8</v>
      </c>
      <c r="D60" s="77">
        <f t="shared" si="1"/>
        <v>-7.094441934026216E-2</v>
      </c>
      <c r="G60" s="74">
        <f>'Beta-Meta'!G60</f>
        <v>3873.33</v>
      </c>
      <c r="H60" s="77">
        <f t="shared" si="0"/>
        <v>-4.770416191337875E-2</v>
      </c>
    </row>
    <row r="61" spans="2:8" x14ac:dyDescent="0.3">
      <c r="B61" s="73">
        <f>'Beta-Meta'!B61</f>
        <v>44822</v>
      </c>
      <c r="C61">
        <v>98.74</v>
      </c>
      <c r="D61" s="77">
        <f t="shared" si="1"/>
        <v>-3.949416342412454E-2</v>
      </c>
      <c r="G61" s="74">
        <f>'Beta-Meta'!G61</f>
        <v>3693.23</v>
      </c>
      <c r="H61" s="77">
        <f t="shared" si="0"/>
        <v>-4.6497458259430496E-2</v>
      </c>
    </row>
    <row r="62" spans="2:8" x14ac:dyDescent="0.3">
      <c r="B62" s="73">
        <f>'Beta-Meta'!B62</f>
        <v>44829</v>
      </c>
      <c r="C62">
        <v>95.65</v>
      </c>
      <c r="D62" s="77">
        <f t="shared" si="1"/>
        <v>-3.1294308284383121E-2</v>
      </c>
      <c r="G62" s="74">
        <f>'Beta-Meta'!G62</f>
        <v>3585.62</v>
      </c>
      <c r="H62" s="77">
        <f t="shared" si="0"/>
        <v>-2.9137096796029525E-2</v>
      </c>
    </row>
    <row r="63" spans="2:8" x14ac:dyDescent="0.3">
      <c r="B63" s="73">
        <f>'Beta-Meta'!B63</f>
        <v>44836</v>
      </c>
      <c r="C63">
        <v>98.68</v>
      </c>
      <c r="D63" s="77">
        <f t="shared" si="1"/>
        <v>3.1677992681651869E-2</v>
      </c>
      <c r="G63" s="74">
        <f>'Beta-Meta'!G63</f>
        <v>3639.66</v>
      </c>
      <c r="H63" s="77">
        <f t="shared" si="0"/>
        <v>1.5071312632124979E-2</v>
      </c>
    </row>
    <row r="64" spans="2:8" x14ac:dyDescent="0.3">
      <c r="B64" s="73">
        <f>'Beta-Meta'!B64</f>
        <v>44843</v>
      </c>
      <c r="C64">
        <v>96.56</v>
      </c>
      <c r="D64" s="77">
        <f t="shared" si="1"/>
        <v>-2.148358329955416E-2</v>
      </c>
      <c r="G64" s="74">
        <f>'Beta-Meta'!G64</f>
        <v>3583.07</v>
      </c>
      <c r="H64" s="77">
        <f t="shared" si="0"/>
        <v>-1.5548155596951279E-2</v>
      </c>
    </row>
    <row r="65" spans="2:8" x14ac:dyDescent="0.3">
      <c r="B65" s="73">
        <f>'Beta-Meta'!B65</f>
        <v>44850</v>
      </c>
      <c r="C65">
        <v>101.13</v>
      </c>
      <c r="D65" s="77">
        <f t="shared" si="1"/>
        <v>4.7328086164043014E-2</v>
      </c>
      <c r="G65" s="74">
        <f>'Beta-Meta'!G65</f>
        <v>3752.75</v>
      </c>
      <c r="H65" s="77">
        <f t="shared" si="0"/>
        <v>4.7356038257695167E-2</v>
      </c>
    </row>
    <row r="66" spans="2:8" x14ac:dyDescent="0.3">
      <c r="B66" s="73">
        <f>'Beta-Meta'!B66</f>
        <v>44857</v>
      </c>
      <c r="C66">
        <v>96.29</v>
      </c>
      <c r="D66" s="77">
        <f t="shared" si="1"/>
        <v>-4.7859191140116573E-2</v>
      </c>
      <c r="G66" s="74">
        <f>'Beta-Meta'!G66</f>
        <v>3901.06</v>
      </c>
      <c r="H66" s="77">
        <f t="shared" si="0"/>
        <v>3.9520351742055808E-2</v>
      </c>
    </row>
  </sheetData>
  <mergeCells count="6">
    <mergeCell ref="P10:S10"/>
    <mergeCell ref="B2:D2"/>
    <mergeCell ref="B4:E4"/>
    <mergeCell ref="G4:H4"/>
    <mergeCell ref="J4:K4"/>
    <mergeCell ref="P8:S8"/>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7189-2CE5-4229-B852-78D8BBBE6E29}">
  <dimension ref="B2:V66"/>
  <sheetViews>
    <sheetView showGridLines="0" workbookViewId="0">
      <selection activeCell="B7" sqref="B7"/>
    </sheetView>
  </sheetViews>
  <sheetFormatPr defaultRowHeight="14.4" x14ac:dyDescent="0.3"/>
  <cols>
    <col min="2" max="2" width="14.33203125" customWidth="1"/>
    <col min="3" max="3" width="12.88671875" customWidth="1"/>
    <col min="4" max="4" width="13.44140625" customWidth="1"/>
    <col min="7" max="7" width="14.77734375" customWidth="1"/>
    <col min="10" max="10" width="23.44140625" customWidth="1"/>
    <col min="12" max="12" width="18" customWidth="1"/>
    <col min="14" max="14" width="21.6640625" customWidth="1"/>
  </cols>
  <sheetData>
    <row r="2" spans="2:19" x14ac:dyDescent="0.3">
      <c r="B2" s="346" t="s">
        <v>52</v>
      </c>
      <c r="C2" s="346"/>
      <c r="D2" s="346"/>
    </row>
    <row r="3" spans="2:19" x14ac:dyDescent="0.3">
      <c r="B3" s="68"/>
      <c r="J3" s="62"/>
    </row>
    <row r="4" spans="2:19" x14ac:dyDescent="0.3">
      <c r="B4" s="344" t="str">
        <f>'Data-competitors'!B10</f>
        <v>Snap Inc.</v>
      </c>
      <c r="C4" s="344"/>
      <c r="D4" s="344"/>
      <c r="E4" s="344"/>
      <c r="G4" s="344" t="str">
        <f>'Beta-Alphabet Inc (Class A)'!G4:H4</f>
        <v>S&amp;P 500 Returns</v>
      </c>
      <c r="H4" s="344"/>
      <c r="I4" s="69"/>
      <c r="J4" s="344" t="s">
        <v>53</v>
      </c>
      <c r="K4" s="344"/>
      <c r="L4" s="69"/>
    </row>
    <row r="6" spans="2:19" x14ac:dyDescent="0.3">
      <c r="B6" s="70" t="s">
        <v>54</v>
      </c>
      <c r="C6" s="70" t="s">
        <v>55</v>
      </c>
      <c r="D6" s="70" t="s">
        <v>56</v>
      </c>
      <c r="E6" s="10"/>
      <c r="F6" s="10"/>
      <c r="G6" s="70" t="s">
        <v>55</v>
      </c>
      <c r="H6" s="70" t="s">
        <v>56</v>
      </c>
      <c r="J6" t="s">
        <v>57</v>
      </c>
      <c r="K6" s="71">
        <f>O10</f>
        <v>1.3394398272484316</v>
      </c>
      <c r="N6" t="s">
        <v>58</v>
      </c>
      <c r="O6" s="71">
        <f>SLOPE(D8:D66,H8:H66)</f>
        <v>1.3394398272484318</v>
      </c>
      <c r="P6" s="29" t="s">
        <v>59</v>
      </c>
      <c r="Q6" s="72"/>
      <c r="R6" s="72"/>
      <c r="S6" s="30"/>
    </row>
    <row r="7" spans="2:19" x14ac:dyDescent="0.3">
      <c r="B7" s="73">
        <f>'Beta-Alphabet Inc (Class A)'!B7</f>
        <v>44444</v>
      </c>
      <c r="C7">
        <v>74.5</v>
      </c>
      <c r="D7" s="8"/>
      <c r="G7" s="74">
        <f>'Beta-Alphabet Inc (Class A)'!G7</f>
        <v>4458.58</v>
      </c>
      <c r="H7" s="8"/>
      <c r="J7" t="s">
        <v>60</v>
      </c>
      <c r="K7" s="43">
        <v>0.5</v>
      </c>
      <c r="L7" s="75"/>
      <c r="O7" s="71"/>
      <c r="P7" s="76"/>
      <c r="Q7" s="76"/>
      <c r="R7" s="76"/>
      <c r="S7" s="76"/>
    </row>
    <row r="8" spans="2:19" x14ac:dyDescent="0.3">
      <c r="B8" s="73">
        <f>'Beta-Alphabet Inc (Class A)'!B8</f>
        <v>44451</v>
      </c>
      <c r="C8">
        <v>74.760000000000005</v>
      </c>
      <c r="D8" s="77">
        <f>(C8-C7)/C7</f>
        <v>3.4899328859061087E-3</v>
      </c>
      <c r="G8" s="74">
        <f>'Beta-Alphabet Inc (Class A)'!G8</f>
        <v>4432.99</v>
      </c>
      <c r="H8" s="77">
        <f t="shared" ref="H8:H66" si="0">(G8-G7)/G7</f>
        <v>-5.7394955344527059E-3</v>
      </c>
      <c r="N8" t="s">
        <v>61</v>
      </c>
      <c r="O8" s="71">
        <f>_xlfn.COVARIANCE.S(D8:D66,H8:H66)/_xlfn.VAR.S(H8:H66)</f>
        <v>1.3394398272484316</v>
      </c>
      <c r="P8" s="341" t="s">
        <v>62</v>
      </c>
      <c r="Q8" s="341"/>
      <c r="R8" s="341"/>
      <c r="S8" s="341"/>
    </row>
    <row r="9" spans="2:19" x14ac:dyDescent="0.3">
      <c r="B9" s="73">
        <f>'Beta-Alphabet Inc (Class A)'!B9</f>
        <v>44458</v>
      </c>
      <c r="C9">
        <v>83.11</v>
      </c>
      <c r="D9" s="77">
        <f t="shared" ref="D9:D66" si="1">(C9-C8)/C8</f>
        <v>0.11169074371321554</v>
      </c>
      <c r="G9" s="74">
        <f>'Beta-Alphabet Inc (Class A)'!G9</f>
        <v>4455.4799999999996</v>
      </c>
      <c r="H9" s="77">
        <f t="shared" si="0"/>
        <v>5.0733252274423766E-3</v>
      </c>
      <c r="J9" t="s">
        <v>63</v>
      </c>
      <c r="K9">
        <v>1</v>
      </c>
      <c r="O9" s="71"/>
      <c r="P9" s="76"/>
      <c r="Q9" s="76"/>
      <c r="R9" s="76"/>
      <c r="S9" s="76"/>
    </row>
    <row r="10" spans="2:19" x14ac:dyDescent="0.3">
      <c r="B10" s="73">
        <f>'Beta-Alphabet Inc (Class A)'!B10</f>
        <v>44465</v>
      </c>
      <c r="C10">
        <v>75.25</v>
      </c>
      <c r="D10" s="77">
        <f t="shared" si="1"/>
        <v>-9.4573456864396582E-2</v>
      </c>
      <c r="G10" s="74">
        <f>'Beta-Alphabet Inc (Class A)'!G10</f>
        <v>4357.04</v>
      </c>
      <c r="H10" s="77">
        <f t="shared" si="0"/>
        <v>-2.209414024975976E-2</v>
      </c>
      <c r="J10" t="s">
        <v>64</v>
      </c>
      <c r="K10" s="40">
        <f>100%-K7</f>
        <v>0.5</v>
      </c>
      <c r="N10" t="s">
        <v>65</v>
      </c>
      <c r="O10" s="71">
        <f>O35</f>
        <v>1.3394398272484316</v>
      </c>
      <c r="P10" s="341" t="s">
        <v>66</v>
      </c>
      <c r="Q10" s="341"/>
      <c r="R10" s="341"/>
      <c r="S10" s="341"/>
    </row>
    <row r="11" spans="2:19" x14ac:dyDescent="0.3">
      <c r="B11" s="73">
        <f>'Beta-Alphabet Inc (Class A)'!B11</f>
        <v>44472</v>
      </c>
      <c r="C11">
        <v>75</v>
      </c>
      <c r="D11" s="77">
        <f t="shared" si="1"/>
        <v>-3.3222591362126247E-3</v>
      </c>
      <c r="G11" s="74">
        <f>'Beta-Alphabet Inc (Class A)'!G11</f>
        <v>4391.34</v>
      </c>
      <c r="H11" s="77">
        <f t="shared" si="0"/>
        <v>7.8723169858436418E-3</v>
      </c>
    </row>
    <row r="12" spans="2:19" x14ac:dyDescent="0.3">
      <c r="B12" s="73">
        <f>'Beta-Alphabet Inc (Class A)'!B12</f>
        <v>44479</v>
      </c>
      <c r="C12">
        <v>77.34</v>
      </c>
      <c r="D12" s="77">
        <f>(C12-C9)/C9</f>
        <v>-6.9426061845746553E-2</v>
      </c>
      <c r="G12" s="74">
        <f>'Beta-Alphabet Inc (Class A)'!G12</f>
        <v>4471.37</v>
      </c>
      <c r="H12" s="77">
        <f t="shared" si="0"/>
        <v>1.8224505504014662E-2</v>
      </c>
      <c r="J12" s="72" t="s">
        <v>67</v>
      </c>
      <c r="K12" s="78">
        <f>(K6*K7)+(K9*K10)</f>
        <v>1.1697199136242158</v>
      </c>
    </row>
    <row r="13" spans="2:19" x14ac:dyDescent="0.3">
      <c r="B13" s="73">
        <f>'Beta-Alphabet Inc (Class A)'!B13</f>
        <v>44486</v>
      </c>
      <c r="C13">
        <v>55.14</v>
      </c>
      <c r="D13" s="77">
        <f t="shared" si="1"/>
        <v>-0.28704422032583399</v>
      </c>
      <c r="G13" s="74">
        <f>'Beta-Alphabet Inc (Class A)'!G13</f>
        <v>4544.8999999999996</v>
      </c>
      <c r="H13" s="77">
        <f t="shared" si="0"/>
        <v>1.6444624354504268E-2</v>
      </c>
    </row>
    <row r="14" spans="2:19" x14ac:dyDescent="0.3">
      <c r="B14" s="73">
        <f>'Beta-Alphabet Inc (Class A)'!B14</f>
        <v>44493</v>
      </c>
      <c r="C14">
        <v>52.58</v>
      </c>
      <c r="D14" s="77">
        <f t="shared" si="1"/>
        <v>-4.6427276024664531E-2</v>
      </c>
      <c r="G14" s="74">
        <f>'Beta-Alphabet Inc (Class A)'!G14</f>
        <v>4605.38</v>
      </c>
      <c r="H14" s="77">
        <f t="shared" si="0"/>
        <v>1.330722348126482E-2</v>
      </c>
    </row>
    <row r="15" spans="2:19" x14ac:dyDescent="0.3">
      <c r="B15" s="73">
        <f>'Beta-Alphabet Inc (Class A)'!B15</f>
        <v>44500</v>
      </c>
      <c r="C15">
        <v>53.17</v>
      </c>
      <c r="D15" s="77">
        <f t="shared" si="1"/>
        <v>1.1220996576645178E-2</v>
      </c>
      <c r="G15" s="74">
        <f>'Beta-Alphabet Inc (Class A)'!G15</f>
        <v>4697.53</v>
      </c>
      <c r="H15" s="77">
        <f t="shared" si="0"/>
        <v>2.0009206623557586E-2</v>
      </c>
      <c r="J15" s="62"/>
    </row>
    <row r="16" spans="2:19" x14ac:dyDescent="0.3">
      <c r="B16" s="73">
        <f>'Beta-Alphabet Inc (Class A)'!B16</f>
        <v>44507</v>
      </c>
      <c r="C16">
        <v>53.7</v>
      </c>
      <c r="D16" s="77">
        <f t="shared" si="1"/>
        <v>9.9680270829415295E-3</v>
      </c>
      <c r="G16" s="74">
        <f>'Beta-Alphabet Inc (Class A)'!G16</f>
        <v>4682.8500000000004</v>
      </c>
      <c r="H16" s="77">
        <f t="shared" si="0"/>
        <v>-3.1250465670255184E-3</v>
      </c>
      <c r="J16" s="79"/>
      <c r="K16" s="79"/>
      <c r="L16" s="79"/>
    </row>
    <row r="17" spans="2:19" x14ac:dyDescent="0.3">
      <c r="B17" s="73">
        <f>'Beta-Alphabet Inc (Class A)'!B17</f>
        <v>44514</v>
      </c>
      <c r="C17">
        <v>51.32</v>
      </c>
      <c r="D17" s="77">
        <f t="shared" si="1"/>
        <v>-4.4320297951582911E-2</v>
      </c>
      <c r="G17" s="74">
        <f>'Beta-Alphabet Inc (Class A)'!G17</f>
        <v>4697.96</v>
      </c>
      <c r="H17" s="77">
        <f t="shared" si="0"/>
        <v>3.2266675208472771E-3</v>
      </c>
      <c r="J17" s="79"/>
      <c r="K17" s="79"/>
      <c r="L17" s="79"/>
    </row>
    <row r="18" spans="2:19" x14ac:dyDescent="0.3">
      <c r="B18" s="73">
        <f>'Beta-Alphabet Inc (Class A)'!B18</f>
        <v>44521</v>
      </c>
      <c r="C18">
        <v>49.76</v>
      </c>
      <c r="D18" s="77">
        <f>(C18-C17)/C17</f>
        <v>-3.0397505845674244E-2</v>
      </c>
      <c r="G18" s="74">
        <f>'Beta-Alphabet Inc (Class A)'!G18</f>
        <v>4594.62</v>
      </c>
      <c r="H18" s="77">
        <f t="shared" si="0"/>
        <v>-2.1996781581792978E-2</v>
      </c>
      <c r="J18" s="79"/>
      <c r="K18" s="79"/>
      <c r="L18" s="79"/>
      <c r="N18" t="s">
        <v>69</v>
      </c>
    </row>
    <row r="19" spans="2:19" ht="15" thickBot="1" x14ac:dyDescent="0.35">
      <c r="B19" s="73">
        <f>'Beta-Alphabet Inc (Class A)'!B19</f>
        <v>44528</v>
      </c>
      <c r="C19">
        <v>46.79</v>
      </c>
      <c r="D19" s="77">
        <f t="shared" si="1"/>
        <v>-5.9686495176848854E-2</v>
      </c>
      <c r="G19" s="74">
        <f>'Beta-Alphabet Inc (Class A)'!G19</f>
        <v>4538.43</v>
      </c>
      <c r="H19" s="77">
        <f t="shared" si="0"/>
        <v>-1.2229520613238875E-2</v>
      </c>
      <c r="J19" s="79"/>
      <c r="K19" s="79"/>
      <c r="L19" s="79"/>
    </row>
    <row r="20" spans="2:19" x14ac:dyDescent="0.3">
      <c r="B20" s="73">
        <f>'Beta-Alphabet Inc (Class A)'!B20</f>
        <v>44535</v>
      </c>
      <c r="C20">
        <v>50.82</v>
      </c>
      <c r="D20" s="77">
        <f t="shared" si="1"/>
        <v>8.6129514853601222E-2</v>
      </c>
      <c r="G20" s="74">
        <f>'Beta-Alphabet Inc (Class A)'!G20</f>
        <v>4712.0200000000004</v>
      </c>
      <c r="H20" s="77">
        <f t="shared" si="0"/>
        <v>3.8248909865305873E-2</v>
      </c>
      <c r="J20" s="79"/>
      <c r="K20" s="79"/>
      <c r="L20" s="79"/>
      <c r="N20" s="191" t="s">
        <v>70</v>
      </c>
      <c r="O20" s="191"/>
    </row>
    <row r="21" spans="2:19" x14ac:dyDescent="0.3">
      <c r="B21" s="73">
        <f>'Beta-Alphabet Inc (Class A)'!B21</f>
        <v>44542</v>
      </c>
      <c r="C21">
        <v>45.29</v>
      </c>
      <c r="D21" s="77">
        <f t="shared" si="1"/>
        <v>-0.1088154269972452</v>
      </c>
      <c r="G21" s="74">
        <f>'Beta-Alphabet Inc (Class A)'!G21</f>
        <v>4620.6400000000003</v>
      </c>
      <c r="H21" s="77">
        <f t="shared" si="0"/>
        <v>-1.9392956736176862E-2</v>
      </c>
      <c r="J21" s="79"/>
      <c r="K21" s="79"/>
      <c r="L21" s="79"/>
      <c r="N21" t="s">
        <v>71</v>
      </c>
      <c r="O21">
        <v>0.32480567007707251</v>
      </c>
    </row>
    <row r="22" spans="2:19" x14ac:dyDescent="0.3">
      <c r="B22" s="73">
        <f>'Beta-Alphabet Inc (Class A)'!B22</f>
        <v>44549</v>
      </c>
      <c r="C22">
        <v>48.68</v>
      </c>
      <c r="D22" s="77">
        <f t="shared" si="1"/>
        <v>7.4850960476926492E-2</v>
      </c>
      <c r="G22" s="74">
        <f>'Beta-Alphabet Inc (Class A)'!G22</f>
        <v>4725.79</v>
      </c>
      <c r="H22" s="77">
        <f t="shared" si="0"/>
        <v>2.2756587831988563E-2</v>
      </c>
      <c r="J22" s="79"/>
      <c r="K22" s="79"/>
      <c r="L22" s="79"/>
      <c r="N22" t="s">
        <v>72</v>
      </c>
      <c r="O22">
        <v>0.10549872331421607</v>
      </c>
    </row>
    <row r="23" spans="2:19" x14ac:dyDescent="0.3">
      <c r="B23" s="73">
        <f>'Beta-Alphabet Inc (Class A)'!B23</f>
        <v>44556</v>
      </c>
      <c r="C23">
        <v>47.03</v>
      </c>
      <c r="D23" s="77">
        <f t="shared" si="1"/>
        <v>-3.3894823336072279E-2</v>
      </c>
      <c r="G23" s="74">
        <f>'Beta-Alphabet Inc (Class A)'!G23</f>
        <v>4766.18</v>
      </c>
      <c r="H23" s="77">
        <f t="shared" si="0"/>
        <v>8.5467191728791012E-3</v>
      </c>
      <c r="J23" s="79"/>
      <c r="K23" s="79"/>
      <c r="L23" s="79"/>
      <c r="N23" t="s">
        <v>73</v>
      </c>
      <c r="O23">
        <v>8.9805718460079509E-2</v>
      </c>
    </row>
    <row r="24" spans="2:19" x14ac:dyDescent="0.3">
      <c r="B24" s="73">
        <f>'Beta-Alphabet Inc (Class A)'!B24</f>
        <v>44563</v>
      </c>
      <c r="C24">
        <v>41.36</v>
      </c>
      <c r="D24" s="77">
        <f t="shared" si="1"/>
        <v>-0.12056134382309168</v>
      </c>
      <c r="G24" s="74">
        <f>'Beta-Alphabet Inc (Class A)'!G24</f>
        <v>4677.03</v>
      </c>
      <c r="H24" s="77">
        <f t="shared" si="0"/>
        <v>-1.8704706914132604E-2</v>
      </c>
      <c r="J24" s="79"/>
      <c r="K24" s="79"/>
      <c r="L24" s="79"/>
      <c r="N24" t="s">
        <v>74</v>
      </c>
      <c r="O24">
        <v>0.11671555168693103</v>
      </c>
    </row>
    <row r="25" spans="2:19" ht="15" thickBot="1" x14ac:dyDescent="0.35">
      <c r="B25" s="73">
        <f>'Beta-Alphabet Inc (Class A)'!B25</f>
        <v>44570</v>
      </c>
      <c r="C25">
        <v>38.04</v>
      </c>
      <c r="D25" s="77">
        <f t="shared" si="1"/>
        <v>-8.0270793036750485E-2</v>
      </c>
      <c r="G25" s="74">
        <f>'Beta-Alphabet Inc (Class A)'!G25</f>
        <v>4662.8500000000004</v>
      </c>
      <c r="H25" s="77">
        <f t="shared" si="0"/>
        <v>-3.0318385813217752E-3</v>
      </c>
      <c r="J25" s="79"/>
      <c r="K25" s="79"/>
      <c r="L25" s="79"/>
      <c r="N25" s="81" t="s">
        <v>75</v>
      </c>
      <c r="O25" s="81">
        <v>59</v>
      </c>
    </row>
    <row r="26" spans="2:19" x14ac:dyDescent="0.3">
      <c r="B26" s="73">
        <f>'Beta-Alphabet Inc (Class A)'!B26</f>
        <v>44577</v>
      </c>
      <c r="C26">
        <v>32.119999999999997</v>
      </c>
      <c r="D26" s="77">
        <f t="shared" si="1"/>
        <v>-0.15562565720294433</v>
      </c>
      <c r="G26" s="74">
        <f>'Beta-Alphabet Inc (Class A)'!G26</f>
        <v>4397.9399999999996</v>
      </c>
      <c r="H26" s="77">
        <f t="shared" si="0"/>
        <v>-5.681289340210402E-2</v>
      </c>
    </row>
    <row r="27" spans="2:19" ht="15" thickBot="1" x14ac:dyDescent="0.35">
      <c r="B27" s="73">
        <f>'Beta-Alphabet Inc (Class A)'!B27</f>
        <v>44584</v>
      </c>
      <c r="C27">
        <v>30.42</v>
      </c>
      <c r="D27" s="77">
        <f t="shared" si="1"/>
        <v>-5.2926525529265127E-2</v>
      </c>
      <c r="G27" s="74">
        <f>'Beta-Alphabet Inc (Class A)'!G27</f>
        <v>4431.8500000000004</v>
      </c>
      <c r="H27" s="77">
        <f t="shared" si="0"/>
        <v>7.7104280640483422E-3</v>
      </c>
      <c r="N27" t="s">
        <v>76</v>
      </c>
    </row>
    <row r="28" spans="2:19" x14ac:dyDescent="0.3">
      <c r="B28" s="73">
        <f>'Beta-Alphabet Inc (Class A)'!B28</f>
        <v>44591</v>
      </c>
      <c r="C28">
        <v>38.909999999999997</v>
      </c>
      <c r="D28" s="77">
        <f t="shared" si="1"/>
        <v>0.27909270216962506</v>
      </c>
      <c r="G28" s="74">
        <f>'Beta-Alphabet Inc (Class A)'!G28</f>
        <v>4500.53</v>
      </c>
      <c r="H28" s="77">
        <f t="shared" si="0"/>
        <v>1.5496914381127378E-2</v>
      </c>
      <c r="N28" s="190"/>
      <c r="O28" s="190" t="s">
        <v>77</v>
      </c>
      <c r="P28" s="190" t="s">
        <v>78</v>
      </c>
      <c r="Q28" s="190" t="s">
        <v>79</v>
      </c>
      <c r="R28" s="190" t="s">
        <v>80</v>
      </c>
      <c r="S28" s="190" t="s">
        <v>81</v>
      </c>
    </row>
    <row r="29" spans="2:19" x14ac:dyDescent="0.3">
      <c r="B29" s="73">
        <f>'Beta-Alphabet Inc (Class A)'!B29</f>
        <v>44598</v>
      </c>
      <c r="C29">
        <v>39.49</v>
      </c>
      <c r="D29" s="77">
        <f t="shared" si="1"/>
        <v>1.4906193780519286E-2</v>
      </c>
      <c r="G29" s="74">
        <f>'Beta-Alphabet Inc (Class A)'!G29</f>
        <v>4418.6400000000003</v>
      </c>
      <c r="H29" s="77">
        <f t="shared" si="0"/>
        <v>-1.8195634736353147E-2</v>
      </c>
      <c r="N29" t="s">
        <v>82</v>
      </c>
      <c r="O29">
        <v>1</v>
      </c>
      <c r="P29">
        <v>9.1579559317648829E-2</v>
      </c>
      <c r="Q29">
        <v>9.1579559317648829E-2</v>
      </c>
      <c r="R29">
        <v>6.7226591908182201</v>
      </c>
      <c r="S29">
        <v>1.207454686851487E-2</v>
      </c>
    </row>
    <row r="30" spans="2:19" x14ac:dyDescent="0.3">
      <c r="B30" s="73">
        <f>'Beta-Alphabet Inc (Class A)'!B30</f>
        <v>44605</v>
      </c>
      <c r="C30">
        <v>38.01</v>
      </c>
      <c r="D30" s="77">
        <f t="shared" si="1"/>
        <v>-3.7477842491770171E-2</v>
      </c>
      <c r="G30" s="74">
        <f>'Beta-Alphabet Inc (Class A)'!G30</f>
        <v>4348.87</v>
      </c>
      <c r="H30" s="77">
        <f t="shared" si="0"/>
        <v>-1.5789926312168547E-2</v>
      </c>
      <c r="N30" t="s">
        <v>83</v>
      </c>
      <c r="O30">
        <v>57</v>
      </c>
      <c r="P30">
        <v>0.77648364031832606</v>
      </c>
      <c r="Q30">
        <v>1.3622520005584667E-2</v>
      </c>
    </row>
    <row r="31" spans="2:19" ht="15" thickBot="1" x14ac:dyDescent="0.35">
      <c r="B31" s="73">
        <f>'Beta-Alphabet Inc (Class A)'!B31</f>
        <v>44612</v>
      </c>
      <c r="C31">
        <v>39.15</v>
      </c>
      <c r="D31" s="77">
        <f t="shared" si="1"/>
        <v>2.9992107340173654E-2</v>
      </c>
      <c r="G31" s="74">
        <f>'Beta-Alphabet Inc (Class A)'!G31</f>
        <v>4384.6499999999996</v>
      </c>
      <c r="H31" s="77">
        <f t="shared" si="0"/>
        <v>8.2274245953545978E-3</v>
      </c>
      <c r="N31" s="81" t="s">
        <v>84</v>
      </c>
      <c r="O31" s="81">
        <v>58</v>
      </c>
      <c r="P31" s="81">
        <v>0.86806319963597489</v>
      </c>
      <c r="Q31" s="81"/>
      <c r="R31" s="81"/>
      <c r="S31" s="81"/>
    </row>
    <row r="32" spans="2:19" ht="15" thickBot="1" x14ac:dyDescent="0.35">
      <c r="B32" s="73">
        <f>'Beta-Alphabet Inc (Class A)'!B32</f>
        <v>44619</v>
      </c>
      <c r="C32">
        <v>33.090000000000003</v>
      </c>
      <c r="D32" s="77">
        <f t="shared" si="1"/>
        <v>-0.15478927203065124</v>
      </c>
      <c r="G32" s="74">
        <f>'Beta-Alphabet Inc (Class A)'!G32</f>
        <v>4328.87</v>
      </c>
      <c r="H32" s="77">
        <f t="shared" si="0"/>
        <v>-1.2721653951854709E-2</v>
      </c>
    </row>
    <row r="33" spans="2:22" x14ac:dyDescent="0.3">
      <c r="B33" s="73">
        <f>'Beta-Alphabet Inc (Class A)'!B33</f>
        <v>44626</v>
      </c>
      <c r="C33">
        <v>30.05</v>
      </c>
      <c r="D33" s="77">
        <f t="shared" si="1"/>
        <v>-9.1870655787246971E-2</v>
      </c>
      <c r="G33" s="74">
        <f>'Beta-Alphabet Inc (Class A)'!G33</f>
        <v>4204.3100000000004</v>
      </c>
      <c r="H33" s="77">
        <f t="shared" si="0"/>
        <v>-2.8774252865066286E-2</v>
      </c>
      <c r="N33" s="190"/>
      <c r="O33" s="190" t="s">
        <v>85</v>
      </c>
      <c r="P33" s="190" t="s">
        <v>74</v>
      </c>
      <c r="Q33" s="190" t="s">
        <v>86</v>
      </c>
      <c r="R33" s="190" t="s">
        <v>87</v>
      </c>
      <c r="S33" s="190" t="s">
        <v>88</v>
      </c>
      <c r="T33" s="190" t="s">
        <v>89</v>
      </c>
      <c r="U33" s="190" t="s">
        <v>90</v>
      </c>
      <c r="V33" s="190" t="s">
        <v>91</v>
      </c>
    </row>
    <row r="34" spans="2:22" x14ac:dyDescent="0.3">
      <c r="B34" s="73">
        <f>'Beta-Alphabet Inc (Class A)'!B34</f>
        <v>44633</v>
      </c>
      <c r="C34">
        <v>36</v>
      </c>
      <c r="D34" s="77">
        <f>(C34-C33)/C33</f>
        <v>0.19800332778702159</v>
      </c>
      <c r="G34" s="74">
        <f>'Beta-Alphabet Inc (Class A)'!G34</f>
        <v>4463.12</v>
      </c>
      <c r="H34" s="77">
        <f t="shared" si="0"/>
        <v>6.1558258073262789E-2</v>
      </c>
      <c r="N34" t="s">
        <v>92</v>
      </c>
      <c r="O34">
        <v>-2.2048589624870323E-2</v>
      </c>
      <c r="P34">
        <v>1.5224466126261226E-2</v>
      </c>
      <c r="Q34">
        <v>-1.4482340097849422</v>
      </c>
      <c r="R34">
        <v>0.15303030266076267</v>
      </c>
      <c r="S34">
        <v>-5.2535057178854379E-2</v>
      </c>
      <c r="T34">
        <v>8.4378779291137337E-3</v>
      </c>
      <c r="U34">
        <v>-5.2535057178854379E-2</v>
      </c>
      <c r="V34">
        <v>8.4378779291137337E-3</v>
      </c>
    </row>
    <row r="35" spans="2:22" ht="15" thickBot="1" x14ac:dyDescent="0.35">
      <c r="B35" s="73">
        <f>'Beta-Alphabet Inc (Class A)'!B35</f>
        <v>44640</v>
      </c>
      <c r="C35">
        <v>35.4</v>
      </c>
      <c r="D35" s="77">
        <f>(C35-C33)/C33</f>
        <v>0.17803660565723786</v>
      </c>
      <c r="G35" s="74">
        <f>'Beta-Alphabet Inc (Class A)'!G35</f>
        <v>4543.0600000000004</v>
      </c>
      <c r="H35" s="77">
        <f t="shared" si="0"/>
        <v>1.7911236982200908E-2</v>
      </c>
      <c r="N35" s="81" t="s">
        <v>93</v>
      </c>
      <c r="O35" s="81">
        <v>1.3394398272484316</v>
      </c>
      <c r="P35" s="81">
        <v>0.51659792891507494</v>
      </c>
      <c r="Q35" s="81">
        <v>2.5928091311969355</v>
      </c>
      <c r="R35" s="81">
        <v>1.2074546868514962E-2</v>
      </c>
      <c r="S35" s="81">
        <v>0.3049703182547232</v>
      </c>
      <c r="T35" s="81">
        <v>2.3739093362421402</v>
      </c>
      <c r="U35" s="81">
        <v>0.3049703182547232</v>
      </c>
      <c r="V35" s="81">
        <v>2.3739093362421402</v>
      </c>
    </row>
    <row r="36" spans="2:22" x14ac:dyDescent="0.3">
      <c r="B36" s="73">
        <f>'Beta-Alphabet Inc (Class A)'!B36</f>
        <v>44647</v>
      </c>
      <c r="C36">
        <v>37.39</v>
      </c>
      <c r="D36" s="77">
        <f t="shared" si="1"/>
        <v>5.6214689265536778E-2</v>
      </c>
      <c r="G36" s="74">
        <f>'Beta-Alphabet Inc (Class A)'!G36</f>
        <v>4545.8599999999997</v>
      </c>
      <c r="H36" s="77">
        <f t="shared" si="0"/>
        <v>6.1632467984118022E-4</v>
      </c>
    </row>
    <row r="37" spans="2:22" x14ac:dyDescent="0.3">
      <c r="B37" s="73">
        <f>'Beta-Alphabet Inc (Class A)'!B37</f>
        <v>44654</v>
      </c>
      <c r="C37">
        <v>35.67</v>
      </c>
      <c r="D37" s="77">
        <f t="shared" si="1"/>
        <v>-4.6001604707140917E-2</v>
      </c>
      <c r="G37" s="74">
        <f>'Beta-Alphabet Inc (Class A)'!G37</f>
        <v>4488.28</v>
      </c>
      <c r="H37" s="77">
        <f t="shared" si="0"/>
        <v>-1.2666470150862528E-2</v>
      </c>
    </row>
    <row r="38" spans="2:22" x14ac:dyDescent="0.3">
      <c r="B38" s="73">
        <f>'Beta-Alphabet Inc (Class A)'!B38</f>
        <v>44661</v>
      </c>
      <c r="C38">
        <v>33.19</v>
      </c>
      <c r="D38" s="77">
        <f t="shared" si="1"/>
        <v>-6.952621250350445E-2</v>
      </c>
      <c r="G38" s="74">
        <f>'Beta-Alphabet Inc (Class A)'!G38</f>
        <v>4392.59</v>
      </c>
      <c r="H38" s="77">
        <f t="shared" si="0"/>
        <v>-2.1319971124796049E-2</v>
      </c>
    </row>
    <row r="39" spans="2:22" x14ac:dyDescent="0.3">
      <c r="B39" s="73">
        <f>'Beta-Alphabet Inc (Class A)'!B39</f>
        <v>44668</v>
      </c>
      <c r="C39">
        <v>29.76</v>
      </c>
      <c r="D39" s="77">
        <f t="shared" si="1"/>
        <v>-0.10334438083760158</v>
      </c>
      <c r="G39" s="74">
        <f>'Beta-Alphabet Inc (Class A)'!G39</f>
        <v>4271.78</v>
      </c>
      <c r="H39" s="77">
        <f t="shared" si="0"/>
        <v>-2.750313596306516E-2</v>
      </c>
    </row>
    <row r="40" spans="2:22" x14ac:dyDescent="0.3">
      <c r="B40" s="73">
        <f>'Beta-Alphabet Inc (Class A)'!B40</f>
        <v>44675</v>
      </c>
      <c r="C40">
        <v>28.46</v>
      </c>
      <c r="D40" s="77">
        <f t="shared" si="1"/>
        <v>-4.3682795698924755E-2</v>
      </c>
      <c r="G40" s="74">
        <f>'Beta-Alphabet Inc (Class A)'!G40</f>
        <v>4131.93</v>
      </c>
      <c r="H40" s="77">
        <f t="shared" si="0"/>
        <v>-3.2738109172288712E-2</v>
      </c>
      <c r="N40" s="82"/>
      <c r="O40" s="82"/>
      <c r="P40" s="82"/>
      <c r="Q40" s="82"/>
      <c r="R40" s="82"/>
      <c r="S40" s="82"/>
      <c r="T40" s="82"/>
      <c r="U40" s="82"/>
      <c r="V40" s="82"/>
    </row>
    <row r="41" spans="2:22" x14ac:dyDescent="0.3">
      <c r="B41" s="73">
        <f>'Beta-Alphabet Inc (Class A)'!B41</f>
        <v>44682</v>
      </c>
      <c r="C41">
        <v>24.92</v>
      </c>
      <c r="D41" s="77">
        <f t="shared" si="1"/>
        <v>-0.12438510189739982</v>
      </c>
      <c r="G41" s="74">
        <f>'Beta-Alphabet Inc (Class A)'!G41</f>
        <v>4123.34</v>
      </c>
      <c r="H41" s="77">
        <f t="shared" si="0"/>
        <v>-2.0789316372736579E-3</v>
      </c>
    </row>
    <row r="42" spans="2:22" x14ac:dyDescent="0.3">
      <c r="B42" s="73">
        <f>'Beta-Alphabet Inc (Class A)'!B42</f>
        <v>44689</v>
      </c>
      <c r="C42">
        <v>24.75</v>
      </c>
      <c r="D42" s="77">
        <f t="shared" si="1"/>
        <v>-6.8218298555377888E-3</v>
      </c>
      <c r="G42" s="74">
        <f>'Beta-Alphabet Inc (Class A)'!G42</f>
        <v>4023.89</v>
      </c>
      <c r="H42" s="77">
        <f t="shared" si="0"/>
        <v>-2.4118796897660701E-2</v>
      </c>
    </row>
    <row r="43" spans="2:22" x14ac:dyDescent="0.3">
      <c r="B43" s="73">
        <f>'Beta-Alphabet Inc (Class A)'!B43</f>
        <v>44696</v>
      </c>
      <c r="C43">
        <v>23.26</v>
      </c>
      <c r="D43" s="77">
        <f t="shared" si="1"/>
        <v>-6.0202020202020139E-2</v>
      </c>
      <c r="G43" s="74">
        <f>'Beta-Alphabet Inc (Class A)'!G43</f>
        <v>3901.36</v>
      </c>
      <c r="H43" s="77">
        <f t="shared" si="0"/>
        <v>-3.0450633590878417E-2</v>
      </c>
    </row>
    <row r="44" spans="2:22" x14ac:dyDescent="0.3">
      <c r="B44" s="73">
        <f>'Beta-Alphabet Inc (Class A)'!B44</f>
        <v>44703</v>
      </c>
      <c r="C44">
        <v>15.58</v>
      </c>
      <c r="D44" s="77">
        <f t="shared" si="1"/>
        <v>-0.33018056749785041</v>
      </c>
      <c r="G44" s="74">
        <f>'Beta-Alphabet Inc (Class A)'!G44</f>
        <v>4158.24</v>
      </c>
      <c r="H44" s="77">
        <f t="shared" si="0"/>
        <v>6.5843705784649362E-2</v>
      </c>
    </row>
    <row r="45" spans="2:22" x14ac:dyDescent="0.3">
      <c r="B45" s="73">
        <f>'Beta-Alphabet Inc (Class A)'!B45</f>
        <v>44710</v>
      </c>
      <c r="C45">
        <v>14.49</v>
      </c>
      <c r="D45" s="77">
        <f t="shared" si="1"/>
        <v>-6.9961489088575093E-2</v>
      </c>
      <c r="G45" s="74">
        <f>'Beta-Alphabet Inc (Class A)'!G45</f>
        <v>4108.54</v>
      </c>
      <c r="H45" s="77">
        <f t="shared" si="0"/>
        <v>-1.1952172072799987E-2</v>
      </c>
    </row>
    <row r="46" spans="2:22" x14ac:dyDescent="0.3">
      <c r="B46" s="73">
        <f>'Beta-Alphabet Inc (Class A)'!B46</f>
        <v>44717</v>
      </c>
      <c r="C46">
        <v>13.28</v>
      </c>
      <c r="D46" s="77">
        <f t="shared" si="1"/>
        <v>-8.350586611456183E-2</v>
      </c>
      <c r="G46" s="74">
        <f>'Beta-Alphabet Inc (Class A)'!G46</f>
        <v>3900.86</v>
      </c>
      <c r="H46" s="77">
        <f t="shared" si="0"/>
        <v>-5.0548369980577004E-2</v>
      </c>
    </row>
    <row r="47" spans="2:22" x14ac:dyDescent="0.3">
      <c r="B47" s="73">
        <f>'Beta-Alphabet Inc (Class A)'!B47</f>
        <v>44724</v>
      </c>
      <c r="C47">
        <v>12.42</v>
      </c>
      <c r="D47" s="77">
        <f t="shared" si="1"/>
        <v>-6.4759036144578272E-2</v>
      </c>
      <c r="G47" s="74">
        <f>'Beta-Alphabet Inc (Class A)'!G47</f>
        <v>3674.84</v>
      </c>
      <c r="H47" s="77">
        <f t="shared" si="0"/>
        <v>-5.7941069405208073E-2</v>
      </c>
    </row>
    <row r="48" spans="2:22" x14ac:dyDescent="0.3">
      <c r="B48" s="73">
        <f>'Beta-Alphabet Inc (Class A)'!B48</f>
        <v>44731</v>
      </c>
      <c r="C48">
        <v>14.7</v>
      </c>
      <c r="D48" s="77">
        <f>(C48-C47)/C47</f>
        <v>0.18357487922705309</v>
      </c>
      <c r="G48" s="74">
        <f>'Beta-Alphabet Inc (Class A)'!G48</f>
        <v>3911.74</v>
      </c>
      <c r="H48" s="77">
        <f t="shared" si="0"/>
        <v>6.4465391690522483E-2</v>
      </c>
    </row>
    <row r="49" spans="2:8" x14ac:dyDescent="0.3">
      <c r="B49" s="73">
        <f>'Beta-Alphabet Inc (Class A)'!B49</f>
        <v>44738</v>
      </c>
      <c r="C49">
        <v>13.17</v>
      </c>
      <c r="D49" s="77">
        <f t="shared" si="1"/>
        <v>-0.10408163265306118</v>
      </c>
      <c r="G49" s="74">
        <f>'Beta-Alphabet Inc (Class A)'!G49</f>
        <v>3825.33</v>
      </c>
      <c r="H49" s="77">
        <f t="shared" si="0"/>
        <v>-2.2089913951336197E-2</v>
      </c>
    </row>
    <row r="50" spans="2:8" x14ac:dyDescent="0.3">
      <c r="B50" s="73">
        <f>'Beta-Alphabet Inc (Class A)'!B50</f>
        <v>44745</v>
      </c>
      <c r="C50">
        <v>14.96</v>
      </c>
      <c r="D50" s="77">
        <f t="shared" si="1"/>
        <v>0.13591495823842073</v>
      </c>
      <c r="G50" s="74">
        <f>'Beta-Alphabet Inc (Class A)'!G50</f>
        <v>3899.38</v>
      </c>
      <c r="H50" s="77">
        <f t="shared" si="0"/>
        <v>1.9357807038869898E-2</v>
      </c>
    </row>
    <row r="51" spans="2:8" x14ac:dyDescent="0.3">
      <c r="B51" s="73">
        <f>'Beta-Alphabet Inc (Class A)'!B51</f>
        <v>44752</v>
      </c>
      <c r="C51">
        <v>13.65</v>
      </c>
      <c r="D51" s="77">
        <f t="shared" si="1"/>
        <v>-8.7566844919786127E-2</v>
      </c>
      <c r="G51" s="74">
        <f>'Beta-Alphabet Inc (Class A)'!G51</f>
        <v>3863.16</v>
      </c>
      <c r="H51" s="77">
        <f t="shared" si="0"/>
        <v>-9.2886561453359908E-3</v>
      </c>
    </row>
    <row r="52" spans="2:8" x14ac:dyDescent="0.3">
      <c r="B52" s="73">
        <f>'Beta-Alphabet Inc (Class A)'!B52</f>
        <v>44759</v>
      </c>
      <c r="C52">
        <v>9.9600000000000009</v>
      </c>
      <c r="D52" s="77">
        <f t="shared" si="1"/>
        <v>-0.27032967032967031</v>
      </c>
      <c r="G52" s="74">
        <f>'Beta-Alphabet Inc (Class A)'!G52</f>
        <v>3961.63</v>
      </c>
      <c r="H52" s="77">
        <f t="shared" si="0"/>
        <v>2.5489495646051488E-2</v>
      </c>
    </row>
    <row r="53" spans="2:8" x14ac:dyDescent="0.3">
      <c r="B53" s="73">
        <f>'Beta-Alphabet Inc (Class A)'!B53</f>
        <v>44766</v>
      </c>
      <c r="C53">
        <v>9.8800000000000008</v>
      </c>
      <c r="D53" s="77">
        <f t="shared" si="1"/>
        <v>-8.0321285140562311E-3</v>
      </c>
      <c r="G53" s="74">
        <f>'Beta-Alphabet Inc (Class A)'!G53</f>
        <v>4130.29</v>
      </c>
      <c r="H53" s="77">
        <f t="shared" si="0"/>
        <v>4.2573385197507051E-2</v>
      </c>
    </row>
    <row r="54" spans="2:8" x14ac:dyDescent="0.3">
      <c r="B54" s="73">
        <f>'Beta-Alphabet Inc (Class A)'!B54</f>
        <v>44773</v>
      </c>
      <c r="C54">
        <v>10.18</v>
      </c>
      <c r="D54" s="77">
        <f t="shared" si="1"/>
        <v>3.0364372469635519E-2</v>
      </c>
      <c r="G54" s="74">
        <f>'Beta-Alphabet Inc (Class A)'!G54</f>
        <v>4145.1899999999996</v>
      </c>
      <c r="H54" s="77">
        <f t="shared" si="0"/>
        <v>3.6074948732412581E-3</v>
      </c>
    </row>
    <row r="55" spans="2:8" x14ac:dyDescent="0.3">
      <c r="B55" s="73">
        <f>'Beta-Alphabet Inc (Class A)'!B55</f>
        <v>44780</v>
      </c>
      <c r="C55">
        <v>11.62</v>
      </c>
      <c r="D55" s="77">
        <f t="shared" si="1"/>
        <v>0.14145383104125733</v>
      </c>
      <c r="G55" s="74">
        <f>'Beta-Alphabet Inc (Class A)'!G55</f>
        <v>4280.1499999999996</v>
      </c>
      <c r="H55" s="77">
        <f t="shared" si="0"/>
        <v>3.2558218079267787E-2</v>
      </c>
    </row>
    <row r="56" spans="2:8" x14ac:dyDescent="0.3">
      <c r="B56" s="73">
        <f>'Beta-Alphabet Inc (Class A)'!B56</f>
        <v>44787</v>
      </c>
      <c r="C56">
        <v>11.56</v>
      </c>
      <c r="D56" s="77">
        <f t="shared" si="1"/>
        <v>-5.1635111876074634E-3</v>
      </c>
      <c r="G56" s="74">
        <f>'Beta-Alphabet Inc (Class A)'!G56</f>
        <v>4228.4799999999996</v>
      </c>
      <c r="H56" s="77">
        <f t="shared" si="0"/>
        <v>-1.2072006822190829E-2</v>
      </c>
    </row>
    <row r="57" spans="2:8" x14ac:dyDescent="0.3">
      <c r="B57" s="73">
        <f>'Beta-Alphabet Inc (Class A)'!B57</f>
        <v>44794</v>
      </c>
      <c r="C57">
        <v>10.67</v>
      </c>
      <c r="D57" s="77">
        <f t="shared" si="1"/>
        <v>-7.6989619377162671E-2</v>
      </c>
      <c r="G57" s="74">
        <f>'Beta-Alphabet Inc (Class A)'!G57</f>
        <v>4057.66</v>
      </c>
      <c r="H57" s="77">
        <f t="shared" si="0"/>
        <v>-4.0397495080974656E-2</v>
      </c>
    </row>
    <row r="58" spans="2:8" x14ac:dyDescent="0.3">
      <c r="B58" s="73">
        <f>'Beta-Alphabet Inc (Class A)'!B58</f>
        <v>44801</v>
      </c>
      <c r="C58">
        <v>11.22</v>
      </c>
      <c r="D58" s="77">
        <f t="shared" si="1"/>
        <v>5.1546391752577386E-2</v>
      </c>
      <c r="G58" s="74">
        <f>'Beta-Alphabet Inc (Class A)'!G58</f>
        <v>3924.26</v>
      </c>
      <c r="H58" s="77">
        <f t="shared" si="0"/>
        <v>-3.2876091146128467E-2</v>
      </c>
    </row>
    <row r="59" spans="2:8" x14ac:dyDescent="0.3">
      <c r="B59" s="73">
        <f>'Beta-Alphabet Inc (Class A)'!B59</f>
        <v>44808</v>
      </c>
      <c r="C59">
        <v>12.65</v>
      </c>
      <c r="D59" s="77">
        <f t="shared" si="1"/>
        <v>0.12745098039215683</v>
      </c>
      <c r="G59" s="74">
        <f>'Beta-Alphabet Inc (Class A)'!G59</f>
        <v>4067.36</v>
      </c>
      <c r="H59" s="77">
        <f t="shared" si="0"/>
        <v>3.6465473745368529E-2</v>
      </c>
    </row>
    <row r="60" spans="2:8" x14ac:dyDescent="0.3">
      <c r="B60" s="73">
        <f>'Beta-Alphabet Inc (Class A)'!B60</f>
        <v>44815</v>
      </c>
      <c r="C60">
        <v>11.3</v>
      </c>
      <c r="D60" s="77">
        <f t="shared" si="1"/>
        <v>-0.10671936758893277</v>
      </c>
      <c r="G60" s="74">
        <f>'Beta-Alphabet Inc (Class A)'!G60</f>
        <v>3873.33</v>
      </c>
      <c r="H60" s="77">
        <f t="shared" si="0"/>
        <v>-4.770416191337875E-2</v>
      </c>
    </row>
    <row r="61" spans="2:8" x14ac:dyDescent="0.3">
      <c r="B61" s="73">
        <f>'Beta-Alphabet Inc (Class A)'!B61</f>
        <v>44822</v>
      </c>
      <c r="C61">
        <v>10.32</v>
      </c>
      <c r="D61" s="77">
        <f t="shared" si="1"/>
        <v>-8.6725663716814186E-2</v>
      </c>
      <c r="G61" s="74">
        <f>'Beta-Alphabet Inc (Class A)'!G61</f>
        <v>3693.23</v>
      </c>
      <c r="H61" s="77">
        <f t="shared" si="0"/>
        <v>-4.6497458259430496E-2</v>
      </c>
    </row>
    <row r="62" spans="2:8" x14ac:dyDescent="0.3">
      <c r="B62" s="73">
        <f>'Beta-Alphabet Inc (Class A)'!B62</f>
        <v>44829</v>
      </c>
      <c r="C62">
        <v>9.82</v>
      </c>
      <c r="D62" s="77">
        <f t="shared" si="1"/>
        <v>-4.8449612403100771E-2</v>
      </c>
      <c r="G62" s="74">
        <f>'Beta-Alphabet Inc (Class A)'!G62</f>
        <v>3585.62</v>
      </c>
      <c r="H62" s="77">
        <f t="shared" si="0"/>
        <v>-2.9137096796029525E-2</v>
      </c>
    </row>
    <row r="63" spans="2:8" x14ac:dyDescent="0.3">
      <c r="B63" s="73">
        <f>'Beta-Alphabet Inc (Class A)'!B63</f>
        <v>44836</v>
      </c>
      <c r="C63">
        <v>10.66</v>
      </c>
      <c r="D63" s="77">
        <f t="shared" si="1"/>
        <v>8.5539714867617092E-2</v>
      </c>
      <c r="G63" s="74">
        <f>'Beta-Alphabet Inc (Class A)'!G63</f>
        <v>3639.66</v>
      </c>
      <c r="H63" s="77">
        <f t="shared" si="0"/>
        <v>1.5071312632124979E-2</v>
      </c>
    </row>
    <row r="64" spans="2:8" x14ac:dyDescent="0.3">
      <c r="B64" s="73">
        <f>'Beta-Alphabet Inc (Class A)'!B64</f>
        <v>44843</v>
      </c>
      <c r="C64">
        <v>9.99</v>
      </c>
      <c r="D64" s="77">
        <f t="shared" si="1"/>
        <v>-6.2851782363977482E-2</v>
      </c>
      <c r="G64" s="74">
        <f>'Beta-Alphabet Inc (Class A)'!G64</f>
        <v>3583.07</v>
      </c>
      <c r="H64" s="77">
        <f t="shared" si="0"/>
        <v>-1.5548155596951279E-2</v>
      </c>
    </row>
    <row r="65" spans="2:8" x14ac:dyDescent="0.3">
      <c r="B65" s="73">
        <f>'Beta-Alphabet Inc (Class A)'!B65</f>
        <v>44850</v>
      </c>
      <c r="C65">
        <v>7.76</v>
      </c>
      <c r="D65" s="77">
        <f t="shared" si="1"/>
        <v>-0.22322322322322327</v>
      </c>
      <c r="G65" s="74">
        <f>'Beta-Alphabet Inc (Class A)'!G65</f>
        <v>3752.75</v>
      </c>
      <c r="H65" s="77">
        <f t="shared" si="0"/>
        <v>4.7356038257695167E-2</v>
      </c>
    </row>
    <row r="66" spans="2:8" x14ac:dyDescent="0.3">
      <c r="B66" s="73">
        <f>'Beta-Alphabet Inc (Class A)'!B66</f>
        <v>44857</v>
      </c>
      <c r="C66">
        <v>10.08</v>
      </c>
      <c r="D66" s="77">
        <f t="shared" si="1"/>
        <v>0.2989690721649485</v>
      </c>
      <c r="G66" s="74">
        <f>'Beta-Alphabet Inc (Class A)'!G66</f>
        <v>3901.06</v>
      </c>
      <c r="H66" s="77">
        <f t="shared" si="0"/>
        <v>3.9520351742055808E-2</v>
      </c>
    </row>
  </sheetData>
  <mergeCells count="6">
    <mergeCell ref="P10:S10"/>
    <mergeCell ref="B2:D2"/>
    <mergeCell ref="B4:E4"/>
    <mergeCell ref="G4:H4"/>
    <mergeCell ref="J4:K4"/>
    <mergeCell ref="P8:S8"/>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754A5-CF6F-4C4F-BB49-DFEDBEBE23F3}">
  <dimension ref="B2:V66"/>
  <sheetViews>
    <sheetView showGridLines="0" workbookViewId="0">
      <selection activeCell="B4" sqref="B4:E4"/>
    </sheetView>
  </sheetViews>
  <sheetFormatPr defaultRowHeight="14.4" x14ac:dyDescent="0.3"/>
  <cols>
    <col min="2" max="2" width="14.33203125" customWidth="1"/>
    <col min="3" max="3" width="12.88671875" customWidth="1"/>
    <col min="4" max="4" width="13.44140625" customWidth="1"/>
    <col min="7" max="7" width="14.77734375" customWidth="1"/>
    <col min="10" max="10" width="23.44140625" customWidth="1"/>
    <col min="12" max="12" width="18" customWidth="1"/>
    <col min="14" max="14" width="21.6640625" customWidth="1"/>
  </cols>
  <sheetData>
    <row r="2" spans="2:19" x14ac:dyDescent="0.3">
      <c r="B2" s="346" t="s">
        <v>52</v>
      </c>
      <c r="C2" s="346"/>
      <c r="D2" s="346"/>
    </row>
    <row r="3" spans="2:19" x14ac:dyDescent="0.3">
      <c r="B3" s="68"/>
      <c r="J3" s="62"/>
    </row>
    <row r="4" spans="2:19" x14ac:dyDescent="0.3">
      <c r="B4" s="344" t="str">
        <f>'Data-competitors'!B11</f>
        <v>Pinterest, Inc.</v>
      </c>
      <c r="C4" s="344"/>
      <c r="D4" s="344"/>
      <c r="E4" s="344"/>
      <c r="G4" s="344" t="str">
        <f>'Beta-Alphabet Inc (Class A)'!G4:H4</f>
        <v>S&amp;P 500 Returns</v>
      </c>
      <c r="H4" s="344"/>
      <c r="I4" s="69"/>
      <c r="J4" s="344" t="s">
        <v>53</v>
      </c>
      <c r="K4" s="344"/>
      <c r="L4" s="69"/>
    </row>
    <row r="6" spans="2:19" x14ac:dyDescent="0.3">
      <c r="B6" s="70" t="s">
        <v>54</v>
      </c>
      <c r="C6" s="70" t="s">
        <v>55</v>
      </c>
      <c r="D6" s="70" t="s">
        <v>56</v>
      </c>
      <c r="E6" s="10"/>
      <c r="F6" s="10"/>
      <c r="G6" s="70" t="s">
        <v>55</v>
      </c>
      <c r="H6" s="70" t="s">
        <v>56</v>
      </c>
      <c r="J6" t="s">
        <v>57</v>
      </c>
      <c r="K6" s="71">
        <f>O10</f>
        <v>1.2755236123184608</v>
      </c>
      <c r="N6" t="s">
        <v>58</v>
      </c>
      <c r="O6" s="71">
        <f>SLOPE(D8:D66,H8:H66)</f>
        <v>1.275523612318461</v>
      </c>
      <c r="P6" s="29" t="s">
        <v>59</v>
      </c>
      <c r="Q6" s="72"/>
      <c r="R6" s="72"/>
      <c r="S6" s="30"/>
    </row>
    <row r="7" spans="2:19" x14ac:dyDescent="0.3">
      <c r="B7" s="73">
        <f>'Beta-Alphabet Inc (Class A)'!B7</f>
        <v>44444</v>
      </c>
      <c r="C7">
        <v>54.24</v>
      </c>
      <c r="D7" s="8"/>
      <c r="G7" s="74">
        <f>'Beta-Alphabet Inc (Class A)'!G7</f>
        <v>4458.58</v>
      </c>
      <c r="H7" s="8"/>
      <c r="J7" t="s">
        <v>60</v>
      </c>
      <c r="K7" s="43">
        <v>0.5</v>
      </c>
      <c r="L7" s="75"/>
      <c r="O7" s="71"/>
      <c r="P7" s="76"/>
      <c r="Q7" s="76"/>
      <c r="R7" s="76"/>
      <c r="S7" s="76"/>
    </row>
    <row r="8" spans="2:19" x14ac:dyDescent="0.3">
      <c r="B8" s="73">
        <f>'Beta-Alphabet Inc (Class A)'!B8</f>
        <v>44451</v>
      </c>
      <c r="C8">
        <v>54.77</v>
      </c>
      <c r="D8" s="77">
        <f>(C8-C7)/C7</f>
        <v>9.7713864306784859E-3</v>
      </c>
      <c r="G8" s="74">
        <f>'Beta-Alphabet Inc (Class A)'!G8</f>
        <v>4432.99</v>
      </c>
      <c r="H8" s="77">
        <f t="shared" ref="H8:H66" si="0">(G8-G7)/G7</f>
        <v>-5.7394955344527059E-3</v>
      </c>
      <c r="N8" t="s">
        <v>61</v>
      </c>
      <c r="O8" s="71">
        <f>_xlfn.COVARIANCE.S(D8:D66,H8:H66)/_xlfn.VAR.S(H8:H66)</f>
        <v>1.2755236123184608</v>
      </c>
      <c r="P8" s="341" t="s">
        <v>62</v>
      </c>
      <c r="Q8" s="341"/>
      <c r="R8" s="341"/>
      <c r="S8" s="341"/>
    </row>
    <row r="9" spans="2:19" x14ac:dyDescent="0.3">
      <c r="B9" s="73">
        <f>'Beta-Alphabet Inc (Class A)'!B9</f>
        <v>44458</v>
      </c>
      <c r="C9">
        <v>54.2</v>
      </c>
      <c r="D9" s="77">
        <f t="shared" ref="D9:D66" si="1">(C9-C8)/C8</f>
        <v>-1.040715720284828E-2</v>
      </c>
      <c r="G9" s="74">
        <f>'Beta-Alphabet Inc (Class A)'!G9</f>
        <v>4455.4799999999996</v>
      </c>
      <c r="H9" s="77">
        <f t="shared" si="0"/>
        <v>5.0733252274423766E-3</v>
      </c>
      <c r="J9" t="s">
        <v>63</v>
      </c>
      <c r="K9">
        <v>1</v>
      </c>
      <c r="O9" s="71"/>
      <c r="P9" s="76"/>
      <c r="Q9" s="76"/>
      <c r="R9" s="76"/>
      <c r="S9" s="76"/>
    </row>
    <row r="10" spans="2:19" x14ac:dyDescent="0.3">
      <c r="B10" s="73">
        <f>'Beta-Alphabet Inc (Class A)'!B10</f>
        <v>44465</v>
      </c>
      <c r="C10">
        <v>52.62</v>
      </c>
      <c r="D10" s="77">
        <f t="shared" si="1"/>
        <v>-2.9151291512915227E-2</v>
      </c>
      <c r="G10" s="74">
        <f>'Beta-Alphabet Inc (Class A)'!G10</f>
        <v>4357.04</v>
      </c>
      <c r="H10" s="77">
        <f t="shared" si="0"/>
        <v>-2.209414024975976E-2</v>
      </c>
      <c r="J10" t="s">
        <v>64</v>
      </c>
      <c r="K10" s="40">
        <f>100%-K7</f>
        <v>0.5</v>
      </c>
      <c r="N10" t="s">
        <v>65</v>
      </c>
      <c r="O10" s="71">
        <f>O35</f>
        <v>1.2755236123184608</v>
      </c>
      <c r="P10" s="341" t="s">
        <v>66</v>
      </c>
      <c r="Q10" s="341"/>
      <c r="R10" s="341"/>
      <c r="S10" s="341"/>
    </row>
    <row r="11" spans="2:19" x14ac:dyDescent="0.3">
      <c r="B11" s="73">
        <f>'Beta-Alphabet Inc (Class A)'!B11</f>
        <v>44472</v>
      </c>
      <c r="C11">
        <v>51.64</v>
      </c>
      <c r="D11" s="77">
        <f t="shared" si="1"/>
        <v>-1.862409730140625E-2</v>
      </c>
      <c r="G11" s="74">
        <f>'Beta-Alphabet Inc (Class A)'!G11</f>
        <v>4391.34</v>
      </c>
      <c r="H11" s="77">
        <f t="shared" si="0"/>
        <v>7.8723169858436418E-3</v>
      </c>
    </row>
    <row r="12" spans="2:19" x14ac:dyDescent="0.3">
      <c r="B12" s="73">
        <f>'Beta-Alphabet Inc (Class A)'!B12</f>
        <v>44479</v>
      </c>
      <c r="C12">
        <v>52.67</v>
      </c>
      <c r="D12" s="77">
        <f>(C12-C9)/C9</f>
        <v>-2.8228782287822898E-2</v>
      </c>
      <c r="G12" s="74">
        <f>'Beta-Alphabet Inc (Class A)'!G12</f>
        <v>4471.37</v>
      </c>
      <c r="H12" s="77">
        <f t="shared" si="0"/>
        <v>1.8224505504014662E-2</v>
      </c>
      <c r="J12" s="72" t="s">
        <v>67</v>
      </c>
      <c r="K12" s="78">
        <f>(K6*K7)+(K9*K10)</f>
        <v>1.1377618061592303</v>
      </c>
    </row>
    <row r="13" spans="2:19" x14ac:dyDescent="0.3">
      <c r="B13" s="73">
        <f>'Beta-Alphabet Inc (Class A)'!B13</f>
        <v>44486</v>
      </c>
      <c r="C13">
        <v>58.06</v>
      </c>
      <c r="D13" s="77">
        <f t="shared" si="1"/>
        <v>0.10233529523447883</v>
      </c>
      <c r="G13" s="74">
        <f>'Beta-Alphabet Inc (Class A)'!G13</f>
        <v>4544.8999999999996</v>
      </c>
      <c r="H13" s="77">
        <f t="shared" si="0"/>
        <v>1.6444624354504268E-2</v>
      </c>
    </row>
    <row r="14" spans="2:19" x14ac:dyDescent="0.3">
      <c r="B14" s="73">
        <f>'Beta-Alphabet Inc (Class A)'!B14</f>
        <v>44493</v>
      </c>
      <c r="C14">
        <v>44.64</v>
      </c>
      <c r="D14" s="77">
        <f t="shared" si="1"/>
        <v>-0.23114019979331729</v>
      </c>
      <c r="G14" s="74">
        <f>'Beta-Alphabet Inc (Class A)'!G14</f>
        <v>4605.38</v>
      </c>
      <c r="H14" s="77">
        <f t="shared" si="0"/>
        <v>1.330722348126482E-2</v>
      </c>
    </row>
    <row r="15" spans="2:19" x14ac:dyDescent="0.3">
      <c r="B15" s="73">
        <f>'Beta-Alphabet Inc (Class A)'!B15</f>
        <v>44500</v>
      </c>
      <c r="C15">
        <v>46.22</v>
      </c>
      <c r="D15" s="77">
        <f t="shared" si="1"/>
        <v>3.539426523297487E-2</v>
      </c>
      <c r="G15" s="74">
        <f>'Beta-Alphabet Inc (Class A)'!G15</f>
        <v>4697.53</v>
      </c>
      <c r="H15" s="77">
        <f t="shared" si="0"/>
        <v>2.0009206623557586E-2</v>
      </c>
      <c r="J15" s="62"/>
    </row>
    <row r="16" spans="2:19" x14ac:dyDescent="0.3">
      <c r="B16" s="73">
        <f>'Beta-Alphabet Inc (Class A)'!B16</f>
        <v>44507</v>
      </c>
      <c r="C16">
        <v>45.96</v>
      </c>
      <c r="D16" s="77">
        <f t="shared" si="1"/>
        <v>-5.6252704456944613E-3</v>
      </c>
      <c r="G16" s="74">
        <f>'Beta-Alphabet Inc (Class A)'!G16</f>
        <v>4682.8500000000004</v>
      </c>
      <c r="H16" s="77">
        <f t="shared" si="0"/>
        <v>-3.1250465670255184E-3</v>
      </c>
      <c r="J16" s="79"/>
      <c r="K16" s="79"/>
      <c r="L16" s="79"/>
    </row>
    <row r="17" spans="2:19" x14ac:dyDescent="0.3">
      <c r="B17" s="73">
        <f>'Beta-Alphabet Inc (Class A)'!B17</f>
        <v>44514</v>
      </c>
      <c r="C17">
        <v>44.76</v>
      </c>
      <c r="D17" s="77">
        <f t="shared" si="1"/>
        <v>-2.6109660574412594E-2</v>
      </c>
      <c r="G17" s="74">
        <f>'Beta-Alphabet Inc (Class A)'!G17</f>
        <v>4697.96</v>
      </c>
      <c r="H17" s="77">
        <f t="shared" si="0"/>
        <v>3.2266675208472771E-3</v>
      </c>
      <c r="J17" s="79"/>
      <c r="K17" s="79"/>
      <c r="L17" s="79"/>
    </row>
    <row r="18" spans="2:19" x14ac:dyDescent="0.3">
      <c r="B18" s="73">
        <f>'Beta-Alphabet Inc (Class A)'!B18</f>
        <v>44521</v>
      </c>
      <c r="C18">
        <v>42.8</v>
      </c>
      <c r="D18" s="77">
        <f>(C18-C17)/C17</f>
        <v>-4.3789097408400375E-2</v>
      </c>
      <c r="G18" s="74">
        <f>'Beta-Alphabet Inc (Class A)'!G18</f>
        <v>4594.62</v>
      </c>
      <c r="H18" s="77">
        <f t="shared" si="0"/>
        <v>-2.1996781581792978E-2</v>
      </c>
      <c r="J18" s="79"/>
      <c r="K18" s="79"/>
      <c r="L18" s="79"/>
      <c r="N18" t="s">
        <v>69</v>
      </c>
    </row>
    <row r="19" spans="2:19" ht="15" thickBot="1" x14ac:dyDescent="0.35">
      <c r="B19" s="73">
        <f>'Beta-Alphabet Inc (Class A)'!B19</f>
        <v>44528</v>
      </c>
      <c r="C19">
        <v>35.840000000000003</v>
      </c>
      <c r="D19" s="77">
        <f t="shared" si="1"/>
        <v>-0.16261682242990641</v>
      </c>
      <c r="G19" s="74">
        <f>'Beta-Alphabet Inc (Class A)'!G19</f>
        <v>4538.43</v>
      </c>
      <c r="H19" s="77">
        <f t="shared" si="0"/>
        <v>-1.2229520613238875E-2</v>
      </c>
      <c r="J19" s="79"/>
      <c r="K19" s="79"/>
      <c r="L19" s="79"/>
    </row>
    <row r="20" spans="2:19" x14ac:dyDescent="0.3">
      <c r="B20" s="73">
        <f>'Beta-Alphabet Inc (Class A)'!B20</f>
        <v>44535</v>
      </c>
      <c r="C20">
        <v>37.26</v>
      </c>
      <c r="D20" s="77">
        <f t="shared" si="1"/>
        <v>3.962053571428556E-2</v>
      </c>
      <c r="G20" s="74">
        <f>'Beta-Alphabet Inc (Class A)'!G20</f>
        <v>4712.0200000000004</v>
      </c>
      <c r="H20" s="77">
        <f t="shared" si="0"/>
        <v>3.8248909865305873E-2</v>
      </c>
      <c r="J20" s="79"/>
      <c r="K20" s="79"/>
      <c r="L20" s="79"/>
      <c r="N20" s="191" t="s">
        <v>70</v>
      </c>
      <c r="O20" s="191"/>
    </row>
    <row r="21" spans="2:19" x14ac:dyDescent="0.3">
      <c r="B21" s="73">
        <f>'Beta-Alphabet Inc (Class A)'!B21</f>
        <v>44542</v>
      </c>
      <c r="C21">
        <v>36.51</v>
      </c>
      <c r="D21" s="77">
        <f t="shared" si="1"/>
        <v>-2.0128824476650566E-2</v>
      </c>
      <c r="G21" s="74">
        <f>'Beta-Alphabet Inc (Class A)'!G21</f>
        <v>4620.6400000000003</v>
      </c>
      <c r="H21" s="77">
        <f t="shared" si="0"/>
        <v>-1.9392956736176862E-2</v>
      </c>
      <c r="J21" s="79"/>
      <c r="K21" s="79"/>
      <c r="L21" s="79"/>
      <c r="N21" t="s">
        <v>71</v>
      </c>
      <c r="O21">
        <v>0.43271135743632233</v>
      </c>
    </row>
    <row r="22" spans="2:19" x14ac:dyDescent="0.3">
      <c r="B22" s="73">
        <f>'Beta-Alphabet Inc (Class A)'!B22</f>
        <v>44549</v>
      </c>
      <c r="C22">
        <v>37.42</v>
      </c>
      <c r="D22" s="77">
        <f t="shared" si="1"/>
        <v>2.4924678170364388E-2</v>
      </c>
      <c r="G22" s="74">
        <f>'Beta-Alphabet Inc (Class A)'!G22</f>
        <v>4725.79</v>
      </c>
      <c r="H22" s="77">
        <f t="shared" si="0"/>
        <v>2.2756587831988563E-2</v>
      </c>
      <c r="J22" s="79"/>
      <c r="K22" s="79"/>
      <c r="L22" s="79"/>
      <c r="N22" t="s">
        <v>72</v>
      </c>
      <c r="O22">
        <v>0.18723911885438468</v>
      </c>
    </row>
    <row r="23" spans="2:19" x14ac:dyDescent="0.3">
      <c r="B23" s="73">
        <f>'Beta-Alphabet Inc (Class A)'!B23</f>
        <v>44556</v>
      </c>
      <c r="C23">
        <v>36.35</v>
      </c>
      <c r="D23" s="77">
        <f t="shared" si="1"/>
        <v>-2.8594334580438273E-2</v>
      </c>
      <c r="G23" s="74">
        <f>'Beta-Alphabet Inc (Class A)'!G23</f>
        <v>4766.18</v>
      </c>
      <c r="H23" s="77">
        <f t="shared" si="0"/>
        <v>8.5467191728791012E-3</v>
      </c>
      <c r="J23" s="79"/>
      <c r="K23" s="79"/>
      <c r="L23" s="79"/>
      <c r="N23" t="s">
        <v>73</v>
      </c>
      <c r="O23">
        <v>0.17298015602726863</v>
      </c>
    </row>
    <row r="24" spans="2:19" x14ac:dyDescent="0.3">
      <c r="B24" s="73">
        <f>'Beta-Alphabet Inc (Class A)'!B24</f>
        <v>44563</v>
      </c>
      <c r="C24">
        <v>32.42</v>
      </c>
      <c r="D24" s="77">
        <f t="shared" si="1"/>
        <v>-0.10811554332874827</v>
      </c>
      <c r="G24" s="74">
        <f>'Beta-Alphabet Inc (Class A)'!G24</f>
        <v>4677.03</v>
      </c>
      <c r="H24" s="77">
        <f t="shared" si="0"/>
        <v>-1.8704706914132604E-2</v>
      </c>
      <c r="J24" s="79"/>
      <c r="K24" s="79"/>
      <c r="L24" s="79"/>
      <c r="N24" t="s">
        <v>74</v>
      </c>
      <c r="O24">
        <v>7.9526202215768282E-2</v>
      </c>
    </row>
    <row r="25" spans="2:19" ht="15" thickBot="1" x14ac:dyDescent="0.35">
      <c r="B25" s="73">
        <f>'Beta-Alphabet Inc (Class A)'!B25</f>
        <v>44570</v>
      </c>
      <c r="C25">
        <v>32.83</v>
      </c>
      <c r="D25" s="77">
        <f t="shared" si="1"/>
        <v>1.2646514497223829E-2</v>
      </c>
      <c r="G25" s="74">
        <f>'Beta-Alphabet Inc (Class A)'!G25</f>
        <v>4662.8500000000004</v>
      </c>
      <c r="H25" s="77">
        <f t="shared" si="0"/>
        <v>-3.0318385813217752E-3</v>
      </c>
      <c r="J25" s="79"/>
      <c r="K25" s="79"/>
      <c r="L25" s="79"/>
      <c r="N25" s="81" t="s">
        <v>75</v>
      </c>
      <c r="O25" s="81">
        <v>59</v>
      </c>
    </row>
    <row r="26" spans="2:19" x14ac:dyDescent="0.3">
      <c r="B26" s="73">
        <f>'Beta-Alphabet Inc (Class A)'!B26</f>
        <v>44577</v>
      </c>
      <c r="C26">
        <v>29.45</v>
      </c>
      <c r="D26" s="77">
        <f t="shared" si="1"/>
        <v>-0.10295461468169355</v>
      </c>
      <c r="G26" s="74">
        <f>'Beta-Alphabet Inc (Class A)'!G26</f>
        <v>4397.9399999999996</v>
      </c>
      <c r="H26" s="77">
        <f t="shared" si="0"/>
        <v>-5.681289340210402E-2</v>
      </c>
    </row>
    <row r="27" spans="2:19" ht="15" thickBot="1" x14ac:dyDescent="0.35">
      <c r="B27" s="73">
        <f>'Beta-Alphabet Inc (Class A)'!B27</f>
        <v>44584</v>
      </c>
      <c r="C27">
        <v>26.84</v>
      </c>
      <c r="D27" s="77">
        <f t="shared" si="1"/>
        <v>-8.862478777589132E-2</v>
      </c>
      <c r="G27" s="74">
        <f>'Beta-Alphabet Inc (Class A)'!G27</f>
        <v>4431.8500000000004</v>
      </c>
      <c r="H27" s="77">
        <f t="shared" si="0"/>
        <v>7.7104280640483422E-3</v>
      </c>
      <c r="N27" t="s">
        <v>76</v>
      </c>
    </row>
    <row r="28" spans="2:19" x14ac:dyDescent="0.3">
      <c r="B28" s="73">
        <f>'Beta-Alphabet Inc (Class A)'!B28</f>
        <v>44591</v>
      </c>
      <c r="C28">
        <v>27.25</v>
      </c>
      <c r="D28" s="77">
        <f t="shared" si="1"/>
        <v>1.5275707898658723E-2</v>
      </c>
      <c r="G28" s="74">
        <f>'Beta-Alphabet Inc (Class A)'!G28</f>
        <v>4500.53</v>
      </c>
      <c r="H28" s="77">
        <f t="shared" si="0"/>
        <v>1.5496914381127378E-2</v>
      </c>
      <c r="N28" s="190"/>
      <c r="O28" s="190" t="s">
        <v>77</v>
      </c>
      <c r="P28" s="190" t="s">
        <v>78</v>
      </c>
      <c r="Q28" s="190" t="s">
        <v>79</v>
      </c>
      <c r="R28" s="190" t="s">
        <v>80</v>
      </c>
      <c r="S28" s="190" t="s">
        <v>81</v>
      </c>
    </row>
    <row r="29" spans="2:19" x14ac:dyDescent="0.3">
      <c r="B29" s="73">
        <f>'Beta-Alphabet Inc (Class A)'!B29</f>
        <v>44598</v>
      </c>
      <c r="C29">
        <v>25.4</v>
      </c>
      <c r="D29" s="77">
        <f t="shared" si="1"/>
        <v>-6.7889908256880779E-2</v>
      </c>
      <c r="G29" s="74">
        <f>'Beta-Alphabet Inc (Class A)'!G29</f>
        <v>4418.6400000000003</v>
      </c>
      <c r="H29" s="77">
        <f t="shared" si="0"/>
        <v>-1.8195634736353147E-2</v>
      </c>
      <c r="N29" t="s">
        <v>82</v>
      </c>
      <c r="O29">
        <v>1</v>
      </c>
      <c r="P29">
        <v>8.304799237744398E-2</v>
      </c>
      <c r="Q29">
        <v>8.304799237744398E-2</v>
      </c>
      <c r="R29">
        <v>13.131328072355643</v>
      </c>
      <c r="S29">
        <v>6.1973863795372554E-4</v>
      </c>
    </row>
    <row r="30" spans="2:19" x14ac:dyDescent="0.3">
      <c r="B30" s="73">
        <f>'Beta-Alphabet Inc (Class A)'!B30</f>
        <v>44605</v>
      </c>
      <c r="C30">
        <v>23.86</v>
      </c>
      <c r="D30" s="77">
        <f t="shared" si="1"/>
        <v>-6.0629921259842491E-2</v>
      </c>
      <c r="G30" s="74">
        <f>'Beta-Alphabet Inc (Class A)'!G30</f>
        <v>4348.87</v>
      </c>
      <c r="H30" s="77">
        <f t="shared" si="0"/>
        <v>-1.5789926312168547E-2</v>
      </c>
      <c r="N30" t="s">
        <v>83</v>
      </c>
      <c r="O30">
        <v>57</v>
      </c>
      <c r="P30">
        <v>0.36049175981520631</v>
      </c>
      <c r="Q30">
        <v>6.324416838863269E-3</v>
      </c>
    </row>
    <row r="31" spans="2:19" ht="15" thickBot="1" x14ac:dyDescent="0.35">
      <c r="B31" s="73">
        <f>'Beta-Alphabet Inc (Class A)'!B31</f>
        <v>44612</v>
      </c>
      <c r="C31">
        <v>26.35</v>
      </c>
      <c r="D31" s="77">
        <f t="shared" si="1"/>
        <v>0.10435875943000847</v>
      </c>
      <c r="G31" s="74">
        <f>'Beta-Alphabet Inc (Class A)'!G31</f>
        <v>4384.6499999999996</v>
      </c>
      <c r="H31" s="77">
        <f t="shared" si="0"/>
        <v>8.2274245953545978E-3</v>
      </c>
      <c r="N31" s="81" t="s">
        <v>84</v>
      </c>
      <c r="O31" s="81">
        <v>58</v>
      </c>
      <c r="P31" s="81">
        <v>0.44353975219265029</v>
      </c>
      <c r="Q31" s="81"/>
      <c r="R31" s="81"/>
      <c r="S31" s="81"/>
    </row>
    <row r="32" spans="2:19" ht="15" thickBot="1" x14ac:dyDescent="0.35">
      <c r="B32" s="73">
        <f>'Beta-Alphabet Inc (Class A)'!B32</f>
        <v>44619</v>
      </c>
      <c r="C32">
        <v>24.18</v>
      </c>
      <c r="D32" s="77">
        <f t="shared" si="1"/>
        <v>-8.2352941176470643E-2</v>
      </c>
      <c r="G32" s="74">
        <f>'Beta-Alphabet Inc (Class A)'!G32</f>
        <v>4328.87</v>
      </c>
      <c r="H32" s="77">
        <f t="shared" si="0"/>
        <v>-1.2721653951854709E-2</v>
      </c>
    </row>
    <row r="33" spans="2:22" x14ac:dyDescent="0.3">
      <c r="B33" s="73">
        <f>'Beta-Alphabet Inc (Class A)'!B33</f>
        <v>44626</v>
      </c>
      <c r="C33">
        <v>23.08</v>
      </c>
      <c r="D33" s="77">
        <f t="shared" si="1"/>
        <v>-4.5492142266335876E-2</v>
      </c>
      <c r="G33" s="74">
        <f>'Beta-Alphabet Inc (Class A)'!G33</f>
        <v>4204.3100000000004</v>
      </c>
      <c r="H33" s="77">
        <f t="shared" si="0"/>
        <v>-2.8774252865066286E-2</v>
      </c>
      <c r="N33" s="190"/>
      <c r="O33" s="190" t="s">
        <v>85</v>
      </c>
      <c r="P33" s="190" t="s">
        <v>74</v>
      </c>
      <c r="Q33" s="190" t="s">
        <v>86</v>
      </c>
      <c r="R33" s="190" t="s">
        <v>87</v>
      </c>
      <c r="S33" s="190" t="s">
        <v>88</v>
      </c>
      <c r="T33" s="190" t="s">
        <v>89</v>
      </c>
      <c r="U33" s="190" t="s">
        <v>90</v>
      </c>
      <c r="V33" s="190" t="s">
        <v>91</v>
      </c>
    </row>
    <row r="34" spans="2:22" x14ac:dyDescent="0.3">
      <c r="B34" s="73">
        <f>'Beta-Alphabet Inc (Class A)'!B34</f>
        <v>44633</v>
      </c>
      <c r="C34">
        <v>26.32</v>
      </c>
      <c r="D34" s="77">
        <f>(C34-C33)/C33</f>
        <v>0.14038128249566734</v>
      </c>
      <c r="G34" s="74">
        <f>'Beta-Alphabet Inc (Class A)'!G34</f>
        <v>4463.12</v>
      </c>
      <c r="H34" s="77">
        <f t="shared" si="0"/>
        <v>6.1558258073262789E-2</v>
      </c>
      <c r="N34" t="s">
        <v>92</v>
      </c>
      <c r="O34">
        <v>-5.5913218034902568E-3</v>
      </c>
      <c r="P34">
        <v>1.0373458843186321E-2</v>
      </c>
      <c r="Q34">
        <v>-0.53900264974424106</v>
      </c>
      <c r="R34">
        <v>0.5919841359949497</v>
      </c>
      <c r="S34">
        <v>-2.6363814830347707E-2</v>
      </c>
      <c r="T34">
        <v>1.5181171223367193E-2</v>
      </c>
      <c r="U34">
        <v>-2.6363814830347707E-2</v>
      </c>
      <c r="V34">
        <v>1.5181171223367193E-2</v>
      </c>
    </row>
    <row r="35" spans="2:22" ht="15" thickBot="1" x14ac:dyDescent="0.35">
      <c r="B35" s="73">
        <f>'Beta-Alphabet Inc (Class A)'!B35</f>
        <v>44640</v>
      </c>
      <c r="C35">
        <v>25.49</v>
      </c>
      <c r="D35" s="77">
        <f>(C35-C33)/C33</f>
        <v>0.10441941074523398</v>
      </c>
      <c r="G35" s="74">
        <f>'Beta-Alphabet Inc (Class A)'!G35</f>
        <v>4543.0600000000004</v>
      </c>
      <c r="H35" s="77">
        <f t="shared" si="0"/>
        <v>1.7911236982200908E-2</v>
      </c>
      <c r="N35" s="81" t="s">
        <v>93</v>
      </c>
      <c r="O35" s="81">
        <v>1.2755236123184608</v>
      </c>
      <c r="P35" s="81">
        <v>0.35199312144233758</v>
      </c>
      <c r="Q35" s="81">
        <v>3.6237174382608299</v>
      </c>
      <c r="R35" s="81">
        <v>6.197386379537315E-4</v>
      </c>
      <c r="S35" s="81">
        <v>0.57066954472215525</v>
      </c>
      <c r="T35" s="81">
        <v>1.9803776799147663</v>
      </c>
      <c r="U35" s="81">
        <v>0.57066954472215525</v>
      </c>
      <c r="V35" s="81">
        <v>1.9803776799147663</v>
      </c>
    </row>
    <row r="36" spans="2:22" x14ac:dyDescent="0.3">
      <c r="B36" s="73">
        <f>'Beta-Alphabet Inc (Class A)'!B36</f>
        <v>44647</v>
      </c>
      <c r="C36">
        <v>24.81</v>
      </c>
      <c r="D36" s="77">
        <f t="shared" si="1"/>
        <v>-2.6677128285602189E-2</v>
      </c>
      <c r="G36" s="74">
        <f>'Beta-Alphabet Inc (Class A)'!G36</f>
        <v>4545.8599999999997</v>
      </c>
      <c r="H36" s="77">
        <f t="shared" si="0"/>
        <v>6.1632467984118022E-4</v>
      </c>
    </row>
    <row r="37" spans="2:22" x14ac:dyDescent="0.3">
      <c r="B37" s="73">
        <f>'Beta-Alphabet Inc (Class A)'!B37</f>
        <v>44654</v>
      </c>
      <c r="C37">
        <v>23.55</v>
      </c>
      <c r="D37" s="77">
        <f t="shared" si="1"/>
        <v>-5.0785973397823383E-2</v>
      </c>
      <c r="G37" s="74">
        <f>'Beta-Alphabet Inc (Class A)'!G37</f>
        <v>4488.28</v>
      </c>
      <c r="H37" s="77">
        <f t="shared" si="0"/>
        <v>-1.2666470150862528E-2</v>
      </c>
    </row>
    <row r="38" spans="2:22" x14ac:dyDescent="0.3">
      <c r="B38" s="73">
        <f>'Beta-Alphabet Inc (Class A)'!B38</f>
        <v>44661</v>
      </c>
      <c r="C38">
        <v>22.16</v>
      </c>
      <c r="D38" s="77">
        <f t="shared" si="1"/>
        <v>-5.902335456475586E-2</v>
      </c>
      <c r="G38" s="74">
        <f>'Beta-Alphabet Inc (Class A)'!G38</f>
        <v>4392.59</v>
      </c>
      <c r="H38" s="77">
        <f t="shared" si="0"/>
        <v>-2.1319971124796049E-2</v>
      </c>
    </row>
    <row r="39" spans="2:22" x14ac:dyDescent="0.3">
      <c r="B39" s="73">
        <f>'Beta-Alphabet Inc (Class A)'!B39</f>
        <v>44668</v>
      </c>
      <c r="C39">
        <v>19.59</v>
      </c>
      <c r="D39" s="77">
        <f t="shared" si="1"/>
        <v>-0.11597472924187727</v>
      </c>
      <c r="G39" s="74">
        <f>'Beta-Alphabet Inc (Class A)'!G39</f>
        <v>4271.78</v>
      </c>
      <c r="H39" s="77">
        <f t="shared" si="0"/>
        <v>-2.750313596306516E-2</v>
      </c>
    </row>
    <row r="40" spans="2:22" x14ac:dyDescent="0.3">
      <c r="B40" s="73">
        <f>'Beta-Alphabet Inc (Class A)'!B40</f>
        <v>44675</v>
      </c>
      <c r="C40">
        <v>20.52</v>
      </c>
      <c r="D40" s="77">
        <f t="shared" si="1"/>
        <v>4.7473200612557415E-2</v>
      </c>
      <c r="G40" s="74">
        <f>'Beta-Alphabet Inc (Class A)'!G40</f>
        <v>4131.93</v>
      </c>
      <c r="H40" s="77">
        <f t="shared" si="0"/>
        <v>-3.2738109172288712E-2</v>
      </c>
      <c r="N40" s="82"/>
      <c r="O40" s="82"/>
      <c r="P40" s="82"/>
      <c r="Q40" s="82"/>
      <c r="R40" s="82"/>
      <c r="S40" s="82"/>
      <c r="T40" s="82"/>
      <c r="U40" s="82"/>
      <c r="V40" s="82"/>
    </row>
    <row r="41" spans="2:22" x14ac:dyDescent="0.3">
      <c r="B41" s="73">
        <f>'Beta-Alphabet Inc (Class A)'!B41</f>
        <v>44682</v>
      </c>
      <c r="C41">
        <v>22.69</v>
      </c>
      <c r="D41" s="77">
        <f t="shared" si="1"/>
        <v>0.10575048732943479</v>
      </c>
      <c r="G41" s="74">
        <f>'Beta-Alphabet Inc (Class A)'!G41</f>
        <v>4123.34</v>
      </c>
      <c r="H41" s="77">
        <f t="shared" si="0"/>
        <v>-2.0789316372736579E-3</v>
      </c>
    </row>
    <row r="42" spans="2:22" x14ac:dyDescent="0.3">
      <c r="B42" s="73">
        <f>'Beta-Alphabet Inc (Class A)'!B42</f>
        <v>44689</v>
      </c>
      <c r="C42">
        <v>21.47</v>
      </c>
      <c r="D42" s="77">
        <f t="shared" si="1"/>
        <v>-5.3768179814896531E-2</v>
      </c>
      <c r="G42" s="74">
        <f>'Beta-Alphabet Inc (Class A)'!G42</f>
        <v>4023.89</v>
      </c>
      <c r="H42" s="77">
        <f t="shared" si="0"/>
        <v>-2.4118796897660701E-2</v>
      </c>
    </row>
    <row r="43" spans="2:22" x14ac:dyDescent="0.3">
      <c r="B43" s="73">
        <f>'Beta-Alphabet Inc (Class A)'!B43</f>
        <v>44696</v>
      </c>
      <c r="C43">
        <v>22.91</v>
      </c>
      <c r="D43" s="77">
        <f t="shared" si="1"/>
        <v>6.7070330693991681E-2</v>
      </c>
      <c r="G43" s="74">
        <f>'Beta-Alphabet Inc (Class A)'!G43</f>
        <v>3901.36</v>
      </c>
      <c r="H43" s="77">
        <f t="shared" si="0"/>
        <v>-3.0450633590878417E-2</v>
      </c>
    </row>
    <row r="44" spans="2:22" x14ac:dyDescent="0.3">
      <c r="B44" s="73">
        <f>'Beta-Alphabet Inc (Class A)'!B44</f>
        <v>44703</v>
      </c>
      <c r="C44">
        <v>20.45</v>
      </c>
      <c r="D44" s="77">
        <f t="shared" si="1"/>
        <v>-0.10737669140113491</v>
      </c>
      <c r="G44" s="74">
        <f>'Beta-Alphabet Inc (Class A)'!G44</f>
        <v>4158.24</v>
      </c>
      <c r="H44" s="77">
        <f t="shared" si="0"/>
        <v>6.5843705784649362E-2</v>
      </c>
    </row>
    <row r="45" spans="2:22" x14ac:dyDescent="0.3">
      <c r="B45" s="73">
        <f>'Beta-Alphabet Inc (Class A)'!B45</f>
        <v>44710</v>
      </c>
      <c r="C45">
        <v>19.46</v>
      </c>
      <c r="D45" s="77">
        <f t="shared" si="1"/>
        <v>-4.8410757946210192E-2</v>
      </c>
      <c r="G45" s="74">
        <f>'Beta-Alphabet Inc (Class A)'!G45</f>
        <v>4108.54</v>
      </c>
      <c r="H45" s="77">
        <f t="shared" si="0"/>
        <v>-1.1952172072799987E-2</v>
      </c>
    </row>
    <row r="46" spans="2:22" x14ac:dyDescent="0.3">
      <c r="B46" s="73">
        <f>'Beta-Alphabet Inc (Class A)'!B46</f>
        <v>44717</v>
      </c>
      <c r="C46">
        <v>19.239999999999998</v>
      </c>
      <c r="D46" s="77">
        <f t="shared" si="1"/>
        <v>-1.1305241521068984E-2</v>
      </c>
      <c r="G46" s="74">
        <f>'Beta-Alphabet Inc (Class A)'!G46</f>
        <v>3900.86</v>
      </c>
      <c r="H46" s="77">
        <f t="shared" si="0"/>
        <v>-5.0548369980577004E-2</v>
      </c>
    </row>
    <row r="47" spans="2:22" x14ac:dyDescent="0.3">
      <c r="B47" s="73">
        <f>'Beta-Alphabet Inc (Class A)'!B47</f>
        <v>44724</v>
      </c>
      <c r="C47">
        <v>18.18</v>
      </c>
      <c r="D47" s="77">
        <f t="shared" si="1"/>
        <v>-5.5093555093555034E-2</v>
      </c>
      <c r="G47" s="74">
        <f>'Beta-Alphabet Inc (Class A)'!G47</f>
        <v>3674.84</v>
      </c>
      <c r="H47" s="77">
        <f t="shared" si="0"/>
        <v>-5.7941069405208073E-2</v>
      </c>
    </row>
    <row r="48" spans="2:22" x14ac:dyDescent="0.3">
      <c r="B48" s="73">
        <f>'Beta-Alphabet Inc (Class A)'!B48</f>
        <v>44731</v>
      </c>
      <c r="C48">
        <v>21.47</v>
      </c>
      <c r="D48" s="77">
        <f>(C48-C47)/C47</f>
        <v>0.18096809680968093</v>
      </c>
      <c r="G48" s="74">
        <f>'Beta-Alphabet Inc (Class A)'!G48</f>
        <v>3911.74</v>
      </c>
      <c r="H48" s="77">
        <f t="shared" si="0"/>
        <v>6.4465391690522483E-2</v>
      </c>
    </row>
    <row r="49" spans="2:8" x14ac:dyDescent="0.3">
      <c r="B49" s="73">
        <f>'Beta-Alphabet Inc (Class A)'!B49</f>
        <v>44738</v>
      </c>
      <c r="C49">
        <v>18.71</v>
      </c>
      <c r="D49" s="77">
        <f t="shared" si="1"/>
        <v>-0.12855146716348384</v>
      </c>
      <c r="G49" s="74">
        <f>'Beta-Alphabet Inc (Class A)'!G49</f>
        <v>3825.33</v>
      </c>
      <c r="H49" s="77">
        <f t="shared" si="0"/>
        <v>-2.2089913951336197E-2</v>
      </c>
    </row>
    <row r="50" spans="2:8" x14ac:dyDescent="0.3">
      <c r="B50" s="73">
        <f>'Beta-Alphabet Inc (Class A)'!B50</f>
        <v>44745</v>
      </c>
      <c r="C50">
        <v>20.239999999999998</v>
      </c>
      <c r="D50" s="77">
        <f t="shared" si="1"/>
        <v>8.177445216461772E-2</v>
      </c>
      <c r="G50" s="74">
        <f>'Beta-Alphabet Inc (Class A)'!G50</f>
        <v>3899.38</v>
      </c>
      <c r="H50" s="77">
        <f t="shared" si="0"/>
        <v>1.9357807038869898E-2</v>
      </c>
    </row>
    <row r="51" spans="2:8" x14ac:dyDescent="0.3">
      <c r="B51" s="73">
        <f>'Beta-Alphabet Inc (Class A)'!B51</f>
        <v>44752</v>
      </c>
      <c r="C51">
        <v>20.399999999999999</v>
      </c>
      <c r="D51" s="77">
        <f t="shared" si="1"/>
        <v>7.9051383399209568E-3</v>
      </c>
      <c r="G51" s="74">
        <f>'Beta-Alphabet Inc (Class A)'!G51</f>
        <v>3863.16</v>
      </c>
      <c r="H51" s="77">
        <f t="shared" si="0"/>
        <v>-9.2886561453359908E-3</v>
      </c>
    </row>
    <row r="52" spans="2:8" x14ac:dyDescent="0.3">
      <c r="B52" s="73">
        <f>'Beta-Alphabet Inc (Class A)'!B52</f>
        <v>44759</v>
      </c>
      <c r="C52">
        <v>18.11</v>
      </c>
      <c r="D52" s="77">
        <f t="shared" si="1"/>
        <v>-0.11225490196078428</v>
      </c>
      <c r="G52" s="74">
        <f>'Beta-Alphabet Inc (Class A)'!G52</f>
        <v>3961.63</v>
      </c>
      <c r="H52" s="77">
        <f t="shared" si="0"/>
        <v>2.5489495646051488E-2</v>
      </c>
    </row>
    <row r="53" spans="2:8" x14ac:dyDescent="0.3">
      <c r="B53" s="73">
        <f>'Beta-Alphabet Inc (Class A)'!B53</f>
        <v>44766</v>
      </c>
      <c r="C53">
        <v>19.48</v>
      </c>
      <c r="D53" s="77">
        <f t="shared" si="1"/>
        <v>7.5648812810601929E-2</v>
      </c>
      <c r="G53" s="74">
        <f>'Beta-Alphabet Inc (Class A)'!G53</f>
        <v>4130.29</v>
      </c>
      <c r="H53" s="77">
        <f t="shared" si="0"/>
        <v>4.2573385197507051E-2</v>
      </c>
    </row>
    <row r="54" spans="2:8" x14ac:dyDescent="0.3">
      <c r="B54" s="73">
        <f>'Beta-Alphabet Inc (Class A)'!B54</f>
        <v>44773</v>
      </c>
      <c r="C54">
        <v>22.55</v>
      </c>
      <c r="D54" s="77">
        <f t="shared" si="1"/>
        <v>0.1575975359342916</v>
      </c>
      <c r="G54" s="74">
        <f>'Beta-Alphabet Inc (Class A)'!G54</f>
        <v>4145.1899999999996</v>
      </c>
      <c r="H54" s="77">
        <f t="shared" si="0"/>
        <v>3.6074948732412581E-3</v>
      </c>
    </row>
    <row r="55" spans="2:8" x14ac:dyDescent="0.3">
      <c r="B55" s="73">
        <f>'Beta-Alphabet Inc (Class A)'!B55</f>
        <v>44780</v>
      </c>
      <c r="C55">
        <v>23.43</v>
      </c>
      <c r="D55" s="77">
        <f t="shared" si="1"/>
        <v>3.902439024390239E-2</v>
      </c>
      <c r="G55" s="74">
        <f>'Beta-Alphabet Inc (Class A)'!G55</f>
        <v>4280.1499999999996</v>
      </c>
      <c r="H55" s="77">
        <f t="shared" si="0"/>
        <v>3.2558218079267787E-2</v>
      </c>
    </row>
    <row r="56" spans="2:8" x14ac:dyDescent="0.3">
      <c r="B56" s="73">
        <f>'Beta-Alphabet Inc (Class A)'!B56</f>
        <v>44787</v>
      </c>
      <c r="C56">
        <v>21.77</v>
      </c>
      <c r="D56" s="77">
        <f t="shared" si="1"/>
        <v>-7.0849338454972266E-2</v>
      </c>
      <c r="G56" s="74">
        <f>'Beta-Alphabet Inc (Class A)'!G56</f>
        <v>4228.4799999999996</v>
      </c>
      <c r="H56" s="77">
        <f t="shared" si="0"/>
        <v>-1.2072006822190829E-2</v>
      </c>
    </row>
    <row r="57" spans="2:8" x14ac:dyDescent="0.3">
      <c r="B57" s="73">
        <f>'Beta-Alphabet Inc (Class A)'!B57</f>
        <v>44794</v>
      </c>
      <c r="C57">
        <v>23.08</v>
      </c>
      <c r="D57" s="77">
        <f t="shared" si="1"/>
        <v>6.0174552135966869E-2</v>
      </c>
      <c r="G57" s="74">
        <f>'Beta-Alphabet Inc (Class A)'!G57</f>
        <v>4057.66</v>
      </c>
      <c r="H57" s="77">
        <f t="shared" si="0"/>
        <v>-4.0397495080974656E-2</v>
      </c>
    </row>
    <row r="58" spans="2:8" x14ac:dyDescent="0.3">
      <c r="B58" s="73">
        <f>'Beta-Alphabet Inc (Class A)'!B58</f>
        <v>44801</v>
      </c>
      <c r="C58">
        <v>22.07</v>
      </c>
      <c r="D58" s="77">
        <f t="shared" si="1"/>
        <v>-4.3760831889081371E-2</v>
      </c>
      <c r="G58" s="74">
        <f>'Beta-Alphabet Inc (Class A)'!G58</f>
        <v>3924.26</v>
      </c>
      <c r="H58" s="77">
        <f t="shared" si="0"/>
        <v>-3.2876091146128467E-2</v>
      </c>
    </row>
    <row r="59" spans="2:8" x14ac:dyDescent="0.3">
      <c r="B59" s="73">
        <f>'Beta-Alphabet Inc (Class A)'!B59</f>
        <v>44808</v>
      </c>
      <c r="C59">
        <v>25.55</v>
      </c>
      <c r="D59" s="77">
        <f t="shared" si="1"/>
        <v>0.1576801087449026</v>
      </c>
      <c r="G59" s="74">
        <f>'Beta-Alphabet Inc (Class A)'!G59</f>
        <v>4067.36</v>
      </c>
      <c r="H59" s="77">
        <f t="shared" si="0"/>
        <v>3.6465473745368529E-2</v>
      </c>
    </row>
    <row r="60" spans="2:8" x14ac:dyDescent="0.3">
      <c r="B60" s="73">
        <f>'Beta-Alphabet Inc (Class A)'!B60</f>
        <v>44815</v>
      </c>
      <c r="C60">
        <v>24.92</v>
      </c>
      <c r="D60" s="77">
        <f t="shared" si="1"/>
        <v>-2.4657534246575304E-2</v>
      </c>
      <c r="G60" s="74">
        <f>'Beta-Alphabet Inc (Class A)'!G60</f>
        <v>3873.33</v>
      </c>
      <c r="H60" s="77">
        <f t="shared" si="0"/>
        <v>-4.770416191337875E-2</v>
      </c>
    </row>
    <row r="61" spans="2:8" x14ac:dyDescent="0.3">
      <c r="B61" s="73">
        <f>'Beta-Alphabet Inc (Class A)'!B61</f>
        <v>44822</v>
      </c>
      <c r="C61">
        <v>22.59</v>
      </c>
      <c r="D61" s="77">
        <f t="shared" si="1"/>
        <v>-9.3499197431781769E-2</v>
      </c>
      <c r="G61" s="74">
        <f>'Beta-Alphabet Inc (Class A)'!G61</f>
        <v>3693.23</v>
      </c>
      <c r="H61" s="77">
        <f t="shared" si="0"/>
        <v>-4.6497458259430496E-2</v>
      </c>
    </row>
    <row r="62" spans="2:8" x14ac:dyDescent="0.3">
      <c r="B62" s="73">
        <f>'Beta-Alphabet Inc (Class A)'!B62</f>
        <v>44829</v>
      </c>
      <c r="C62">
        <v>23.3</v>
      </c>
      <c r="D62" s="77">
        <f t="shared" si="1"/>
        <v>3.1429836210712742E-2</v>
      </c>
      <c r="G62" s="74">
        <f>'Beta-Alphabet Inc (Class A)'!G62</f>
        <v>3585.62</v>
      </c>
      <c r="H62" s="77">
        <f t="shared" si="0"/>
        <v>-2.9137096796029525E-2</v>
      </c>
    </row>
    <row r="63" spans="2:8" x14ac:dyDescent="0.3">
      <c r="B63" s="73">
        <f>'Beta-Alphabet Inc (Class A)'!B63</f>
        <v>44836</v>
      </c>
      <c r="C63">
        <v>25.12</v>
      </c>
      <c r="D63" s="77">
        <f t="shared" si="1"/>
        <v>7.8111587982832631E-2</v>
      </c>
      <c r="G63" s="74">
        <f>'Beta-Alphabet Inc (Class A)'!G63</f>
        <v>3639.66</v>
      </c>
      <c r="H63" s="77">
        <f t="shared" si="0"/>
        <v>1.5071312632124979E-2</v>
      </c>
    </row>
    <row r="64" spans="2:8" x14ac:dyDescent="0.3">
      <c r="B64" s="73">
        <f>'Beta-Alphabet Inc (Class A)'!B64</f>
        <v>44843</v>
      </c>
      <c r="C64">
        <v>21.35</v>
      </c>
      <c r="D64" s="77">
        <f t="shared" si="1"/>
        <v>-0.15007961783439489</v>
      </c>
      <c r="G64" s="74">
        <f>'Beta-Alphabet Inc (Class A)'!G64</f>
        <v>3583.07</v>
      </c>
      <c r="H64" s="77">
        <f t="shared" si="0"/>
        <v>-1.5548155596951279E-2</v>
      </c>
    </row>
    <row r="65" spans="2:8" x14ac:dyDescent="0.3">
      <c r="B65" s="73">
        <f>'Beta-Alphabet Inc (Class A)'!B65</f>
        <v>44850</v>
      </c>
      <c r="C65">
        <v>21.5</v>
      </c>
      <c r="D65" s="77">
        <f t="shared" si="1"/>
        <v>7.0257611241217131E-3</v>
      </c>
      <c r="G65" s="74">
        <f>'Beta-Alphabet Inc (Class A)'!G65</f>
        <v>3752.75</v>
      </c>
      <c r="H65" s="77">
        <f t="shared" si="0"/>
        <v>4.7356038257695167E-2</v>
      </c>
    </row>
    <row r="66" spans="2:8" x14ac:dyDescent="0.3">
      <c r="B66" s="73">
        <f>'Beta-Alphabet Inc (Class A)'!B66</f>
        <v>44857</v>
      </c>
      <c r="C66">
        <v>24.9</v>
      </c>
      <c r="D66" s="77">
        <f t="shared" si="1"/>
        <v>0.15813953488372087</v>
      </c>
      <c r="G66" s="74">
        <f>'Beta-Alphabet Inc (Class A)'!G66</f>
        <v>3901.06</v>
      </c>
      <c r="H66" s="77">
        <f t="shared" si="0"/>
        <v>3.9520351742055808E-2</v>
      </c>
    </row>
  </sheetData>
  <mergeCells count="6">
    <mergeCell ref="P10:S10"/>
    <mergeCell ref="B2:D2"/>
    <mergeCell ref="B4:E4"/>
    <mergeCell ref="G4:H4"/>
    <mergeCell ref="J4:K4"/>
    <mergeCell ref="P8:S8"/>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BCAA-C6CD-4ABF-8B38-562ADF956966}">
  <dimension ref="B2:V66"/>
  <sheetViews>
    <sheetView showGridLines="0" workbookViewId="0">
      <selection activeCell="A12" sqref="A12"/>
    </sheetView>
  </sheetViews>
  <sheetFormatPr defaultRowHeight="14.4" x14ac:dyDescent="0.3"/>
  <cols>
    <col min="2" max="2" width="14.33203125" customWidth="1"/>
    <col min="3" max="3" width="12.88671875" customWidth="1"/>
    <col min="4" max="4" width="13.44140625" customWidth="1"/>
    <col min="7" max="7" width="14.77734375" customWidth="1"/>
    <col min="10" max="10" width="23.44140625" customWidth="1"/>
    <col min="12" max="12" width="18" customWidth="1"/>
    <col min="14" max="14" width="21.6640625" customWidth="1"/>
  </cols>
  <sheetData>
    <row r="2" spans="2:19" x14ac:dyDescent="0.3">
      <c r="B2" s="346" t="s">
        <v>52</v>
      </c>
      <c r="C2" s="346"/>
      <c r="D2" s="346"/>
    </row>
    <row r="3" spans="2:19" x14ac:dyDescent="0.3">
      <c r="B3" s="68"/>
      <c r="J3" s="62"/>
    </row>
    <row r="4" spans="2:19" x14ac:dyDescent="0.3">
      <c r="B4" s="344" t="str">
        <f>'Data-competitors'!B12</f>
        <v>Microsoft Corporation</v>
      </c>
      <c r="C4" s="344"/>
      <c r="D4" s="344"/>
      <c r="E4" s="344"/>
      <c r="G4" s="344" t="str">
        <f>'Beta-Alphabet Inc (Class A)'!G4:H4</f>
        <v>S&amp;P 500 Returns</v>
      </c>
      <c r="H4" s="344"/>
      <c r="I4" s="69"/>
      <c r="J4" s="344" t="s">
        <v>53</v>
      </c>
      <c r="K4" s="344"/>
      <c r="L4" s="69"/>
    </row>
    <row r="6" spans="2:19" x14ac:dyDescent="0.3">
      <c r="B6" s="70" t="s">
        <v>54</v>
      </c>
      <c r="C6" s="70" t="s">
        <v>55</v>
      </c>
      <c r="D6" s="70" t="s">
        <v>56</v>
      </c>
      <c r="E6" s="10"/>
      <c r="F6" s="10"/>
      <c r="G6" s="70" t="s">
        <v>55</v>
      </c>
      <c r="H6" s="70" t="s">
        <v>56</v>
      </c>
      <c r="J6" t="s">
        <v>57</v>
      </c>
      <c r="K6" s="71">
        <f>O10</f>
        <v>1.1609615575090355</v>
      </c>
      <c r="N6" t="s">
        <v>58</v>
      </c>
      <c r="O6" s="71">
        <f>SLOPE(D8:D66,H8:H66)</f>
        <v>1.160961557509036</v>
      </c>
      <c r="P6" s="29" t="s">
        <v>59</v>
      </c>
      <c r="Q6" s="72"/>
      <c r="R6" s="72"/>
      <c r="S6" s="30"/>
    </row>
    <row r="7" spans="2:19" x14ac:dyDescent="0.3">
      <c r="B7" s="73">
        <f>'Beta-Alphabet Inc (Class A)'!B7</f>
        <v>44444</v>
      </c>
      <c r="C7">
        <v>295.70999999999998</v>
      </c>
      <c r="D7" s="8"/>
      <c r="G7" s="74">
        <f>'Beta-Alphabet Inc (Class A)'!G7</f>
        <v>4458.58</v>
      </c>
      <c r="H7" s="8"/>
      <c r="J7" t="s">
        <v>60</v>
      </c>
      <c r="K7" s="43">
        <v>0.5</v>
      </c>
      <c r="L7" s="75"/>
      <c r="O7" s="71"/>
      <c r="P7" s="76"/>
      <c r="Q7" s="76"/>
      <c r="R7" s="76"/>
      <c r="S7" s="76"/>
    </row>
    <row r="8" spans="2:19" x14ac:dyDescent="0.3">
      <c r="B8" s="73">
        <f>'Beta-Alphabet Inc (Class A)'!B8</f>
        <v>44451</v>
      </c>
      <c r="C8">
        <v>299.87</v>
      </c>
      <c r="D8" s="77">
        <f>(C8-C7)/C7</f>
        <v>1.4067836731933398E-2</v>
      </c>
      <c r="G8" s="74">
        <f>'Beta-Alphabet Inc (Class A)'!G8</f>
        <v>4432.99</v>
      </c>
      <c r="H8" s="77">
        <f t="shared" ref="H8:H66" si="0">(G8-G7)/G7</f>
        <v>-5.7394955344527059E-3</v>
      </c>
      <c r="N8" t="s">
        <v>61</v>
      </c>
      <c r="O8" s="71">
        <f>_xlfn.COVARIANCE.S(D8:D66,H8:H66)/_xlfn.VAR.S(H8:H66)</f>
        <v>1.1609615575090357</v>
      </c>
      <c r="P8" s="341" t="s">
        <v>62</v>
      </c>
      <c r="Q8" s="341"/>
      <c r="R8" s="341"/>
      <c r="S8" s="341"/>
    </row>
    <row r="9" spans="2:19" x14ac:dyDescent="0.3">
      <c r="B9" s="73">
        <f>'Beta-Alphabet Inc (Class A)'!B9</f>
        <v>44458</v>
      </c>
      <c r="C9">
        <v>299.35000000000002</v>
      </c>
      <c r="D9" s="77">
        <f t="shared" ref="D9:D66" si="1">(C9-C8)/C8</f>
        <v>-1.7340847700669684E-3</v>
      </c>
      <c r="G9" s="74">
        <f>'Beta-Alphabet Inc (Class A)'!G9</f>
        <v>4455.4799999999996</v>
      </c>
      <c r="H9" s="77">
        <f t="shared" si="0"/>
        <v>5.0733252274423766E-3</v>
      </c>
      <c r="J9" t="s">
        <v>63</v>
      </c>
      <c r="K9">
        <v>1</v>
      </c>
      <c r="O9" s="71"/>
      <c r="P9" s="76"/>
      <c r="Q9" s="76"/>
      <c r="R9" s="76"/>
      <c r="S9" s="76"/>
    </row>
    <row r="10" spans="2:19" x14ac:dyDescent="0.3">
      <c r="B10" s="73">
        <f>'Beta-Alphabet Inc (Class A)'!B10</f>
        <v>44465</v>
      </c>
      <c r="C10">
        <v>289.10000000000002</v>
      </c>
      <c r="D10" s="77">
        <f t="shared" si="1"/>
        <v>-3.4240855186236846E-2</v>
      </c>
      <c r="G10" s="74">
        <f>'Beta-Alphabet Inc (Class A)'!G10</f>
        <v>4357.04</v>
      </c>
      <c r="H10" s="77">
        <f t="shared" si="0"/>
        <v>-2.209414024975976E-2</v>
      </c>
      <c r="J10" t="s">
        <v>64</v>
      </c>
      <c r="K10" s="40">
        <f>100%-K7</f>
        <v>0.5</v>
      </c>
      <c r="N10" t="s">
        <v>65</v>
      </c>
      <c r="O10" s="71">
        <f>O35</f>
        <v>1.1609615575090355</v>
      </c>
      <c r="P10" s="341" t="s">
        <v>66</v>
      </c>
      <c r="Q10" s="341"/>
      <c r="R10" s="341"/>
      <c r="S10" s="341"/>
    </row>
    <row r="11" spans="2:19" x14ac:dyDescent="0.3">
      <c r="B11" s="73">
        <f>'Beta-Alphabet Inc (Class A)'!B11</f>
        <v>44472</v>
      </c>
      <c r="C11">
        <v>294.85000000000002</v>
      </c>
      <c r="D11" s="77">
        <f t="shared" si="1"/>
        <v>1.9889311656866134E-2</v>
      </c>
      <c r="G11" s="74">
        <f>'Beta-Alphabet Inc (Class A)'!G11</f>
        <v>4391.34</v>
      </c>
      <c r="H11" s="77">
        <f t="shared" si="0"/>
        <v>7.8723169858436418E-3</v>
      </c>
    </row>
    <row r="12" spans="2:19" x14ac:dyDescent="0.3">
      <c r="B12" s="73">
        <f>'Beta-Alphabet Inc (Class A)'!B12</f>
        <v>44479</v>
      </c>
      <c r="C12">
        <v>304.20999999999998</v>
      </c>
      <c r="D12" s="77">
        <f>(C12-C9)/C9</f>
        <v>1.6235176215132641E-2</v>
      </c>
      <c r="G12" s="74">
        <f>'Beta-Alphabet Inc (Class A)'!G12</f>
        <v>4471.37</v>
      </c>
      <c r="H12" s="77">
        <f t="shared" si="0"/>
        <v>1.8224505504014662E-2</v>
      </c>
      <c r="J12" s="72" t="s">
        <v>67</v>
      </c>
      <c r="K12" s="78">
        <f>(K6*K7)+(K9*K10)</f>
        <v>1.0804807787545179</v>
      </c>
    </row>
    <row r="13" spans="2:19" x14ac:dyDescent="0.3">
      <c r="B13" s="73">
        <f>'Beta-Alphabet Inc (Class A)'!B13</f>
        <v>44486</v>
      </c>
      <c r="C13">
        <v>309.16000000000003</v>
      </c>
      <c r="D13" s="77">
        <f t="shared" si="1"/>
        <v>1.6271654449229303E-2</v>
      </c>
      <c r="G13" s="74">
        <f>'Beta-Alphabet Inc (Class A)'!G13</f>
        <v>4544.8999999999996</v>
      </c>
      <c r="H13" s="77">
        <f t="shared" si="0"/>
        <v>1.6444624354504268E-2</v>
      </c>
    </row>
    <row r="14" spans="2:19" x14ac:dyDescent="0.3">
      <c r="B14" s="73">
        <f>'Beta-Alphabet Inc (Class A)'!B14</f>
        <v>44493</v>
      </c>
      <c r="C14">
        <v>331.62</v>
      </c>
      <c r="D14" s="77">
        <f t="shared" si="1"/>
        <v>7.2648466813300477E-2</v>
      </c>
      <c r="G14" s="74">
        <f>'Beta-Alphabet Inc (Class A)'!G14</f>
        <v>4605.38</v>
      </c>
      <c r="H14" s="77">
        <f t="shared" si="0"/>
        <v>1.330722348126482E-2</v>
      </c>
    </row>
    <row r="15" spans="2:19" x14ac:dyDescent="0.3">
      <c r="B15" s="73">
        <f>'Beta-Alphabet Inc (Class A)'!B15</f>
        <v>44500</v>
      </c>
      <c r="C15">
        <v>336.06</v>
      </c>
      <c r="D15" s="77">
        <f t="shared" si="1"/>
        <v>1.3388818527229954E-2</v>
      </c>
      <c r="G15" s="74">
        <f>'Beta-Alphabet Inc (Class A)'!G15</f>
        <v>4697.53</v>
      </c>
      <c r="H15" s="77">
        <f t="shared" si="0"/>
        <v>2.0009206623557586E-2</v>
      </c>
      <c r="J15" s="62"/>
    </row>
    <row r="16" spans="2:19" x14ac:dyDescent="0.3">
      <c r="B16" s="73">
        <f>'Beta-Alphabet Inc (Class A)'!B16</f>
        <v>44507</v>
      </c>
      <c r="C16">
        <v>336.72</v>
      </c>
      <c r="D16" s="77">
        <f t="shared" si="1"/>
        <v>1.9639350116051448E-3</v>
      </c>
      <c r="G16" s="74">
        <f>'Beta-Alphabet Inc (Class A)'!G16</f>
        <v>4682.8500000000004</v>
      </c>
      <c r="H16" s="77">
        <f t="shared" si="0"/>
        <v>-3.1250465670255184E-3</v>
      </c>
      <c r="J16" s="79"/>
      <c r="K16" s="79"/>
      <c r="L16" s="79"/>
    </row>
    <row r="17" spans="2:19" x14ac:dyDescent="0.3">
      <c r="B17" s="73">
        <f>'Beta-Alphabet Inc (Class A)'!B17</f>
        <v>44514</v>
      </c>
      <c r="C17">
        <v>343.11</v>
      </c>
      <c r="D17" s="77">
        <f t="shared" si="1"/>
        <v>1.897719173200281E-2</v>
      </c>
      <c r="G17" s="74">
        <f>'Beta-Alphabet Inc (Class A)'!G17</f>
        <v>4697.96</v>
      </c>
      <c r="H17" s="77">
        <f t="shared" si="0"/>
        <v>3.2266675208472771E-3</v>
      </c>
      <c r="J17" s="79"/>
      <c r="K17" s="79"/>
      <c r="L17" s="79"/>
    </row>
    <row r="18" spans="2:19" x14ac:dyDescent="0.3">
      <c r="B18" s="73">
        <f>'Beta-Alphabet Inc (Class A)'!B18</f>
        <v>44521</v>
      </c>
      <c r="C18">
        <v>329.68</v>
      </c>
      <c r="D18" s="77">
        <f>(C18-C17)/C17</f>
        <v>-3.9141966133310037E-2</v>
      </c>
      <c r="G18" s="74">
        <f>'Beta-Alphabet Inc (Class A)'!G18</f>
        <v>4594.62</v>
      </c>
      <c r="H18" s="77">
        <f t="shared" si="0"/>
        <v>-2.1996781581792978E-2</v>
      </c>
      <c r="J18" s="79"/>
      <c r="K18" s="79"/>
      <c r="L18" s="79"/>
      <c r="N18" t="s">
        <v>69</v>
      </c>
    </row>
    <row r="19" spans="2:19" ht="15" thickBot="1" x14ac:dyDescent="0.35">
      <c r="B19" s="73">
        <f>'Beta-Alphabet Inc (Class A)'!B19</f>
        <v>44528</v>
      </c>
      <c r="C19">
        <v>323.01</v>
      </c>
      <c r="D19" s="77">
        <f t="shared" si="1"/>
        <v>-2.0231739868963892E-2</v>
      </c>
      <c r="G19" s="74">
        <f>'Beta-Alphabet Inc (Class A)'!G19</f>
        <v>4538.43</v>
      </c>
      <c r="H19" s="77">
        <f t="shared" si="0"/>
        <v>-1.2229520613238875E-2</v>
      </c>
      <c r="J19" s="79"/>
      <c r="K19" s="79"/>
      <c r="L19" s="79"/>
    </row>
    <row r="20" spans="2:19" x14ac:dyDescent="0.3">
      <c r="B20" s="73">
        <f>'Beta-Alphabet Inc (Class A)'!B20</f>
        <v>44535</v>
      </c>
      <c r="C20">
        <v>342.54</v>
      </c>
      <c r="D20" s="77">
        <f t="shared" si="1"/>
        <v>6.0462524380050245E-2</v>
      </c>
      <c r="G20" s="74">
        <f>'Beta-Alphabet Inc (Class A)'!G20</f>
        <v>4712.0200000000004</v>
      </c>
      <c r="H20" s="77">
        <f t="shared" si="0"/>
        <v>3.8248909865305873E-2</v>
      </c>
      <c r="J20" s="79"/>
      <c r="K20" s="79"/>
      <c r="L20" s="79"/>
      <c r="N20" s="191" t="s">
        <v>70</v>
      </c>
      <c r="O20" s="191"/>
    </row>
    <row r="21" spans="2:19" x14ac:dyDescent="0.3">
      <c r="B21" s="73">
        <f>'Beta-Alphabet Inc (Class A)'!B21</f>
        <v>44542</v>
      </c>
      <c r="C21">
        <v>323.8</v>
      </c>
      <c r="D21" s="77">
        <f t="shared" si="1"/>
        <v>-5.470893910200271E-2</v>
      </c>
      <c r="G21" s="74">
        <f>'Beta-Alphabet Inc (Class A)'!G21</f>
        <v>4620.6400000000003</v>
      </c>
      <c r="H21" s="77">
        <f t="shared" si="0"/>
        <v>-1.9392956736176862E-2</v>
      </c>
      <c r="J21" s="79"/>
      <c r="K21" s="79"/>
      <c r="L21" s="79"/>
      <c r="N21" t="s">
        <v>71</v>
      </c>
      <c r="O21">
        <v>0.82765378099035736</v>
      </c>
    </row>
    <row r="22" spans="2:19" x14ac:dyDescent="0.3">
      <c r="B22" s="73">
        <f>'Beta-Alphabet Inc (Class A)'!B22</f>
        <v>44549</v>
      </c>
      <c r="C22">
        <v>334.69</v>
      </c>
      <c r="D22" s="77">
        <f t="shared" si="1"/>
        <v>3.3631871525633066E-2</v>
      </c>
      <c r="G22" s="74">
        <f>'Beta-Alphabet Inc (Class A)'!G22</f>
        <v>4725.79</v>
      </c>
      <c r="H22" s="77">
        <f t="shared" si="0"/>
        <v>2.2756587831988563E-2</v>
      </c>
      <c r="J22" s="79"/>
      <c r="K22" s="79"/>
      <c r="L22" s="79"/>
      <c r="N22" t="s">
        <v>72</v>
      </c>
      <c r="O22">
        <v>0.68501078118763448</v>
      </c>
    </row>
    <row r="23" spans="2:19" x14ac:dyDescent="0.3">
      <c r="B23" s="73">
        <f>'Beta-Alphabet Inc (Class A)'!B23</f>
        <v>44556</v>
      </c>
      <c r="C23">
        <v>336.32</v>
      </c>
      <c r="D23" s="77">
        <f t="shared" si="1"/>
        <v>4.8701783740177345E-3</v>
      </c>
      <c r="G23" s="74">
        <f>'Beta-Alphabet Inc (Class A)'!G23</f>
        <v>4766.18</v>
      </c>
      <c r="H23" s="77">
        <f t="shared" si="0"/>
        <v>8.5467191728791012E-3</v>
      </c>
      <c r="J23" s="79"/>
      <c r="K23" s="79"/>
      <c r="L23" s="79"/>
      <c r="N23" t="s">
        <v>73</v>
      </c>
      <c r="O23">
        <v>0.67948465454180351</v>
      </c>
    </row>
    <row r="24" spans="2:19" x14ac:dyDescent="0.3">
      <c r="B24" s="73">
        <f>'Beta-Alphabet Inc (Class A)'!B24</f>
        <v>44563</v>
      </c>
      <c r="C24">
        <v>314.04000000000002</v>
      </c>
      <c r="D24" s="77">
        <f t="shared" si="1"/>
        <v>-6.6246431969552724E-2</v>
      </c>
      <c r="G24" s="74">
        <f>'Beta-Alphabet Inc (Class A)'!G24</f>
        <v>4677.03</v>
      </c>
      <c r="H24" s="77">
        <f t="shared" si="0"/>
        <v>-1.8704706914132604E-2</v>
      </c>
      <c r="J24" s="79"/>
      <c r="K24" s="79"/>
      <c r="L24" s="79"/>
      <c r="N24" t="s">
        <v>74</v>
      </c>
      <c r="O24">
        <v>2.3558933119388819E-2</v>
      </c>
    </row>
    <row r="25" spans="2:19" ht="15" thickBot="1" x14ac:dyDescent="0.35">
      <c r="B25" s="73">
        <f>'Beta-Alphabet Inc (Class A)'!B25</f>
        <v>44570</v>
      </c>
      <c r="C25">
        <v>310.2</v>
      </c>
      <c r="D25" s="77">
        <f t="shared" si="1"/>
        <v>-1.2227741688956921E-2</v>
      </c>
      <c r="G25" s="74">
        <f>'Beta-Alphabet Inc (Class A)'!G25</f>
        <v>4662.8500000000004</v>
      </c>
      <c r="H25" s="77">
        <f t="shared" si="0"/>
        <v>-3.0318385813217752E-3</v>
      </c>
      <c r="J25" s="79"/>
      <c r="K25" s="79"/>
      <c r="L25" s="79"/>
      <c r="N25" s="81" t="s">
        <v>75</v>
      </c>
      <c r="O25" s="81">
        <v>59</v>
      </c>
    </row>
    <row r="26" spans="2:19" x14ac:dyDescent="0.3">
      <c r="B26" s="73">
        <f>'Beta-Alphabet Inc (Class A)'!B26</f>
        <v>44577</v>
      </c>
      <c r="C26">
        <v>296.02999999999997</v>
      </c>
      <c r="D26" s="77">
        <f t="shared" si="1"/>
        <v>-4.5680206318504245E-2</v>
      </c>
      <c r="G26" s="74">
        <f>'Beta-Alphabet Inc (Class A)'!G26</f>
        <v>4397.9399999999996</v>
      </c>
      <c r="H26" s="77">
        <f t="shared" si="0"/>
        <v>-5.681289340210402E-2</v>
      </c>
    </row>
    <row r="27" spans="2:19" ht="15" thickBot="1" x14ac:dyDescent="0.35">
      <c r="B27" s="73">
        <f>'Beta-Alphabet Inc (Class A)'!B27</f>
        <v>44584</v>
      </c>
      <c r="C27">
        <v>308.26</v>
      </c>
      <c r="D27" s="77">
        <f t="shared" si="1"/>
        <v>4.1313380400635133E-2</v>
      </c>
      <c r="G27" s="74">
        <f>'Beta-Alphabet Inc (Class A)'!G27</f>
        <v>4431.8500000000004</v>
      </c>
      <c r="H27" s="77">
        <f t="shared" si="0"/>
        <v>7.7104280640483422E-3</v>
      </c>
      <c r="N27" t="s">
        <v>76</v>
      </c>
    </row>
    <row r="28" spans="2:19" x14ac:dyDescent="0.3">
      <c r="B28" s="73">
        <f>'Beta-Alphabet Inc (Class A)'!B28</f>
        <v>44591</v>
      </c>
      <c r="C28">
        <v>305.94</v>
      </c>
      <c r="D28" s="77">
        <f t="shared" si="1"/>
        <v>-7.5261143190812731E-3</v>
      </c>
      <c r="G28" s="74">
        <f>'Beta-Alphabet Inc (Class A)'!G28</f>
        <v>4500.53</v>
      </c>
      <c r="H28" s="77">
        <f t="shared" si="0"/>
        <v>1.5496914381127378E-2</v>
      </c>
      <c r="N28" s="190"/>
      <c r="O28" s="190" t="s">
        <v>77</v>
      </c>
      <c r="P28" s="190" t="s">
        <v>78</v>
      </c>
      <c r="Q28" s="190" t="s">
        <v>79</v>
      </c>
      <c r="R28" s="190" t="s">
        <v>80</v>
      </c>
      <c r="S28" s="190" t="s">
        <v>81</v>
      </c>
    </row>
    <row r="29" spans="2:19" x14ac:dyDescent="0.3">
      <c r="B29" s="73">
        <f>'Beta-Alphabet Inc (Class A)'!B29</f>
        <v>44598</v>
      </c>
      <c r="C29">
        <v>295.04000000000002</v>
      </c>
      <c r="D29" s="77">
        <f t="shared" si="1"/>
        <v>-3.5627900895600369E-2</v>
      </c>
      <c r="G29" s="74">
        <f>'Beta-Alphabet Inc (Class A)'!G29</f>
        <v>4418.6400000000003</v>
      </c>
      <c r="H29" s="77">
        <f t="shared" si="0"/>
        <v>-1.8195634736353147E-2</v>
      </c>
      <c r="N29" t="s">
        <v>82</v>
      </c>
      <c r="O29">
        <v>1</v>
      </c>
      <c r="P29">
        <v>6.8799900733059555E-2</v>
      </c>
      <c r="Q29">
        <v>6.8799900733059555E-2</v>
      </c>
      <c r="R29">
        <v>123.95857443919076</v>
      </c>
      <c r="S29">
        <v>6.3438483289356358E-16</v>
      </c>
    </row>
    <row r="30" spans="2:19" x14ac:dyDescent="0.3">
      <c r="B30" s="73">
        <f>'Beta-Alphabet Inc (Class A)'!B30</f>
        <v>44605</v>
      </c>
      <c r="C30">
        <v>287.93</v>
      </c>
      <c r="D30" s="77">
        <f t="shared" si="1"/>
        <v>-2.4098427331887246E-2</v>
      </c>
      <c r="G30" s="74">
        <f>'Beta-Alphabet Inc (Class A)'!G30</f>
        <v>4348.87</v>
      </c>
      <c r="H30" s="77">
        <f t="shared" si="0"/>
        <v>-1.5789926312168547E-2</v>
      </c>
      <c r="N30" t="s">
        <v>83</v>
      </c>
      <c r="O30">
        <v>57</v>
      </c>
      <c r="P30">
        <v>3.1636329794258615E-2</v>
      </c>
      <c r="Q30">
        <v>5.5502332972383534E-4</v>
      </c>
    </row>
    <row r="31" spans="2:19" ht="15" thickBot="1" x14ac:dyDescent="0.35">
      <c r="B31" s="73">
        <f>'Beta-Alphabet Inc (Class A)'!B31</f>
        <v>44612</v>
      </c>
      <c r="C31">
        <v>297.31</v>
      </c>
      <c r="D31" s="77">
        <f t="shared" si="1"/>
        <v>3.2577362553398381E-2</v>
      </c>
      <c r="G31" s="74">
        <f>'Beta-Alphabet Inc (Class A)'!G31</f>
        <v>4384.6499999999996</v>
      </c>
      <c r="H31" s="77">
        <f t="shared" si="0"/>
        <v>8.2274245953545978E-3</v>
      </c>
      <c r="N31" s="81" t="s">
        <v>84</v>
      </c>
      <c r="O31" s="81">
        <v>58</v>
      </c>
      <c r="P31" s="81">
        <v>0.10043623052731818</v>
      </c>
      <c r="Q31" s="81"/>
      <c r="R31" s="81"/>
      <c r="S31" s="81"/>
    </row>
    <row r="32" spans="2:19" ht="15" thickBot="1" x14ac:dyDescent="0.35">
      <c r="B32" s="73">
        <f>'Beta-Alphabet Inc (Class A)'!B32</f>
        <v>44619</v>
      </c>
      <c r="C32">
        <v>289.86</v>
      </c>
      <c r="D32" s="77">
        <f t="shared" si="1"/>
        <v>-2.5058020248225718E-2</v>
      </c>
      <c r="G32" s="74">
        <f>'Beta-Alphabet Inc (Class A)'!G32</f>
        <v>4328.87</v>
      </c>
      <c r="H32" s="77">
        <f t="shared" si="0"/>
        <v>-1.2721653951854709E-2</v>
      </c>
    </row>
    <row r="33" spans="2:22" x14ac:dyDescent="0.3">
      <c r="B33" s="73">
        <f>'Beta-Alphabet Inc (Class A)'!B33</f>
        <v>44626</v>
      </c>
      <c r="C33">
        <v>280.07</v>
      </c>
      <c r="D33" s="77">
        <f t="shared" si="1"/>
        <v>-3.3774925826261022E-2</v>
      </c>
      <c r="G33" s="74">
        <f>'Beta-Alphabet Inc (Class A)'!G33</f>
        <v>4204.3100000000004</v>
      </c>
      <c r="H33" s="77">
        <f t="shared" si="0"/>
        <v>-2.8774252865066286E-2</v>
      </c>
      <c r="N33" s="190"/>
      <c r="O33" s="190" t="s">
        <v>85</v>
      </c>
      <c r="P33" s="190" t="s">
        <v>74</v>
      </c>
      <c r="Q33" s="190" t="s">
        <v>86</v>
      </c>
      <c r="R33" s="190" t="s">
        <v>87</v>
      </c>
      <c r="S33" s="190" t="s">
        <v>88</v>
      </c>
      <c r="T33" s="190" t="s">
        <v>89</v>
      </c>
      <c r="U33" s="190" t="s">
        <v>90</v>
      </c>
      <c r="V33" s="190" t="s">
        <v>91</v>
      </c>
    </row>
    <row r="34" spans="2:22" x14ac:dyDescent="0.3">
      <c r="B34" s="73">
        <f>'Beta-Alphabet Inc (Class A)'!B34</f>
        <v>44633</v>
      </c>
      <c r="C34">
        <v>300.43</v>
      </c>
      <c r="D34" s="77">
        <f>(C34-C33)/C33</f>
        <v>7.2696111686364168E-2</v>
      </c>
      <c r="G34" s="74">
        <f>'Beta-Alphabet Inc (Class A)'!G34</f>
        <v>4463.12</v>
      </c>
      <c r="H34" s="77">
        <f t="shared" si="0"/>
        <v>6.1558258073262789E-2</v>
      </c>
      <c r="N34" t="s">
        <v>92</v>
      </c>
      <c r="O34">
        <v>7.3453374242967578E-5</v>
      </c>
      <c r="P34">
        <v>3.0730453145529735E-3</v>
      </c>
      <c r="Q34">
        <v>2.3902470261377391E-2</v>
      </c>
      <c r="R34">
        <v>0.98101388673197809</v>
      </c>
      <c r="S34">
        <v>-6.0802137229854277E-3</v>
      </c>
      <c r="T34">
        <v>6.2271204714713629E-3</v>
      </c>
      <c r="U34">
        <v>-6.0802137229854277E-3</v>
      </c>
      <c r="V34">
        <v>6.2271204714713629E-3</v>
      </c>
    </row>
    <row r="35" spans="2:22" ht="15" thickBot="1" x14ac:dyDescent="0.35">
      <c r="B35" s="73">
        <f>'Beta-Alphabet Inc (Class A)'!B35</f>
        <v>44640</v>
      </c>
      <c r="C35">
        <v>303.68</v>
      </c>
      <c r="D35" s="77">
        <f>(C35-C33)/C33</f>
        <v>8.4300353483057852E-2</v>
      </c>
      <c r="G35" s="74">
        <f>'Beta-Alphabet Inc (Class A)'!G35</f>
        <v>4543.0600000000004</v>
      </c>
      <c r="H35" s="77">
        <f t="shared" si="0"/>
        <v>1.7911236982200908E-2</v>
      </c>
      <c r="N35" s="81" t="s">
        <v>93</v>
      </c>
      <c r="O35" s="81">
        <v>1.1609615575090355</v>
      </c>
      <c r="P35" s="81">
        <v>0.10427484496299387</v>
      </c>
      <c r="Q35" s="81">
        <v>11.133668507692814</v>
      </c>
      <c r="R35" s="81">
        <v>6.3438483289356811E-16</v>
      </c>
      <c r="S35" s="81">
        <v>0.95215478219771543</v>
      </c>
      <c r="T35" s="81">
        <v>1.3697683328203556</v>
      </c>
      <c r="U35" s="81">
        <v>0.95215478219771543</v>
      </c>
      <c r="V35" s="81">
        <v>1.3697683328203556</v>
      </c>
    </row>
    <row r="36" spans="2:22" x14ac:dyDescent="0.3">
      <c r="B36" s="73">
        <f>'Beta-Alphabet Inc (Class A)'!B36</f>
        <v>44647</v>
      </c>
      <c r="C36">
        <v>309.42</v>
      </c>
      <c r="D36" s="77">
        <f t="shared" si="1"/>
        <v>1.8901475237091705E-2</v>
      </c>
      <c r="G36" s="74">
        <f>'Beta-Alphabet Inc (Class A)'!G36</f>
        <v>4545.8599999999997</v>
      </c>
      <c r="H36" s="77">
        <f t="shared" si="0"/>
        <v>6.1632467984118022E-4</v>
      </c>
    </row>
    <row r="37" spans="2:22" x14ac:dyDescent="0.3">
      <c r="B37" s="73">
        <f>'Beta-Alphabet Inc (Class A)'!B37</f>
        <v>44654</v>
      </c>
      <c r="C37">
        <v>296.97000000000003</v>
      </c>
      <c r="D37" s="77">
        <f t="shared" si="1"/>
        <v>-4.0236571650184176E-2</v>
      </c>
      <c r="G37" s="74">
        <f>'Beta-Alphabet Inc (Class A)'!G37</f>
        <v>4488.28</v>
      </c>
      <c r="H37" s="77">
        <f t="shared" si="0"/>
        <v>-1.2666470150862528E-2</v>
      </c>
    </row>
    <row r="38" spans="2:22" x14ac:dyDescent="0.3">
      <c r="B38" s="73">
        <f>'Beta-Alphabet Inc (Class A)'!B38</f>
        <v>44661</v>
      </c>
      <c r="C38">
        <v>279.83</v>
      </c>
      <c r="D38" s="77">
        <f t="shared" si="1"/>
        <v>-5.7716267636461732E-2</v>
      </c>
      <c r="G38" s="74">
        <f>'Beta-Alphabet Inc (Class A)'!G38</f>
        <v>4392.59</v>
      </c>
      <c r="H38" s="77">
        <f t="shared" si="0"/>
        <v>-2.1319971124796049E-2</v>
      </c>
    </row>
    <row r="39" spans="2:22" x14ac:dyDescent="0.3">
      <c r="B39" s="73">
        <f>'Beta-Alphabet Inc (Class A)'!B39</f>
        <v>44668</v>
      </c>
      <c r="C39">
        <v>274.02999999999997</v>
      </c>
      <c r="D39" s="77">
        <f t="shared" si="1"/>
        <v>-2.0726869885287536E-2</v>
      </c>
      <c r="G39" s="74">
        <f>'Beta-Alphabet Inc (Class A)'!G39</f>
        <v>4271.78</v>
      </c>
      <c r="H39" s="77">
        <f t="shared" si="0"/>
        <v>-2.750313596306516E-2</v>
      </c>
    </row>
    <row r="40" spans="2:22" x14ac:dyDescent="0.3">
      <c r="B40" s="73">
        <f>'Beta-Alphabet Inc (Class A)'!B40</f>
        <v>44675</v>
      </c>
      <c r="C40">
        <v>277.52</v>
      </c>
      <c r="D40" s="77">
        <f t="shared" si="1"/>
        <v>1.2735831843228879E-2</v>
      </c>
      <c r="G40" s="74">
        <f>'Beta-Alphabet Inc (Class A)'!G40</f>
        <v>4131.93</v>
      </c>
      <c r="H40" s="77">
        <f t="shared" si="0"/>
        <v>-3.2738109172288712E-2</v>
      </c>
      <c r="N40" s="82"/>
      <c r="O40" s="82"/>
      <c r="P40" s="82"/>
      <c r="Q40" s="82"/>
      <c r="R40" s="82"/>
      <c r="S40" s="82"/>
      <c r="T40" s="82"/>
      <c r="U40" s="82"/>
      <c r="V40" s="82"/>
    </row>
    <row r="41" spans="2:22" x14ac:dyDescent="0.3">
      <c r="B41" s="73">
        <f>'Beta-Alphabet Inc (Class A)'!B41</f>
        <v>44682</v>
      </c>
      <c r="C41">
        <v>274.73</v>
      </c>
      <c r="D41" s="77">
        <f t="shared" si="1"/>
        <v>-1.0053329489766373E-2</v>
      </c>
      <c r="G41" s="74">
        <f>'Beta-Alphabet Inc (Class A)'!G41</f>
        <v>4123.34</v>
      </c>
      <c r="H41" s="77">
        <f t="shared" si="0"/>
        <v>-2.0789316372736579E-3</v>
      </c>
    </row>
    <row r="42" spans="2:22" x14ac:dyDescent="0.3">
      <c r="B42" s="73">
        <f>'Beta-Alphabet Inc (Class A)'!B42</f>
        <v>44689</v>
      </c>
      <c r="C42">
        <v>261.12</v>
      </c>
      <c r="D42" s="77">
        <f t="shared" si="1"/>
        <v>-4.9539547919775828E-2</v>
      </c>
      <c r="G42" s="74">
        <f>'Beta-Alphabet Inc (Class A)'!G42</f>
        <v>4023.89</v>
      </c>
      <c r="H42" s="77">
        <f t="shared" si="0"/>
        <v>-2.4118796897660701E-2</v>
      </c>
    </row>
    <row r="43" spans="2:22" x14ac:dyDescent="0.3">
      <c r="B43" s="73">
        <f>'Beta-Alphabet Inc (Class A)'!B43</f>
        <v>44696</v>
      </c>
      <c r="C43">
        <v>252.56</v>
      </c>
      <c r="D43" s="77">
        <f t="shared" si="1"/>
        <v>-3.2781862745098048E-2</v>
      </c>
      <c r="G43" s="74">
        <f>'Beta-Alphabet Inc (Class A)'!G43</f>
        <v>3901.36</v>
      </c>
      <c r="H43" s="77">
        <f t="shared" si="0"/>
        <v>-3.0450633590878417E-2</v>
      </c>
    </row>
    <row r="44" spans="2:22" x14ac:dyDescent="0.3">
      <c r="B44" s="73">
        <f>'Beta-Alphabet Inc (Class A)'!B44</f>
        <v>44703</v>
      </c>
      <c r="C44">
        <v>273.24</v>
      </c>
      <c r="D44" s="77">
        <f t="shared" si="1"/>
        <v>8.1881533101045317E-2</v>
      </c>
      <c r="G44" s="74">
        <f>'Beta-Alphabet Inc (Class A)'!G44</f>
        <v>4158.24</v>
      </c>
      <c r="H44" s="77">
        <f t="shared" si="0"/>
        <v>6.5843705784649362E-2</v>
      </c>
    </row>
    <row r="45" spans="2:22" x14ac:dyDescent="0.3">
      <c r="B45" s="73">
        <f>'Beta-Alphabet Inc (Class A)'!B45</f>
        <v>44710</v>
      </c>
      <c r="C45">
        <v>270.02</v>
      </c>
      <c r="D45" s="77">
        <f t="shared" si="1"/>
        <v>-1.1784511784511884E-2</v>
      </c>
      <c r="G45" s="74">
        <f>'Beta-Alphabet Inc (Class A)'!G45</f>
        <v>4108.54</v>
      </c>
      <c r="H45" s="77">
        <f t="shared" si="0"/>
        <v>-1.1952172072799987E-2</v>
      </c>
    </row>
    <row r="46" spans="2:22" x14ac:dyDescent="0.3">
      <c r="B46" s="73">
        <f>'Beta-Alphabet Inc (Class A)'!B46</f>
        <v>44717</v>
      </c>
      <c r="C46">
        <v>252.99</v>
      </c>
      <c r="D46" s="77">
        <f t="shared" si="1"/>
        <v>-6.3069402266498681E-2</v>
      </c>
      <c r="G46" s="74">
        <f>'Beta-Alphabet Inc (Class A)'!G46</f>
        <v>3900.86</v>
      </c>
      <c r="H46" s="77">
        <f t="shared" si="0"/>
        <v>-5.0548369980577004E-2</v>
      </c>
    </row>
    <row r="47" spans="2:22" x14ac:dyDescent="0.3">
      <c r="B47" s="73">
        <f>'Beta-Alphabet Inc (Class A)'!B47</f>
        <v>44724</v>
      </c>
      <c r="C47">
        <v>247.65</v>
      </c>
      <c r="D47" s="77">
        <f t="shared" si="1"/>
        <v>-2.1107553658247374E-2</v>
      </c>
      <c r="G47" s="74">
        <f>'Beta-Alphabet Inc (Class A)'!G47</f>
        <v>3674.84</v>
      </c>
      <c r="H47" s="77">
        <f t="shared" si="0"/>
        <v>-5.7941069405208073E-2</v>
      </c>
    </row>
    <row r="48" spans="2:22" x14ac:dyDescent="0.3">
      <c r="B48" s="73">
        <f>'Beta-Alphabet Inc (Class A)'!B48</f>
        <v>44731</v>
      </c>
      <c r="C48">
        <v>267.7</v>
      </c>
      <c r="D48" s="77">
        <f>(C48-C47)/C47</f>
        <v>8.0961033716939163E-2</v>
      </c>
      <c r="G48" s="74">
        <f>'Beta-Alphabet Inc (Class A)'!G48</f>
        <v>3911.74</v>
      </c>
      <c r="H48" s="77">
        <f t="shared" si="0"/>
        <v>6.4465391690522483E-2</v>
      </c>
    </row>
    <row r="49" spans="2:8" x14ac:dyDescent="0.3">
      <c r="B49" s="73">
        <f>'Beta-Alphabet Inc (Class A)'!B49</f>
        <v>44738</v>
      </c>
      <c r="C49">
        <v>259.58</v>
      </c>
      <c r="D49" s="77">
        <f t="shared" si="1"/>
        <v>-3.0332461710870395E-2</v>
      </c>
      <c r="G49" s="74">
        <f>'Beta-Alphabet Inc (Class A)'!G49</f>
        <v>3825.33</v>
      </c>
      <c r="H49" s="77">
        <f t="shared" si="0"/>
        <v>-2.2089913951336197E-2</v>
      </c>
    </row>
    <row r="50" spans="2:8" x14ac:dyDescent="0.3">
      <c r="B50" s="73">
        <f>'Beta-Alphabet Inc (Class A)'!B50</f>
        <v>44745</v>
      </c>
      <c r="C50">
        <v>267.66000000000003</v>
      </c>
      <c r="D50" s="77">
        <f t="shared" si="1"/>
        <v>3.112720548578489E-2</v>
      </c>
      <c r="G50" s="74">
        <f>'Beta-Alphabet Inc (Class A)'!G50</f>
        <v>3899.38</v>
      </c>
      <c r="H50" s="77">
        <f t="shared" si="0"/>
        <v>1.9357807038869898E-2</v>
      </c>
    </row>
    <row r="51" spans="2:8" x14ac:dyDescent="0.3">
      <c r="B51" s="73">
        <f>'Beta-Alphabet Inc (Class A)'!B51</f>
        <v>44752</v>
      </c>
      <c r="C51">
        <v>256.72000000000003</v>
      </c>
      <c r="D51" s="77">
        <f t="shared" si="1"/>
        <v>-4.0872749009937967E-2</v>
      </c>
      <c r="G51" s="74">
        <f>'Beta-Alphabet Inc (Class A)'!G51</f>
        <v>3863.16</v>
      </c>
      <c r="H51" s="77">
        <f t="shared" si="0"/>
        <v>-9.2886561453359908E-3</v>
      </c>
    </row>
    <row r="52" spans="2:8" x14ac:dyDescent="0.3">
      <c r="B52" s="73">
        <f>'Beta-Alphabet Inc (Class A)'!B52</f>
        <v>44759</v>
      </c>
      <c r="C52">
        <v>260.36</v>
      </c>
      <c r="D52" s="77">
        <f t="shared" si="1"/>
        <v>1.4178871922717303E-2</v>
      </c>
      <c r="G52" s="74">
        <f>'Beta-Alphabet Inc (Class A)'!G52</f>
        <v>3961.63</v>
      </c>
      <c r="H52" s="77">
        <f t="shared" si="0"/>
        <v>2.5489495646051488E-2</v>
      </c>
    </row>
    <row r="53" spans="2:8" x14ac:dyDescent="0.3">
      <c r="B53" s="73">
        <f>'Beta-Alphabet Inc (Class A)'!B53</f>
        <v>44766</v>
      </c>
      <c r="C53">
        <v>280.74</v>
      </c>
      <c r="D53" s="77">
        <f t="shared" si="1"/>
        <v>7.8276232908280827E-2</v>
      </c>
      <c r="G53" s="74">
        <f>'Beta-Alphabet Inc (Class A)'!G53</f>
        <v>4130.29</v>
      </c>
      <c r="H53" s="77">
        <f t="shared" si="0"/>
        <v>4.2573385197507051E-2</v>
      </c>
    </row>
    <row r="54" spans="2:8" x14ac:dyDescent="0.3">
      <c r="B54" s="73">
        <f>'Beta-Alphabet Inc (Class A)'!B54</f>
        <v>44773</v>
      </c>
      <c r="C54">
        <v>282.91000000000003</v>
      </c>
      <c r="D54" s="77">
        <f t="shared" si="1"/>
        <v>7.7295718458360611E-3</v>
      </c>
      <c r="G54" s="74">
        <f>'Beta-Alphabet Inc (Class A)'!G54</f>
        <v>4145.1899999999996</v>
      </c>
      <c r="H54" s="77">
        <f t="shared" si="0"/>
        <v>3.6074948732412581E-3</v>
      </c>
    </row>
    <row r="55" spans="2:8" x14ac:dyDescent="0.3">
      <c r="B55" s="73">
        <f>'Beta-Alphabet Inc (Class A)'!B55</f>
        <v>44780</v>
      </c>
      <c r="C55">
        <v>291.91000000000003</v>
      </c>
      <c r="D55" s="77">
        <f t="shared" si="1"/>
        <v>3.1812237107207236E-2</v>
      </c>
      <c r="G55" s="74">
        <f>'Beta-Alphabet Inc (Class A)'!G55</f>
        <v>4280.1499999999996</v>
      </c>
      <c r="H55" s="77">
        <f t="shared" si="0"/>
        <v>3.2558218079267787E-2</v>
      </c>
    </row>
    <row r="56" spans="2:8" x14ac:dyDescent="0.3">
      <c r="B56" s="73">
        <f>'Beta-Alphabet Inc (Class A)'!B56</f>
        <v>44787</v>
      </c>
      <c r="C56">
        <v>286.14999999999998</v>
      </c>
      <c r="D56" s="77">
        <f t="shared" si="1"/>
        <v>-1.9732109211743506E-2</v>
      </c>
      <c r="G56" s="74">
        <f>'Beta-Alphabet Inc (Class A)'!G56</f>
        <v>4228.4799999999996</v>
      </c>
      <c r="H56" s="77">
        <f t="shared" si="0"/>
        <v>-1.2072006822190829E-2</v>
      </c>
    </row>
    <row r="57" spans="2:8" x14ac:dyDescent="0.3">
      <c r="B57" s="73">
        <f>'Beta-Alphabet Inc (Class A)'!B57</f>
        <v>44794</v>
      </c>
      <c r="C57">
        <v>268.08999999999997</v>
      </c>
      <c r="D57" s="77">
        <f t="shared" si="1"/>
        <v>-6.3113751528918419E-2</v>
      </c>
      <c r="G57" s="74">
        <f>'Beta-Alphabet Inc (Class A)'!G57</f>
        <v>4057.66</v>
      </c>
      <c r="H57" s="77">
        <f t="shared" si="0"/>
        <v>-4.0397495080974656E-2</v>
      </c>
    </row>
    <row r="58" spans="2:8" x14ac:dyDescent="0.3">
      <c r="B58" s="73">
        <f>'Beta-Alphabet Inc (Class A)'!B58</f>
        <v>44801</v>
      </c>
      <c r="C58">
        <v>256.06</v>
      </c>
      <c r="D58" s="77">
        <f t="shared" si="1"/>
        <v>-4.4872990413666956E-2</v>
      </c>
      <c r="G58" s="74">
        <f>'Beta-Alphabet Inc (Class A)'!G58</f>
        <v>3924.26</v>
      </c>
      <c r="H58" s="77">
        <f t="shared" si="0"/>
        <v>-3.2876091146128467E-2</v>
      </c>
    </row>
    <row r="59" spans="2:8" x14ac:dyDescent="0.3">
      <c r="B59" s="73">
        <f>'Beta-Alphabet Inc (Class A)'!B59</f>
        <v>44808</v>
      </c>
      <c r="C59">
        <v>264.45999999999998</v>
      </c>
      <c r="D59" s="77">
        <f t="shared" si="1"/>
        <v>3.2804811372334521E-2</v>
      </c>
      <c r="G59" s="74">
        <f>'Beta-Alphabet Inc (Class A)'!G59</f>
        <v>4067.36</v>
      </c>
      <c r="H59" s="77">
        <f t="shared" si="0"/>
        <v>3.6465473745368529E-2</v>
      </c>
    </row>
    <row r="60" spans="2:8" x14ac:dyDescent="0.3">
      <c r="B60" s="73">
        <f>'Beta-Alphabet Inc (Class A)'!B60</f>
        <v>44815</v>
      </c>
      <c r="C60">
        <v>244.74</v>
      </c>
      <c r="D60" s="77">
        <f t="shared" si="1"/>
        <v>-7.4567042274824066E-2</v>
      </c>
      <c r="G60" s="74">
        <f>'Beta-Alphabet Inc (Class A)'!G60</f>
        <v>3873.33</v>
      </c>
      <c r="H60" s="77">
        <f t="shared" si="0"/>
        <v>-4.770416191337875E-2</v>
      </c>
    </row>
    <row r="61" spans="2:8" x14ac:dyDescent="0.3">
      <c r="B61" s="73">
        <f>'Beta-Alphabet Inc (Class A)'!B61</f>
        <v>44822</v>
      </c>
      <c r="C61">
        <v>237.92</v>
      </c>
      <c r="D61" s="77">
        <f t="shared" si="1"/>
        <v>-2.7866307101413832E-2</v>
      </c>
      <c r="G61" s="74">
        <f>'Beta-Alphabet Inc (Class A)'!G61</f>
        <v>3693.23</v>
      </c>
      <c r="H61" s="77">
        <f t="shared" si="0"/>
        <v>-4.6497458259430496E-2</v>
      </c>
    </row>
    <row r="62" spans="2:8" x14ac:dyDescent="0.3">
      <c r="B62" s="73">
        <f>'Beta-Alphabet Inc (Class A)'!B62</f>
        <v>44829</v>
      </c>
      <c r="C62">
        <v>232.9</v>
      </c>
      <c r="D62" s="77">
        <f t="shared" si="1"/>
        <v>-2.1099529253530522E-2</v>
      </c>
      <c r="G62" s="74">
        <f>'Beta-Alphabet Inc (Class A)'!G62</f>
        <v>3585.62</v>
      </c>
      <c r="H62" s="77">
        <f t="shared" si="0"/>
        <v>-2.9137096796029525E-2</v>
      </c>
    </row>
    <row r="63" spans="2:8" x14ac:dyDescent="0.3">
      <c r="B63" s="73">
        <f>'Beta-Alphabet Inc (Class A)'!B63</f>
        <v>44836</v>
      </c>
      <c r="C63">
        <v>234.24</v>
      </c>
      <c r="D63" s="77">
        <f t="shared" si="1"/>
        <v>5.7535422928295553E-3</v>
      </c>
      <c r="G63" s="74">
        <f>'Beta-Alphabet Inc (Class A)'!G63</f>
        <v>3639.66</v>
      </c>
      <c r="H63" s="77">
        <f t="shared" si="0"/>
        <v>1.5071312632124979E-2</v>
      </c>
    </row>
    <row r="64" spans="2:8" x14ac:dyDescent="0.3">
      <c r="B64" s="73">
        <f>'Beta-Alphabet Inc (Class A)'!B64</f>
        <v>44843</v>
      </c>
      <c r="C64">
        <v>228.56</v>
      </c>
      <c r="D64" s="77">
        <f t="shared" si="1"/>
        <v>-2.4248633879781448E-2</v>
      </c>
      <c r="G64" s="74">
        <f>'Beta-Alphabet Inc (Class A)'!G64</f>
        <v>3583.07</v>
      </c>
      <c r="H64" s="77">
        <f t="shared" si="0"/>
        <v>-1.5548155596951279E-2</v>
      </c>
    </row>
    <row r="65" spans="2:8" x14ac:dyDescent="0.3">
      <c r="B65" s="73">
        <f>'Beta-Alphabet Inc (Class A)'!B65</f>
        <v>44850</v>
      </c>
      <c r="C65">
        <v>242.12</v>
      </c>
      <c r="D65" s="77">
        <f t="shared" si="1"/>
        <v>5.9327966398319928E-2</v>
      </c>
      <c r="G65" s="74">
        <f>'Beta-Alphabet Inc (Class A)'!G65</f>
        <v>3752.75</v>
      </c>
      <c r="H65" s="77">
        <f t="shared" si="0"/>
        <v>4.7356038257695167E-2</v>
      </c>
    </row>
    <row r="66" spans="2:8" x14ac:dyDescent="0.3">
      <c r="B66" s="73">
        <f>'Beta-Alphabet Inc (Class A)'!B66</f>
        <v>44857</v>
      </c>
      <c r="C66">
        <v>235.87</v>
      </c>
      <c r="D66" s="77">
        <f t="shared" si="1"/>
        <v>-2.581364612588799E-2</v>
      </c>
      <c r="G66" s="74">
        <f>'Beta-Alphabet Inc (Class A)'!G66</f>
        <v>3901.06</v>
      </c>
      <c r="H66" s="77">
        <f t="shared" si="0"/>
        <v>3.9520351742055808E-2</v>
      </c>
    </row>
  </sheetData>
  <mergeCells count="6">
    <mergeCell ref="P10:S10"/>
    <mergeCell ref="B2:D2"/>
    <mergeCell ref="B4:E4"/>
    <mergeCell ref="G4:H4"/>
    <mergeCell ref="J4:K4"/>
    <mergeCell ref="P8:S8"/>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16A23-5780-48F5-AEC1-BFC5FDCC46C6}">
  <dimension ref="B2:R69"/>
  <sheetViews>
    <sheetView showGridLines="0" workbookViewId="0">
      <pane ySplit="1" topLeftCell="A39" activePane="bottomLeft" state="frozen"/>
      <selection activeCell="C26" activeCellId="1" sqref="B1 C26"/>
      <selection pane="bottomLeft" activeCell="C1" sqref="C1"/>
    </sheetView>
  </sheetViews>
  <sheetFormatPr defaultRowHeight="14.4" outlineLevelRow="1" x14ac:dyDescent="0.3"/>
  <cols>
    <col min="1" max="1" width="4" style="197" customWidth="1"/>
    <col min="2" max="2" width="72.109375" style="197" customWidth="1"/>
    <col min="3" max="4" width="14.6640625" style="197" customWidth="1"/>
    <col min="5" max="7" width="11.6640625" style="197" bestFit="1" customWidth="1"/>
    <col min="8" max="8" width="11.6640625" style="197" customWidth="1"/>
    <col min="9" max="16384" width="8.88671875" style="197"/>
  </cols>
  <sheetData>
    <row r="2" spans="2:10" x14ac:dyDescent="0.3">
      <c r="B2" s="53" t="s">
        <v>267</v>
      </c>
      <c r="C2" s="54"/>
      <c r="D2" s="54"/>
      <c r="E2" s="54"/>
      <c r="F2" s="54"/>
      <c r="G2" s="54"/>
      <c r="H2" s="54"/>
      <c r="I2" s="54"/>
      <c r="J2" s="54"/>
    </row>
    <row r="4" spans="2:10" ht="13.5" hidden="1" customHeight="1" outlineLevel="1" x14ac:dyDescent="0.3">
      <c r="B4" s="198" t="s">
        <v>268</v>
      </c>
      <c r="C4" s="199">
        <v>2023</v>
      </c>
      <c r="D4" s="199">
        <f>C4-1</f>
        <v>2022</v>
      </c>
    </row>
    <row r="5" spans="2:10" ht="16.2" hidden="1" customHeight="1" outlineLevel="1" x14ac:dyDescent="0.3">
      <c r="B5" s="200" t="s">
        <v>269</v>
      </c>
      <c r="C5" s="201">
        <v>10353100</v>
      </c>
      <c r="D5" s="201">
        <v>8366367</v>
      </c>
    </row>
    <row r="6" spans="2:10" ht="16.2" hidden="1" customHeight="1" outlineLevel="1" x14ac:dyDescent="0.3">
      <c r="B6" s="200"/>
      <c r="C6" s="201"/>
      <c r="D6" s="201"/>
    </row>
    <row r="7" spans="2:10" ht="19.2" hidden="1" customHeight="1" outlineLevel="1" x14ac:dyDescent="0.3">
      <c r="B7" s="202" t="s">
        <v>270</v>
      </c>
      <c r="C7" s="203"/>
      <c r="D7" s="204"/>
    </row>
    <row r="8" spans="2:10" ht="14.7" hidden="1" customHeight="1" outlineLevel="1" x14ac:dyDescent="0.3">
      <c r="B8" s="200" t="s">
        <v>271</v>
      </c>
      <c r="C8" s="205"/>
      <c r="D8" s="206"/>
    </row>
    <row r="9" spans="2:10" ht="15.45" hidden="1" customHeight="1" outlineLevel="1" x14ac:dyDescent="0.3">
      <c r="B9" s="200" t="s">
        <v>272</v>
      </c>
      <c r="C9" s="207"/>
      <c r="D9" s="208"/>
    </row>
    <row r="10" spans="2:10" ht="15.45" hidden="1" customHeight="1" outlineLevel="1" x14ac:dyDescent="0.3">
      <c r="B10" s="200" t="s">
        <v>273</v>
      </c>
      <c r="C10" s="209"/>
      <c r="D10" s="208"/>
    </row>
    <row r="11" spans="2:10" ht="15.3" hidden="1" customHeight="1" outlineLevel="1" x14ac:dyDescent="0.3">
      <c r="B11" s="200" t="s">
        <v>274</v>
      </c>
      <c r="C11" s="207"/>
      <c r="D11" s="208"/>
    </row>
    <row r="12" spans="2:10" ht="15.45" hidden="1" customHeight="1" outlineLevel="1" x14ac:dyDescent="0.3">
      <c r="B12" s="200" t="s">
        <v>275</v>
      </c>
      <c r="C12" s="209"/>
      <c r="D12" s="208"/>
    </row>
    <row r="13" spans="2:10" ht="15.45" hidden="1" customHeight="1" outlineLevel="1" x14ac:dyDescent="0.3">
      <c r="B13" s="200" t="s">
        <v>276</v>
      </c>
      <c r="C13" s="207"/>
      <c r="D13" s="208"/>
    </row>
    <row r="14" spans="2:10" ht="15.45" hidden="1" customHeight="1" outlineLevel="1" x14ac:dyDescent="0.3">
      <c r="B14" s="200" t="s">
        <v>277</v>
      </c>
      <c r="C14" s="210"/>
      <c r="D14" s="208"/>
    </row>
    <row r="15" spans="2:10" ht="16.2" hidden="1" customHeight="1" outlineLevel="1" x14ac:dyDescent="0.3">
      <c r="B15" s="200" t="s">
        <v>278</v>
      </c>
      <c r="C15" s="211"/>
      <c r="D15" s="212"/>
    </row>
    <row r="16" spans="2:10" ht="14.25" hidden="1" customHeight="1" outlineLevel="1" x14ac:dyDescent="0.3">
      <c r="B16" s="213"/>
      <c r="C16" s="214"/>
      <c r="D16" s="214"/>
    </row>
    <row r="17" spans="2:4" ht="16.05" hidden="1" customHeight="1" outlineLevel="1" x14ac:dyDescent="0.3">
      <c r="B17" s="213"/>
      <c r="C17" s="215"/>
      <c r="D17" s="215"/>
    </row>
    <row r="18" spans="2:4" ht="17.55" hidden="1" customHeight="1" outlineLevel="1" x14ac:dyDescent="0.3">
      <c r="B18" s="202" t="s">
        <v>279</v>
      </c>
      <c r="C18" s="216"/>
      <c r="D18" s="217"/>
    </row>
    <row r="19" spans="2:4" ht="13.5" hidden="1" customHeight="1" outlineLevel="1" x14ac:dyDescent="0.3">
      <c r="B19" s="200" t="s">
        <v>280</v>
      </c>
      <c r="C19" s="218"/>
      <c r="D19" s="219"/>
    </row>
    <row r="20" spans="2:4" ht="16.05" hidden="1" customHeight="1" outlineLevel="1" x14ac:dyDescent="0.3">
      <c r="B20" s="200" t="s">
        <v>281</v>
      </c>
      <c r="C20" s="220"/>
      <c r="D20" s="221"/>
    </row>
    <row r="21" spans="2:4" ht="15" hidden="1" customHeight="1" outlineLevel="1" x14ac:dyDescent="0.3">
      <c r="B21" s="200" t="s">
        <v>282</v>
      </c>
      <c r="C21" s="220"/>
      <c r="D21" s="221"/>
    </row>
    <row r="22" spans="2:4" ht="15.45" hidden="1" customHeight="1" outlineLevel="1" x14ac:dyDescent="0.3">
      <c r="B22" s="200" t="s">
        <v>283</v>
      </c>
      <c r="C22" s="220"/>
      <c r="D22" s="221"/>
    </row>
    <row r="23" spans="2:4" ht="15.45" hidden="1" customHeight="1" outlineLevel="1" x14ac:dyDescent="0.3">
      <c r="B23" s="200" t="s">
        <v>284</v>
      </c>
      <c r="C23" s="222"/>
      <c r="D23" s="221"/>
    </row>
    <row r="24" spans="2:4" ht="15.3" hidden="1" customHeight="1" outlineLevel="1" x14ac:dyDescent="0.3">
      <c r="B24" s="200" t="s">
        <v>285</v>
      </c>
      <c r="C24" s="220"/>
      <c r="D24" s="221"/>
    </row>
    <row r="25" spans="2:4" ht="15.45" hidden="1" customHeight="1" outlineLevel="1" x14ac:dyDescent="0.3">
      <c r="B25" s="200" t="s">
        <v>286</v>
      </c>
      <c r="C25" s="222"/>
      <c r="D25" s="221"/>
    </row>
    <row r="26" spans="2:4" ht="15.75" hidden="1" customHeight="1" outlineLevel="1" x14ac:dyDescent="0.3">
      <c r="B26" s="200" t="s">
        <v>287</v>
      </c>
      <c r="C26" s="222"/>
      <c r="D26" s="221"/>
    </row>
    <row r="27" spans="2:4" ht="16.5" hidden="1" customHeight="1" outlineLevel="1" x14ac:dyDescent="0.3">
      <c r="B27" s="200" t="s">
        <v>288</v>
      </c>
      <c r="C27" s="223"/>
      <c r="D27" s="224"/>
    </row>
    <row r="28" spans="2:4" ht="14.25" hidden="1" customHeight="1" outlineLevel="1" x14ac:dyDescent="0.3">
      <c r="B28" s="213"/>
      <c r="C28" s="225"/>
      <c r="D28" s="225"/>
    </row>
    <row r="29" spans="2:4" ht="13.5" hidden="1" customHeight="1" outlineLevel="1" x14ac:dyDescent="0.3">
      <c r="B29" s="198" t="s">
        <v>289</v>
      </c>
      <c r="C29" s="226">
        <f>C28+C17</f>
        <v>0</v>
      </c>
      <c r="D29" s="226">
        <f>D28+D17</f>
        <v>0</v>
      </c>
    </row>
    <row r="30" spans="2:4" hidden="1" outlineLevel="1" x14ac:dyDescent="0.3">
      <c r="C30" s="227"/>
      <c r="D30" s="227"/>
    </row>
    <row r="31" spans="2:4" hidden="1" outlineLevel="1" x14ac:dyDescent="0.3">
      <c r="C31" s="227"/>
      <c r="D31" s="227"/>
    </row>
    <row r="32" spans="2:4" hidden="1" outlineLevel="1" x14ac:dyDescent="0.3">
      <c r="B32" s="228" t="s">
        <v>290</v>
      </c>
      <c r="C32" s="229">
        <f>C29</f>
        <v>0</v>
      </c>
      <c r="D32" s="229">
        <f>D29</f>
        <v>0</v>
      </c>
    </row>
    <row r="33" spans="2:18" hidden="1" outlineLevel="1" x14ac:dyDescent="0.3">
      <c r="B33" s="230"/>
      <c r="C33" s="231"/>
      <c r="D33" s="231"/>
    </row>
    <row r="34" spans="2:18" hidden="1" outlineLevel="1" x14ac:dyDescent="0.3">
      <c r="B34" s="230"/>
      <c r="C34" s="231"/>
      <c r="D34" s="231"/>
    </row>
    <row r="35" spans="2:18" hidden="1" outlineLevel="1" x14ac:dyDescent="0.3">
      <c r="B35" s="230" t="s">
        <v>291</v>
      </c>
      <c r="C35" s="232"/>
      <c r="D35" s="233"/>
    </row>
    <row r="36" spans="2:18" hidden="1" outlineLevel="1" x14ac:dyDescent="0.3">
      <c r="B36" s="230" t="s">
        <v>292</v>
      </c>
      <c r="C36" s="234"/>
      <c r="D36" s="235"/>
    </row>
    <row r="37" spans="2:18" hidden="1" outlineLevel="1" x14ac:dyDescent="0.3">
      <c r="B37" s="230" t="s">
        <v>293</v>
      </c>
      <c r="C37" s="236"/>
      <c r="D37" s="235"/>
    </row>
    <row r="38" spans="2:18" hidden="1" outlineLevel="1" x14ac:dyDescent="0.3">
      <c r="B38" s="228" t="s">
        <v>294</v>
      </c>
      <c r="C38" s="237">
        <f>SUM(C32:C37)</f>
        <v>0</v>
      </c>
      <c r="D38" s="237">
        <f>SUM(D32:D37)</f>
        <v>0</v>
      </c>
    </row>
    <row r="39" spans="2:18" collapsed="1" x14ac:dyDescent="0.3">
      <c r="B39" s="230"/>
      <c r="C39" s="349" t="s">
        <v>235</v>
      </c>
      <c r="D39" s="349"/>
      <c r="E39" s="349"/>
      <c r="F39" s="349"/>
      <c r="G39" s="349"/>
      <c r="H39" s="83"/>
      <c r="J39" s="197">
        <f>1/1000</f>
        <v>1E-3</v>
      </c>
    </row>
    <row r="40" spans="2:18" x14ac:dyDescent="0.3">
      <c r="B40" s="230"/>
      <c r="C40" s="85">
        <v>2021</v>
      </c>
      <c r="D40" s="85">
        <f>C40-1</f>
        <v>2020</v>
      </c>
      <c r="E40" s="85">
        <f t="shared" ref="E40:G40" si="0">D40-1</f>
        <v>2019</v>
      </c>
      <c r="F40" s="85">
        <f t="shared" si="0"/>
        <v>2018</v>
      </c>
      <c r="G40" s="85">
        <f t="shared" si="0"/>
        <v>2017</v>
      </c>
      <c r="H40" s="85">
        <v>2016</v>
      </c>
    </row>
    <row r="41" spans="2:18" outlineLevel="1" x14ac:dyDescent="0.3">
      <c r="B41" s="228" t="s">
        <v>295</v>
      </c>
    </row>
    <row r="42" spans="2:18" ht="3.6" customHeight="1" outlineLevel="1" x14ac:dyDescent="0.3">
      <c r="B42" s="228"/>
    </row>
    <row r="43" spans="2:18" outlineLevel="1" x14ac:dyDescent="0.3">
      <c r="B43" s="230" t="s">
        <v>296</v>
      </c>
      <c r="C43" s="262">
        <f>-1011546*(1/1000)</f>
        <v>-1011.546</v>
      </c>
      <c r="D43" s="262">
        <f>-873354*(1/1000)</f>
        <v>-873.35400000000004</v>
      </c>
      <c r="E43" s="262">
        <f>-540688*(1/1000)</f>
        <v>-540.68799999999999</v>
      </c>
      <c r="F43" s="262">
        <f>-483934*(1/1000)</f>
        <v>-483.93400000000003</v>
      </c>
      <c r="G43" s="262">
        <f>-160742*(1/1000)</f>
        <v>-160.74199999999999</v>
      </c>
      <c r="H43" s="262">
        <f>-218657/1000</f>
        <v>-218.65700000000001</v>
      </c>
      <c r="I43" s="238" t="s">
        <v>51</v>
      </c>
      <c r="J43" s="239"/>
      <c r="K43" s="239"/>
      <c r="L43" s="239"/>
      <c r="M43" s="239"/>
      <c r="N43" s="239"/>
      <c r="O43" s="239"/>
      <c r="P43" s="239"/>
      <c r="Q43" s="239"/>
      <c r="R43" s="239"/>
    </row>
    <row r="44" spans="2:18" ht="14.4" customHeight="1" outlineLevel="1" x14ac:dyDescent="0.3">
      <c r="B44" s="230" t="s">
        <v>297</v>
      </c>
      <c r="C44" s="263">
        <f>8462*(1/1000)</f>
        <v>8.4619999999999997</v>
      </c>
      <c r="D44" s="263">
        <f>9170*(1/1000)</f>
        <v>9.17</v>
      </c>
      <c r="E44" s="263">
        <f>6158*(1/1000)</f>
        <v>6.1580000000000004</v>
      </c>
      <c r="F44" s="263">
        <f>13070*(1/1000)</f>
        <v>13.07</v>
      </c>
      <c r="G44" s="263">
        <f>2783*(1/1000)</f>
        <v>2.7829999999999999</v>
      </c>
      <c r="H44" s="263">
        <v>0</v>
      </c>
      <c r="I44" s="350" t="s">
        <v>309</v>
      </c>
      <c r="J44" s="350"/>
      <c r="K44" s="350"/>
      <c r="L44" s="350"/>
      <c r="M44" s="350"/>
      <c r="N44" s="350"/>
      <c r="O44" s="350"/>
      <c r="P44" s="350"/>
      <c r="Q44" s="350"/>
      <c r="R44" s="350"/>
    </row>
    <row r="45" spans="2:18" ht="15" outlineLevel="1" thickBot="1" x14ac:dyDescent="0.35">
      <c r="B45" s="228" t="s">
        <v>310</v>
      </c>
      <c r="C45" s="240">
        <f>SUM(C43:C44)</f>
        <v>-1003.0840000000001</v>
      </c>
      <c r="D45" s="240">
        <f>SUM(D43:D44)</f>
        <v>-864.18400000000008</v>
      </c>
      <c r="E45" s="240">
        <f t="shared" ref="E45:H45" si="1">SUM(E43:E44)</f>
        <v>-534.53</v>
      </c>
      <c r="F45" s="240">
        <f t="shared" si="1"/>
        <v>-470.86400000000003</v>
      </c>
      <c r="G45" s="240">
        <f t="shared" si="1"/>
        <v>-157.959</v>
      </c>
      <c r="H45" s="240">
        <f t="shared" si="1"/>
        <v>-218.65700000000001</v>
      </c>
      <c r="I45" s="350"/>
      <c r="J45" s="350"/>
      <c r="K45" s="350"/>
      <c r="L45" s="350"/>
      <c r="M45" s="350"/>
      <c r="N45" s="350"/>
      <c r="O45" s="350"/>
      <c r="P45" s="350"/>
      <c r="Q45" s="350"/>
      <c r="R45" s="350"/>
    </row>
    <row r="46" spans="2:18" ht="15" thickTop="1" x14ac:dyDescent="0.3">
      <c r="C46" s="241"/>
      <c r="D46" s="242"/>
    </row>
    <row r="47" spans="2:18" hidden="1" outlineLevel="1" x14ac:dyDescent="0.3">
      <c r="B47" s="243" t="s">
        <v>298</v>
      </c>
      <c r="C47" s="231"/>
      <c r="D47" s="231"/>
    </row>
    <row r="48" spans="2:18" hidden="1" outlineLevel="1" x14ac:dyDescent="0.3">
      <c r="B48" s="243"/>
      <c r="C48" s="231"/>
      <c r="D48" s="231"/>
    </row>
    <row r="49" spans="2:7" hidden="1" outlineLevel="1" x14ac:dyDescent="0.3">
      <c r="B49" s="230" t="s">
        <v>299</v>
      </c>
      <c r="C49" s="244"/>
      <c r="D49" s="233"/>
    </row>
    <row r="50" spans="2:7" hidden="1" outlineLevel="1" x14ac:dyDescent="0.3">
      <c r="B50" s="230" t="s">
        <v>300</v>
      </c>
      <c r="C50" s="234"/>
      <c r="D50" s="235"/>
    </row>
    <row r="51" spans="2:7" hidden="1" outlineLevel="1" x14ac:dyDescent="0.3">
      <c r="B51" s="230" t="s">
        <v>301</v>
      </c>
      <c r="C51" s="236"/>
      <c r="D51" s="245"/>
    </row>
    <row r="52" spans="2:7" hidden="1" outlineLevel="1" x14ac:dyDescent="0.3">
      <c r="B52" s="230" t="s">
        <v>302</v>
      </c>
      <c r="C52" s="246"/>
      <c r="D52" s="247"/>
    </row>
    <row r="53" spans="2:7" hidden="1" outlineLevel="1" x14ac:dyDescent="0.3">
      <c r="B53" s="228" t="s">
        <v>303</v>
      </c>
      <c r="C53" s="241"/>
      <c r="D53" s="241"/>
    </row>
    <row r="54" spans="2:7" hidden="1" outlineLevel="1" x14ac:dyDescent="0.3">
      <c r="B54" s="228"/>
      <c r="C54" s="241"/>
      <c r="D54" s="241"/>
    </row>
    <row r="55" spans="2:7" hidden="1" outlineLevel="1" x14ac:dyDescent="0.3">
      <c r="B55" s="230" t="s">
        <v>304</v>
      </c>
      <c r="C55" s="248"/>
      <c r="D55" s="249"/>
    </row>
    <row r="56" spans="2:7" hidden="1" outlineLevel="1" x14ac:dyDescent="0.3">
      <c r="B56" s="230" t="s">
        <v>305</v>
      </c>
      <c r="C56" s="250"/>
      <c r="D56" s="247"/>
    </row>
    <row r="57" spans="2:7" ht="15" hidden="1" outlineLevel="1" thickBot="1" x14ac:dyDescent="0.35">
      <c r="B57" s="228" t="s">
        <v>306</v>
      </c>
      <c r="C57" s="251">
        <f>SUM(C55:C56)</f>
        <v>0</v>
      </c>
      <c r="D57" s="251">
        <f>SUM(D55:D56)</f>
        <v>0</v>
      </c>
    </row>
    <row r="58" spans="2:7" collapsed="1" x14ac:dyDescent="0.3">
      <c r="B58" s="53" t="s">
        <v>307</v>
      </c>
      <c r="C58" s="54"/>
      <c r="D58" s="54"/>
    </row>
    <row r="59" spans="2:7" x14ac:dyDescent="0.3">
      <c r="B59" s="252"/>
      <c r="C59" s="253"/>
      <c r="D59" s="254"/>
    </row>
    <row r="60" spans="2:7" x14ac:dyDescent="0.3">
      <c r="C60" s="349" t="s">
        <v>235</v>
      </c>
      <c r="D60" s="349"/>
    </row>
    <row r="61" spans="2:7" x14ac:dyDescent="0.3">
      <c r="B61" s="255"/>
      <c r="C61" s="85">
        <v>2021</v>
      </c>
      <c r="D61" s="85">
        <f>C61-1</f>
        <v>2020</v>
      </c>
      <c r="E61" s="85">
        <f t="shared" ref="E61:G61" si="2">D61-1</f>
        <v>2019</v>
      </c>
      <c r="F61" s="85">
        <f t="shared" si="2"/>
        <v>2018</v>
      </c>
      <c r="G61" s="85">
        <f t="shared" si="2"/>
        <v>2017</v>
      </c>
    </row>
    <row r="62" spans="2:7" x14ac:dyDescent="0.3">
      <c r="B62" s="258"/>
      <c r="C62" s="257"/>
      <c r="D62" s="257"/>
    </row>
    <row r="63" spans="2:7" x14ac:dyDescent="0.3">
      <c r="B63" s="256" t="s">
        <v>308</v>
      </c>
      <c r="C63" s="257">
        <v>-221.41</v>
      </c>
      <c r="D63" s="257">
        <v>-1136</v>
      </c>
      <c r="E63" s="261">
        <v>1466</v>
      </c>
      <c r="F63" s="261">
        <v>1206</v>
      </c>
      <c r="G63" s="261">
        <v>-108.06</v>
      </c>
    </row>
    <row r="64" spans="2:7" x14ac:dyDescent="0.3">
      <c r="B64" s="259"/>
      <c r="C64" s="260"/>
      <c r="D64" s="260"/>
    </row>
    <row r="65" spans="2:7" x14ac:dyDescent="0.3">
      <c r="B65" s="259" t="s">
        <v>208</v>
      </c>
      <c r="C65" s="257">
        <v>798</v>
      </c>
      <c r="D65" s="257">
        <v>788</v>
      </c>
      <c r="E65" s="261">
        <v>786</v>
      </c>
      <c r="F65" s="261">
        <v>773</v>
      </c>
      <c r="G65" s="261">
        <v>733</v>
      </c>
    </row>
    <row r="66" spans="2:7" x14ac:dyDescent="0.3">
      <c r="B66" s="256"/>
      <c r="C66" s="260"/>
      <c r="D66" s="260"/>
    </row>
    <row r="67" spans="2:7" x14ac:dyDescent="0.3">
      <c r="B67" s="256" t="s">
        <v>185</v>
      </c>
      <c r="C67" s="257">
        <f>C63/C65</f>
        <v>-0.27745614035087718</v>
      </c>
      <c r="D67" s="257">
        <f t="shared" ref="D67:G67" si="3">D63/D65</f>
        <v>-1.4416243654822336</v>
      </c>
      <c r="E67" s="257">
        <f t="shared" si="3"/>
        <v>1.8651399491094147</v>
      </c>
      <c r="F67" s="257">
        <f t="shared" si="3"/>
        <v>1.5601552393272962</v>
      </c>
      <c r="G67" s="257">
        <f t="shared" si="3"/>
        <v>-0.14742155525238745</v>
      </c>
    </row>
    <row r="69" spans="2:7" x14ac:dyDescent="0.3">
      <c r="B69" s="256" t="s">
        <v>338</v>
      </c>
      <c r="C69" s="348" t="s">
        <v>339</v>
      </c>
      <c r="D69" s="348"/>
      <c r="E69" s="348"/>
      <c r="F69" s="348"/>
      <c r="G69" s="348"/>
    </row>
  </sheetData>
  <mergeCells count="4">
    <mergeCell ref="C69:G69"/>
    <mergeCell ref="C60:D60"/>
    <mergeCell ref="I44:R45"/>
    <mergeCell ref="C39:G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3EE3-E553-4A46-9FA6-914222192822}">
  <dimension ref="A2:U72"/>
  <sheetViews>
    <sheetView showGridLines="0" topLeftCell="A33" workbookViewId="0">
      <selection activeCell="O57" sqref="O57"/>
    </sheetView>
  </sheetViews>
  <sheetFormatPr defaultRowHeight="14.4" x14ac:dyDescent="0.3"/>
  <cols>
    <col min="8" max="8" width="13.6640625" bestFit="1" customWidth="1"/>
    <col min="9" max="13" width="14.33203125" customWidth="1"/>
    <col min="14" max="14" width="18.21875" customWidth="1"/>
    <col min="15" max="15" width="16.109375" customWidth="1"/>
    <col min="16" max="16" width="13.33203125" bestFit="1" customWidth="1"/>
  </cols>
  <sheetData>
    <row r="2" spans="1:21" x14ac:dyDescent="0.3">
      <c r="B2" s="334" t="str">
        <f>"Intrinsic Growth Rate"&amp;" - "&amp;WACC!$B$12</f>
        <v>Intrinsic Growth Rate - Twitter Inc.</v>
      </c>
      <c r="C2" s="334"/>
      <c r="D2" s="334"/>
      <c r="E2" s="334"/>
      <c r="F2" s="334"/>
      <c r="G2" s="334"/>
      <c r="H2" s="334"/>
      <c r="I2" s="334"/>
      <c r="J2" s="53"/>
      <c r="K2" s="53"/>
      <c r="L2" s="53"/>
      <c r="M2" s="53"/>
    </row>
    <row r="4" spans="1:21" x14ac:dyDescent="0.3">
      <c r="B4" s="62" t="s">
        <v>235</v>
      </c>
      <c r="H4" s="83"/>
      <c r="I4" s="83"/>
      <c r="J4" s="83"/>
      <c r="K4" s="83"/>
      <c r="L4" s="83"/>
      <c r="M4" s="83"/>
    </row>
    <row r="5" spans="1:21" ht="16.8" customHeight="1" thickBot="1" x14ac:dyDescent="0.35">
      <c r="A5" s="16" t="s">
        <v>94</v>
      </c>
      <c r="B5" s="351" t="s">
        <v>95</v>
      </c>
      <c r="C5" s="351"/>
      <c r="D5" s="351"/>
      <c r="E5" s="351"/>
      <c r="F5" s="84"/>
      <c r="G5" s="84"/>
      <c r="H5" s="85">
        <v>2021</v>
      </c>
      <c r="I5" s="85">
        <f>H5-1</f>
        <v>2020</v>
      </c>
      <c r="J5" s="85">
        <f t="shared" ref="J5:L5" si="0">I5-1</f>
        <v>2019</v>
      </c>
      <c r="K5" s="85">
        <f t="shared" si="0"/>
        <v>2018</v>
      </c>
      <c r="L5" s="85">
        <f t="shared" si="0"/>
        <v>2017</v>
      </c>
      <c r="M5" s="85">
        <v>2016</v>
      </c>
      <c r="O5" s="346" t="s">
        <v>96</v>
      </c>
      <c r="P5" s="346"/>
      <c r="Q5" s="346"/>
      <c r="R5" s="346"/>
      <c r="S5" s="346"/>
      <c r="T5" s="346"/>
      <c r="U5" s="346"/>
    </row>
    <row r="6" spans="1:21" x14ac:dyDescent="0.3">
      <c r="O6" s="86" t="s">
        <v>97</v>
      </c>
      <c r="P6" s="87"/>
      <c r="Q6" s="87"/>
      <c r="R6" s="87"/>
      <c r="S6" s="87"/>
      <c r="T6" s="87"/>
      <c r="U6" s="88"/>
    </row>
    <row r="7" spans="1:21" x14ac:dyDescent="0.3">
      <c r="B7" s="16" t="s">
        <v>98</v>
      </c>
      <c r="I7" s="3"/>
      <c r="J7" s="3"/>
      <c r="K7" s="3"/>
      <c r="L7" s="3"/>
      <c r="M7" s="3"/>
      <c r="O7" s="89" t="s">
        <v>99</v>
      </c>
      <c r="U7" s="90"/>
    </row>
    <row r="8" spans="1:21" x14ac:dyDescent="0.3">
      <c r="B8" s="66" t="s">
        <v>100</v>
      </c>
      <c r="H8" s="3">
        <v>2187</v>
      </c>
      <c r="I8" s="3">
        <v>1988</v>
      </c>
      <c r="J8" s="3">
        <v>1799</v>
      </c>
      <c r="K8" s="3">
        <v>1894</v>
      </c>
      <c r="L8" s="3">
        <v>1638</v>
      </c>
      <c r="M8" s="3">
        <f>988598/1000</f>
        <v>988.59799999999996</v>
      </c>
      <c r="O8" s="89"/>
      <c r="U8" s="90"/>
    </row>
    <row r="9" spans="1:21" x14ac:dyDescent="0.3">
      <c r="B9" s="66" t="s">
        <v>101</v>
      </c>
      <c r="H9" s="3">
        <v>4207</v>
      </c>
      <c r="I9" s="3">
        <v>5484</v>
      </c>
      <c r="J9" s="3">
        <v>4840</v>
      </c>
      <c r="K9" s="3">
        <v>4315</v>
      </c>
      <c r="L9" s="3">
        <v>2765</v>
      </c>
      <c r="M9">
        <f>2785981*(1/1000)</f>
        <v>2785.9810000000002</v>
      </c>
      <c r="O9" s="89" t="s">
        <v>102</v>
      </c>
      <c r="U9" s="90"/>
    </row>
    <row r="10" spans="1:21" x14ac:dyDescent="0.3">
      <c r="B10" s="194" t="s">
        <v>251</v>
      </c>
      <c r="H10" s="192">
        <f>H8+H9</f>
        <v>6394</v>
      </c>
      <c r="I10" s="192">
        <f t="shared" ref="I10:M10" si="1">I8+I9</f>
        <v>7472</v>
      </c>
      <c r="J10" s="192">
        <f t="shared" si="1"/>
        <v>6639</v>
      </c>
      <c r="K10" s="192">
        <f t="shared" si="1"/>
        <v>6209</v>
      </c>
      <c r="L10" s="192">
        <f t="shared" si="1"/>
        <v>4403</v>
      </c>
      <c r="M10" s="192">
        <f t="shared" si="1"/>
        <v>3774.5790000000002</v>
      </c>
      <c r="O10" s="89"/>
      <c r="U10" s="90"/>
    </row>
    <row r="11" spans="1:21" x14ac:dyDescent="0.3">
      <c r="B11" s="66"/>
      <c r="H11" s="193"/>
      <c r="I11" s="193"/>
      <c r="J11" s="193"/>
      <c r="K11" s="193"/>
      <c r="L11" s="193"/>
      <c r="M11" s="193"/>
      <c r="O11" s="89"/>
      <c r="U11" s="90"/>
    </row>
    <row r="12" spans="1:21" x14ac:dyDescent="0.3">
      <c r="B12" s="66" t="s">
        <v>250</v>
      </c>
      <c r="H12" s="3">
        <v>1217</v>
      </c>
      <c r="I12" s="3">
        <v>1042</v>
      </c>
      <c r="J12" s="3">
        <v>850.18</v>
      </c>
      <c r="K12" s="3">
        <v>788.7</v>
      </c>
      <c r="L12" s="3">
        <v>664.27</v>
      </c>
      <c r="M12">
        <f>650650*(1/1000)</f>
        <v>650.65</v>
      </c>
      <c r="O12" s="89" t="s">
        <v>103</v>
      </c>
      <c r="U12" s="90"/>
    </row>
    <row r="13" spans="1:21" x14ac:dyDescent="0.3">
      <c r="B13" s="66" t="s">
        <v>106</v>
      </c>
      <c r="H13" s="3">
        <v>307.27999999999997</v>
      </c>
      <c r="I13" s="3">
        <v>123.06</v>
      </c>
      <c r="J13" s="3">
        <v>130.84</v>
      </c>
      <c r="K13" s="3">
        <v>112.94</v>
      </c>
      <c r="L13" s="3">
        <v>254.51</v>
      </c>
      <c r="M13">
        <f>226967*(1/1000)</f>
        <v>226.96700000000001</v>
      </c>
      <c r="O13" s="89" t="s">
        <v>104</v>
      </c>
      <c r="U13" s="90"/>
    </row>
    <row r="14" spans="1:21" ht="15" thickBot="1" x14ac:dyDescent="0.35">
      <c r="H14" s="3"/>
      <c r="I14" s="3"/>
      <c r="J14" s="3"/>
      <c r="K14" s="3"/>
      <c r="L14" s="3"/>
      <c r="M14" s="3"/>
      <c r="O14" s="89"/>
      <c r="U14" s="90"/>
    </row>
    <row r="15" spans="1:21" ht="15" thickTop="1" x14ac:dyDescent="0.3">
      <c r="A15" s="16" t="s">
        <v>94</v>
      </c>
      <c r="B15" s="16" t="s">
        <v>109</v>
      </c>
      <c r="H15" s="93">
        <f>SUM(H12:H13)</f>
        <v>1524.28</v>
      </c>
      <c r="I15" s="93">
        <f t="shared" ref="I15:M15" si="2">SUM(I12:I13)</f>
        <v>1165.06</v>
      </c>
      <c r="J15" s="93">
        <f t="shared" si="2"/>
        <v>981.02</v>
      </c>
      <c r="K15" s="93">
        <f>SUM(K12:K13)</f>
        <v>901.6400000000001</v>
      </c>
      <c r="L15" s="93">
        <f t="shared" si="2"/>
        <v>918.78</v>
      </c>
      <c r="M15" s="93">
        <f t="shared" si="2"/>
        <v>877.61699999999996</v>
      </c>
      <c r="O15" s="89" t="s">
        <v>105</v>
      </c>
      <c r="U15" s="90"/>
    </row>
    <row r="16" spans="1:21" x14ac:dyDescent="0.3">
      <c r="O16" s="89" t="s">
        <v>107</v>
      </c>
      <c r="U16" s="90"/>
    </row>
    <row r="17" spans="1:21" ht="15" thickBot="1" x14ac:dyDescent="0.35">
      <c r="B17" s="66"/>
      <c r="H17" s="3"/>
      <c r="I17" s="3"/>
      <c r="J17" s="3"/>
      <c r="K17" s="3"/>
      <c r="L17" s="3"/>
      <c r="M17" s="3"/>
      <c r="O17" s="91" t="s">
        <v>108</v>
      </c>
      <c r="P17" s="81"/>
      <c r="Q17" s="81"/>
      <c r="R17" s="81"/>
      <c r="S17" s="81"/>
      <c r="T17" s="81"/>
      <c r="U17" s="92"/>
    </row>
    <row r="18" spans="1:21" x14ac:dyDescent="0.3">
      <c r="J18" s="98"/>
      <c r="K18" s="98"/>
      <c r="L18" s="98"/>
      <c r="M18" s="98"/>
    </row>
    <row r="19" spans="1:21" x14ac:dyDescent="0.3">
      <c r="A19" s="16" t="s">
        <v>94</v>
      </c>
      <c r="B19" s="16" t="s">
        <v>110</v>
      </c>
    </row>
    <row r="20" spans="1:21" x14ac:dyDescent="0.3">
      <c r="B20" t="s">
        <v>111</v>
      </c>
      <c r="C20" s="76"/>
      <c r="H20" s="3">
        <v>203.17</v>
      </c>
      <c r="I20" s="3">
        <v>194.28</v>
      </c>
      <c r="J20">
        <v>161.15</v>
      </c>
      <c r="K20">
        <v>145.19</v>
      </c>
      <c r="L20">
        <v>170.97</v>
      </c>
      <c r="M20">
        <f>122236/1000</f>
        <v>122.236</v>
      </c>
    </row>
    <row r="21" spans="1:21" x14ac:dyDescent="0.3">
      <c r="B21" t="s">
        <v>252</v>
      </c>
      <c r="H21" s="3">
        <v>222.35</v>
      </c>
      <c r="I21" s="3">
        <v>1095</v>
      </c>
      <c r="J21" s="3">
        <v>170.44</v>
      </c>
      <c r="K21" s="3">
        <v>965.37</v>
      </c>
      <c r="L21" s="3">
        <v>84.98</v>
      </c>
      <c r="M21" s="3">
        <f>380937/1000</f>
        <v>380.93700000000001</v>
      </c>
      <c r="O21" s="62" t="s">
        <v>43</v>
      </c>
    </row>
    <row r="22" spans="1:21" ht="14.4" customHeight="1" x14ac:dyDescent="0.3">
      <c r="B22" t="s">
        <v>112</v>
      </c>
      <c r="H22" s="3">
        <v>918.35</v>
      </c>
      <c r="I22" s="3">
        <v>663.53</v>
      </c>
      <c r="J22" s="3">
        <v>500.89</v>
      </c>
      <c r="K22" s="3">
        <v>405.75</v>
      </c>
      <c r="L22" s="3">
        <v>327.33</v>
      </c>
      <c r="M22" s="3">
        <f>80848/1000</f>
        <v>80.847999999999999</v>
      </c>
      <c r="O22" s="342" t="s">
        <v>381</v>
      </c>
      <c r="P22" s="342"/>
      <c r="Q22" s="342"/>
      <c r="R22" s="342"/>
      <c r="S22" s="342"/>
      <c r="T22" s="342"/>
      <c r="U22" s="342"/>
    </row>
    <row r="23" spans="1:21" ht="15" thickBot="1" x14ac:dyDescent="0.35">
      <c r="O23" s="342"/>
      <c r="P23" s="342"/>
      <c r="Q23" s="342"/>
      <c r="R23" s="342"/>
      <c r="S23" s="342"/>
      <c r="T23" s="342"/>
      <c r="U23" s="342"/>
    </row>
    <row r="24" spans="1:21" ht="15" thickTop="1" x14ac:dyDescent="0.3">
      <c r="B24" s="16" t="s">
        <v>113</v>
      </c>
      <c r="H24" s="93">
        <f>SUM(H20:H22)</f>
        <v>1343.87</v>
      </c>
      <c r="I24" s="93">
        <f t="shared" ref="I24:M24" si="3">SUM(I20:I22)</f>
        <v>1952.81</v>
      </c>
      <c r="J24" s="93">
        <f t="shared" si="3"/>
        <v>832.48</v>
      </c>
      <c r="K24" s="93">
        <f t="shared" si="3"/>
        <v>1516.31</v>
      </c>
      <c r="L24" s="93">
        <f t="shared" si="3"/>
        <v>583.28</v>
      </c>
      <c r="M24" s="93">
        <f t="shared" si="3"/>
        <v>584.02099999999996</v>
      </c>
      <c r="O24" s="342"/>
      <c r="P24" s="342"/>
      <c r="Q24" s="342"/>
      <c r="R24" s="342"/>
      <c r="S24" s="342"/>
      <c r="T24" s="342"/>
      <c r="U24" s="342"/>
    </row>
    <row r="25" spans="1:21" ht="15" thickBot="1" x14ac:dyDescent="0.35"/>
    <row r="26" spans="1:21" ht="15.6" thickTop="1" thickBot="1" x14ac:dyDescent="0.35">
      <c r="A26" s="16" t="s">
        <v>94</v>
      </c>
      <c r="B26" s="16" t="s">
        <v>114</v>
      </c>
      <c r="H26" s="95">
        <f>H15-H24</f>
        <v>180.41000000000008</v>
      </c>
      <c r="I26" s="95">
        <f>I15-I24</f>
        <v>-787.75</v>
      </c>
      <c r="J26" s="95">
        <f>J15-J24</f>
        <v>148.53999999999996</v>
      </c>
      <c r="K26" s="95">
        <f>K15-K24</f>
        <v>-614.66999999999985</v>
      </c>
      <c r="L26" s="95">
        <f t="shared" ref="L26:M26" si="4">L15-L24</f>
        <v>335.5</v>
      </c>
      <c r="M26" s="95">
        <f t="shared" si="4"/>
        <v>293.596</v>
      </c>
    </row>
    <row r="28" spans="1:21" x14ac:dyDescent="0.3">
      <c r="A28" s="16" t="s">
        <v>94</v>
      </c>
      <c r="B28" s="16" t="s">
        <v>115</v>
      </c>
    </row>
    <row r="29" spans="1:21" x14ac:dyDescent="0.3">
      <c r="B29" t="str">
        <f>[2]BS!B8</f>
        <v>Property, plant and equipment</v>
      </c>
      <c r="H29" s="44">
        <v>3277</v>
      </c>
      <c r="I29" s="44">
        <v>2424</v>
      </c>
      <c r="J29" s="44">
        <v>1729</v>
      </c>
      <c r="K29" s="44">
        <v>885.08</v>
      </c>
      <c r="L29" s="44">
        <v>773.72</v>
      </c>
      <c r="M29" s="44">
        <f>783901/1000</f>
        <v>783.90099999999995</v>
      </c>
    </row>
    <row r="30" spans="1:21" x14ac:dyDescent="0.3">
      <c r="B30" t="s">
        <v>253</v>
      </c>
      <c r="H30" s="44">
        <v>1371</v>
      </c>
      <c r="I30" s="44">
        <v>1371</v>
      </c>
      <c r="J30" s="44">
        <v>1312</v>
      </c>
      <c r="K30" s="44">
        <v>1272</v>
      </c>
      <c r="L30" s="44">
        <v>1239</v>
      </c>
      <c r="M30" s="44">
        <f>(95334+1185315)/1000</f>
        <v>1280.6489999999999</v>
      </c>
    </row>
    <row r="31" spans="1:21" x14ac:dyDescent="0.3">
      <c r="B31" t="s">
        <v>116</v>
      </c>
      <c r="H31" s="44">
        <v>1493</v>
      </c>
      <c r="I31" s="44">
        <v>947.37</v>
      </c>
      <c r="J31" s="44">
        <v>2043</v>
      </c>
      <c r="K31" s="44">
        <v>894.16</v>
      </c>
      <c r="L31" s="44">
        <v>78.290000000000006</v>
      </c>
      <c r="M31" s="44">
        <f>(153619/1000)</f>
        <v>153.619</v>
      </c>
    </row>
    <row r="32" spans="1:21" ht="15" thickBot="1" x14ac:dyDescent="0.35">
      <c r="H32" s="44"/>
      <c r="I32" s="44"/>
      <c r="J32" s="44"/>
      <c r="K32" s="44"/>
      <c r="L32" s="44"/>
      <c r="M32" s="44"/>
    </row>
    <row r="33" spans="1:16" ht="15" thickTop="1" x14ac:dyDescent="0.3">
      <c r="A33" s="16" t="s">
        <v>94</v>
      </c>
      <c r="B33" s="16" t="s">
        <v>117</v>
      </c>
      <c r="H33" s="93">
        <f>SUM(H29:H31)</f>
        <v>6141</v>
      </c>
      <c r="I33" s="93">
        <f t="shared" ref="I33:M33" si="5">SUM(I29:I31)</f>
        <v>4742.37</v>
      </c>
      <c r="J33" s="93">
        <f t="shared" si="5"/>
        <v>5084</v>
      </c>
      <c r="K33" s="93">
        <f t="shared" si="5"/>
        <v>3051.24</v>
      </c>
      <c r="L33" s="93">
        <f t="shared" si="5"/>
        <v>2091.0100000000002</v>
      </c>
      <c r="M33" s="93">
        <f t="shared" si="5"/>
        <v>2218.1689999999999</v>
      </c>
      <c r="O33" s="63"/>
      <c r="P33" s="63"/>
    </row>
    <row r="35" spans="1:16" ht="15" thickBot="1" x14ac:dyDescent="0.35"/>
    <row r="36" spans="1:16" ht="15.6" thickTop="1" thickBot="1" x14ac:dyDescent="0.35">
      <c r="A36" s="16" t="s">
        <v>94</v>
      </c>
      <c r="B36" s="16" t="s">
        <v>118</v>
      </c>
      <c r="H36" s="95">
        <f>H26+H33</f>
        <v>6321.41</v>
      </c>
      <c r="I36" s="95">
        <f t="shared" ref="I36:M36" si="6">I26+I33</f>
        <v>3954.62</v>
      </c>
      <c r="J36" s="95">
        <f t="shared" si="6"/>
        <v>5232.54</v>
      </c>
      <c r="K36" s="95">
        <f t="shared" si="6"/>
        <v>2436.5699999999997</v>
      </c>
      <c r="L36" s="95">
        <f t="shared" si="6"/>
        <v>2426.5100000000002</v>
      </c>
      <c r="M36" s="95">
        <f t="shared" si="6"/>
        <v>2511.7649999999999</v>
      </c>
    </row>
    <row r="38" spans="1:16" ht="16.2" x14ac:dyDescent="0.3">
      <c r="A38" s="16" t="s">
        <v>94</v>
      </c>
      <c r="B38" s="16" t="s">
        <v>181</v>
      </c>
      <c r="H38" s="40">
        <v>-7.0900000000000005E-2</v>
      </c>
      <c r="I38" s="40">
        <v>2.7400000000000001E-2</v>
      </c>
      <c r="J38" s="40">
        <v>0.1527</v>
      </c>
      <c r="K38" s="40">
        <v>0.18279999999999999</v>
      </c>
      <c r="L38" s="40">
        <v>4.0000000000000001E-3</v>
      </c>
      <c r="M38" s="40">
        <v>0.11</v>
      </c>
      <c r="N38" s="96"/>
    </row>
    <row r="40" spans="1:16" x14ac:dyDescent="0.3">
      <c r="A40" s="16" t="s">
        <v>94</v>
      </c>
      <c r="B40" s="16" t="s">
        <v>119</v>
      </c>
      <c r="H40" s="44">
        <v>-359.93</v>
      </c>
      <c r="I40" s="44">
        <v>101.94</v>
      </c>
      <c r="J40" s="44">
        <v>528.32000000000005</v>
      </c>
      <c r="K40" s="44">
        <v>556.15</v>
      </c>
      <c r="L40" s="44">
        <v>9.82</v>
      </c>
      <c r="M40" s="44">
        <v>611</v>
      </c>
    </row>
    <row r="41" spans="1:16" ht="15" thickBot="1" x14ac:dyDescent="0.35"/>
    <row r="42" spans="1:16" ht="15.6" thickTop="1" thickBot="1" x14ac:dyDescent="0.35">
      <c r="A42" s="16" t="s">
        <v>94</v>
      </c>
      <c r="B42" s="16" t="s">
        <v>120</v>
      </c>
      <c r="H42" s="97">
        <f>H40/H36</f>
        <v>-5.6938246372249229E-2</v>
      </c>
      <c r="I42" s="97">
        <f t="shared" ref="I42:M42" si="7">I40/I36</f>
        <v>2.577744511482772E-2</v>
      </c>
      <c r="J42" s="97">
        <f t="shared" si="7"/>
        <v>0.10096817224521935</v>
      </c>
      <c r="K42" s="97">
        <f t="shared" si="7"/>
        <v>0.22825118917166345</v>
      </c>
      <c r="L42" s="97">
        <f t="shared" si="7"/>
        <v>4.0469645705148542E-3</v>
      </c>
      <c r="M42" s="97">
        <f t="shared" si="7"/>
        <v>0.24325524083662287</v>
      </c>
    </row>
    <row r="44" spans="1:16" x14ac:dyDescent="0.3">
      <c r="B44" s="62"/>
    </row>
    <row r="45" spans="1:16" x14ac:dyDescent="0.3">
      <c r="B45" s="79"/>
      <c r="C45" s="79"/>
      <c r="D45" s="79"/>
      <c r="E45" s="79"/>
      <c r="F45" s="79"/>
      <c r="G45" s="79"/>
      <c r="H45" s="79"/>
      <c r="I45" s="79"/>
      <c r="J45" s="79"/>
      <c r="K45" s="79"/>
      <c r="L45" s="79"/>
      <c r="M45" s="79"/>
    </row>
    <row r="47" spans="1:16" ht="14.4" customHeight="1" x14ac:dyDescent="0.3">
      <c r="A47" s="16" t="s">
        <v>94</v>
      </c>
      <c r="B47" s="351" t="s">
        <v>121</v>
      </c>
      <c r="C47" s="351"/>
      <c r="D47" s="351"/>
      <c r="E47" s="351"/>
      <c r="F47" s="84"/>
      <c r="G47" s="84"/>
      <c r="H47" s="85">
        <f>H5</f>
        <v>2021</v>
      </c>
      <c r="I47" s="85">
        <f>I5</f>
        <v>2020</v>
      </c>
      <c r="J47" s="85">
        <f t="shared" ref="J47:L47" si="8">J5</f>
        <v>2019</v>
      </c>
      <c r="K47" s="85">
        <f t="shared" si="8"/>
        <v>2018</v>
      </c>
      <c r="L47" s="85">
        <f t="shared" si="8"/>
        <v>2017</v>
      </c>
      <c r="M47" s="85">
        <v>2016</v>
      </c>
    </row>
    <row r="49" spans="1:16" x14ac:dyDescent="0.3">
      <c r="B49" t="s">
        <v>122</v>
      </c>
      <c r="H49" s="3">
        <f>'Raw CF and Pnl Stm'!C45*-1</f>
        <v>1003.0840000000001</v>
      </c>
      <c r="I49" s="3">
        <f>'Raw CF and Pnl Stm'!D45*-1</f>
        <v>864.18400000000008</v>
      </c>
      <c r="J49" s="3">
        <f>'Raw CF and Pnl Stm'!E45*-1</f>
        <v>534.53</v>
      </c>
      <c r="K49" s="3">
        <f>'Raw CF and Pnl Stm'!F45*-1</f>
        <v>470.86400000000003</v>
      </c>
      <c r="L49" s="3">
        <f>'Raw CF and Pnl Stm'!G45*-1</f>
        <v>157.959</v>
      </c>
      <c r="M49" s="3">
        <f>'Raw CF and Pnl Stm'!H45*-1</f>
        <v>218.65700000000001</v>
      </c>
    </row>
    <row r="50" spans="1:16" x14ac:dyDescent="0.3">
      <c r="B50" t="s">
        <v>123</v>
      </c>
      <c r="H50" s="98">
        <f>(H26-I26)</f>
        <v>968.16000000000008</v>
      </c>
      <c r="I50" s="98">
        <f t="shared" ref="I50:J50" si="9">(I26-J26)</f>
        <v>-936.29</v>
      </c>
      <c r="J50" s="98">
        <f t="shared" si="9"/>
        <v>763.20999999999981</v>
      </c>
      <c r="K50" s="98">
        <f>(K26-L26)</f>
        <v>-950.16999999999985</v>
      </c>
      <c r="L50" s="98">
        <f>(L26-M26)</f>
        <v>41.903999999999996</v>
      </c>
      <c r="M50" s="98">
        <f>(M26-N26)</f>
        <v>293.596</v>
      </c>
      <c r="N50" s="99"/>
    </row>
    <row r="52" spans="1:16" x14ac:dyDescent="0.3">
      <c r="B52" t="s">
        <v>124</v>
      </c>
      <c r="H52" s="98">
        <f>H40</f>
        <v>-359.93</v>
      </c>
      <c r="I52" s="98">
        <f t="shared" ref="I52:L52" si="10">I40</f>
        <v>101.94</v>
      </c>
      <c r="J52" s="98">
        <f t="shared" si="10"/>
        <v>528.32000000000005</v>
      </c>
      <c r="K52" s="98">
        <f t="shared" si="10"/>
        <v>556.15</v>
      </c>
      <c r="L52" s="98">
        <f t="shared" si="10"/>
        <v>9.82</v>
      </c>
      <c r="M52" s="98">
        <f t="shared" ref="M52" si="11">M40</f>
        <v>611</v>
      </c>
    </row>
    <row r="53" spans="1:16" x14ac:dyDescent="0.3">
      <c r="B53" t="s">
        <v>125</v>
      </c>
      <c r="H53" s="100">
        <v>0.25</v>
      </c>
      <c r="I53" s="100">
        <f>H53</f>
        <v>0.25</v>
      </c>
      <c r="J53" s="100">
        <f t="shared" ref="J53:L53" si="12">I53</f>
        <v>0.25</v>
      </c>
      <c r="K53" s="100">
        <f t="shared" si="12"/>
        <v>0.25</v>
      </c>
      <c r="L53" s="100">
        <f t="shared" si="12"/>
        <v>0.25</v>
      </c>
      <c r="M53" s="100">
        <f t="shared" ref="M53" si="13">L53</f>
        <v>0.25</v>
      </c>
    </row>
    <row r="54" spans="1:16" x14ac:dyDescent="0.3">
      <c r="B54" t="s">
        <v>126</v>
      </c>
      <c r="H54" s="101">
        <f>H52*(1-H53)</f>
        <v>-269.94749999999999</v>
      </c>
      <c r="I54" s="101">
        <f t="shared" ref="I54:M54" si="14">I52*(1-I53)</f>
        <v>76.454999999999998</v>
      </c>
      <c r="J54" s="101">
        <f t="shared" si="14"/>
        <v>396.24</v>
      </c>
      <c r="K54" s="101">
        <f t="shared" si="14"/>
        <v>417.11249999999995</v>
      </c>
      <c r="L54" s="101">
        <f t="shared" si="14"/>
        <v>7.3650000000000002</v>
      </c>
      <c r="M54" s="101">
        <f t="shared" si="14"/>
        <v>458.25</v>
      </c>
    </row>
    <row r="56" spans="1:16" x14ac:dyDescent="0.3">
      <c r="B56" t="s">
        <v>127</v>
      </c>
      <c r="H56" s="63">
        <f>SUM(H49:H50)</f>
        <v>1971.2440000000001</v>
      </c>
      <c r="I56" s="63">
        <f t="shared" ref="I56" si="15">SUM(I49:I50)</f>
        <v>-72.105999999999881</v>
      </c>
      <c r="J56" s="63">
        <f>SUM(J49:J50)</f>
        <v>1297.7399999999998</v>
      </c>
      <c r="K56" s="63">
        <f>SUM(K49:K50)</f>
        <v>-479.30599999999981</v>
      </c>
      <c r="L56" s="63">
        <f>SUM(L49:L50)</f>
        <v>199.863</v>
      </c>
      <c r="M56" s="63">
        <f>SUM(M49:M50)</f>
        <v>512.25300000000004</v>
      </c>
      <c r="O56" s="65" t="s">
        <v>311</v>
      </c>
      <c r="P56" s="65" t="s">
        <v>313</v>
      </c>
    </row>
    <row r="57" spans="1:16" x14ac:dyDescent="0.3">
      <c r="N57" s="94" t="s">
        <v>119</v>
      </c>
      <c r="O57" s="267">
        <f>AVERAGE(H52:L52)</f>
        <v>167.26000000000002</v>
      </c>
      <c r="P57" s="267">
        <f>MEDIAN(H52:M52)</f>
        <v>315.13</v>
      </c>
    </row>
    <row r="58" spans="1:16" x14ac:dyDescent="0.3">
      <c r="B58" t="s">
        <v>128</v>
      </c>
      <c r="H58" s="102">
        <f>H56/H54</f>
        <v>-7.3023235999592524</v>
      </c>
      <c r="I58" s="39">
        <f>I56/I54</f>
        <v>-0.94311686613040202</v>
      </c>
      <c r="J58" s="39">
        <f>J56/J54</f>
        <v>3.2751362810417923</v>
      </c>
      <c r="K58" s="39">
        <f t="shared" ref="K58" si="16">K56/K54</f>
        <v>-1.1491048578021514</v>
      </c>
      <c r="L58" s="39">
        <f>L56/L54</f>
        <v>27.136863543788188</v>
      </c>
      <c r="M58" s="39">
        <f>M56/M54</f>
        <v>1.1178461538461539</v>
      </c>
      <c r="N58" s="94" t="s">
        <v>128</v>
      </c>
      <c r="O58" s="28">
        <f>AVERAGE(H58:M58)</f>
        <v>3.6892167757973886</v>
      </c>
      <c r="P58" s="28">
        <f>MEDIAN(H58:M58)</f>
        <v>8.7364643857876012E-2</v>
      </c>
    </row>
    <row r="59" spans="1:16" x14ac:dyDescent="0.3">
      <c r="N59" t="s">
        <v>314</v>
      </c>
      <c r="O59" s="266">
        <f>AVERAGE(H69:M69)</f>
        <v>0.14026903192234821</v>
      </c>
      <c r="P59" s="40">
        <f>MEDIAN(H69:M69)</f>
        <v>0.19087193034437289</v>
      </c>
    </row>
    <row r="60" spans="1:16" x14ac:dyDescent="0.3">
      <c r="N60" s="68"/>
      <c r="O60" s="264"/>
    </row>
    <row r="61" spans="1:16" x14ac:dyDescent="0.3">
      <c r="N61" s="68"/>
      <c r="O61" s="265"/>
    </row>
    <row r="64" spans="1:16" ht="14.4" customHeight="1" x14ac:dyDescent="0.3">
      <c r="A64" s="16" t="s">
        <v>94</v>
      </c>
      <c r="B64" s="351" t="s">
        <v>129</v>
      </c>
      <c r="C64" s="351"/>
      <c r="D64" s="351"/>
      <c r="E64" s="351"/>
      <c r="F64" s="84"/>
      <c r="G64" s="84"/>
      <c r="H64" s="85">
        <f>H47</f>
        <v>2021</v>
      </c>
      <c r="I64" s="85">
        <f>I47</f>
        <v>2020</v>
      </c>
      <c r="J64" s="85">
        <f t="shared" ref="J64:M64" si="17">J47</f>
        <v>2019</v>
      </c>
      <c r="K64" s="85">
        <f t="shared" si="17"/>
        <v>2018</v>
      </c>
      <c r="L64" s="85">
        <f t="shared" si="17"/>
        <v>2017</v>
      </c>
      <c r="M64" s="85">
        <f t="shared" si="17"/>
        <v>2016</v>
      </c>
    </row>
    <row r="66" spans="2:15" x14ac:dyDescent="0.3">
      <c r="B66" t="str">
        <f>B58</f>
        <v>Reinvestment Rate</v>
      </c>
      <c r="H66" s="40">
        <f>H58</f>
        <v>-7.3023235999592524</v>
      </c>
      <c r="I66" s="40">
        <f>I58</f>
        <v>-0.94311686613040202</v>
      </c>
      <c r="J66" s="40">
        <f t="shared" ref="J66:L66" si="18">J58</f>
        <v>3.2751362810417923</v>
      </c>
      <c r="K66" s="40">
        <f t="shared" si="18"/>
        <v>-1.1491048578021514</v>
      </c>
      <c r="L66" s="40">
        <f t="shared" si="18"/>
        <v>27.136863543788188</v>
      </c>
      <c r="M66" s="40">
        <f t="shared" ref="M66" si="19">M58</f>
        <v>1.1178461538461539</v>
      </c>
    </row>
    <row r="67" spans="2:15" x14ac:dyDescent="0.3">
      <c r="B67" t="str">
        <f>B42</f>
        <v>Return on Invested Capital (ROIC)</v>
      </c>
      <c r="H67" s="40">
        <f>H42</f>
        <v>-5.6938246372249229E-2</v>
      </c>
      <c r="I67" s="40">
        <f>I42</f>
        <v>2.577744511482772E-2</v>
      </c>
      <c r="J67" s="40">
        <f t="shared" ref="J67:L67" si="20">J42</f>
        <v>0.10096817224521935</v>
      </c>
      <c r="K67" s="40">
        <f t="shared" si="20"/>
        <v>0.22825118917166345</v>
      </c>
      <c r="L67" s="40">
        <f t="shared" si="20"/>
        <v>4.0469645705148542E-3</v>
      </c>
      <c r="M67" s="40">
        <f t="shared" ref="M67" si="21">M42</f>
        <v>0.24325524083662287</v>
      </c>
    </row>
    <row r="68" spans="2:15" ht="15" thickBot="1" x14ac:dyDescent="0.35"/>
    <row r="69" spans="2:15" ht="15.6" thickTop="1" thickBot="1" x14ac:dyDescent="0.35">
      <c r="B69" s="76" t="s">
        <v>130</v>
      </c>
      <c r="C69" s="76"/>
      <c r="D69" s="76"/>
      <c r="E69" s="76"/>
      <c r="F69" s="76"/>
      <c r="G69" s="76"/>
      <c r="H69" s="97">
        <f>H66*H67</f>
        <v>0.41578150022436983</v>
      </c>
      <c r="I69" s="97">
        <f t="shared" ref="I69:M69" si="22">I66*I67</f>
        <v>-2.4311143253544758E-2</v>
      </c>
      <c r="J69" s="97">
        <f t="shared" si="22"/>
        <v>0.33068452415079486</v>
      </c>
      <c r="K69" s="97">
        <f t="shared" si="22"/>
        <v>-0.26228455027627628</v>
      </c>
      <c r="L69" s="97">
        <f t="shared" si="22"/>
        <v>0.10982192531660696</v>
      </c>
      <c r="M69" s="97">
        <f t="shared" si="22"/>
        <v>0.27192193537213877</v>
      </c>
    </row>
    <row r="71" spans="2:15" x14ac:dyDescent="0.3">
      <c r="N71" s="72" t="s">
        <v>311</v>
      </c>
      <c r="O71" s="103">
        <f>AVERAGE(H69:L69)</f>
        <v>0.1139384512323901</v>
      </c>
    </row>
    <row r="72" spans="2:15" x14ac:dyDescent="0.3">
      <c r="N72" s="72" t="s">
        <v>313</v>
      </c>
      <c r="O72" s="103">
        <f>MEDIAN(H69:L69)</f>
        <v>0.10982192531660696</v>
      </c>
    </row>
  </sheetData>
  <mergeCells count="6">
    <mergeCell ref="B64:E64"/>
    <mergeCell ref="B47:E47"/>
    <mergeCell ref="O22:U24"/>
    <mergeCell ref="B2:I2"/>
    <mergeCell ref="B5:E5"/>
    <mergeCell ref="O5:U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5E45-0F73-4AB7-9EE5-0859164004C1}">
  <dimension ref="A2:S80"/>
  <sheetViews>
    <sheetView showGridLines="0" topLeftCell="A53" workbookViewId="0">
      <selection activeCell="B62" sqref="B62:M70"/>
    </sheetView>
  </sheetViews>
  <sheetFormatPr defaultRowHeight="14.4" outlineLevelRow="1" x14ac:dyDescent="0.3"/>
  <cols>
    <col min="1" max="1" width="3.88671875" customWidth="1"/>
    <col min="2" max="2" width="43.5546875" bestFit="1" customWidth="1"/>
    <col min="5" max="5" width="23.77734375" customWidth="1"/>
    <col min="6" max="6" width="9.109375" bestFit="1" customWidth="1"/>
    <col min="7" max="7" width="10.109375" bestFit="1" customWidth="1"/>
    <col min="8" max="8" width="9.109375" bestFit="1" customWidth="1"/>
    <col min="10" max="10" width="12.5546875" bestFit="1" customWidth="1"/>
    <col min="11" max="11" width="13.6640625" bestFit="1" customWidth="1"/>
    <col min="12" max="12" width="19.88671875" customWidth="1"/>
    <col min="13" max="13" width="18.44140625" customWidth="1"/>
    <col min="14" max="14" width="15" customWidth="1"/>
    <col min="15" max="15" width="17.88671875" customWidth="1"/>
    <col min="16" max="16" width="15.33203125" bestFit="1" customWidth="1"/>
  </cols>
  <sheetData>
    <row r="2" spans="1:19" x14ac:dyDescent="0.3">
      <c r="B2" s="334" t="str">
        <f>"DCF Calculation and Sensitivity Analysis"&amp;" - "&amp;WACC!$B$12</f>
        <v>DCF Calculation and Sensitivity Analysis - Twitter Inc.</v>
      </c>
      <c r="C2" s="334"/>
      <c r="D2" s="334"/>
      <c r="E2" s="334"/>
      <c r="F2" s="334"/>
      <c r="G2" s="334"/>
      <c r="H2" s="334"/>
      <c r="I2" s="334"/>
    </row>
    <row r="3" spans="1:19" ht="16.2" x14ac:dyDescent="0.3">
      <c r="J3" s="104" t="s">
        <v>315</v>
      </c>
      <c r="K3" s="370" t="s">
        <v>312</v>
      </c>
      <c r="L3" s="370"/>
      <c r="M3" s="370"/>
      <c r="N3" s="370"/>
      <c r="O3" s="370"/>
      <c r="P3" s="370"/>
      <c r="Q3" s="370"/>
      <c r="R3" s="370"/>
      <c r="S3" s="370"/>
    </row>
    <row r="4" spans="1:19" ht="14.4" customHeight="1" x14ac:dyDescent="0.3">
      <c r="A4" s="16" t="s">
        <v>94</v>
      </c>
      <c r="B4" s="351" t="s">
        <v>132</v>
      </c>
      <c r="C4" s="351"/>
      <c r="D4" s="351"/>
      <c r="E4" s="351"/>
      <c r="F4" s="351"/>
      <c r="G4" s="351"/>
      <c r="H4" s="84"/>
      <c r="I4" s="84"/>
      <c r="J4" s="65">
        <v>2021</v>
      </c>
      <c r="K4" s="65">
        <f>J4+1</f>
        <v>2022</v>
      </c>
      <c r="L4" s="65">
        <f t="shared" ref="L4:O4" si="0">K4+1</f>
        <v>2023</v>
      </c>
      <c r="M4" s="65">
        <f t="shared" si="0"/>
        <v>2024</v>
      </c>
      <c r="N4" s="65">
        <f t="shared" si="0"/>
        <v>2025</v>
      </c>
      <c r="O4" s="65">
        <f t="shared" si="0"/>
        <v>2026</v>
      </c>
      <c r="P4" s="65">
        <f t="shared" ref="P4" si="1">O4+1</f>
        <v>2027</v>
      </c>
      <c r="Q4" s="65">
        <f t="shared" ref="Q4" si="2">P4+1</f>
        <v>2028</v>
      </c>
      <c r="R4" s="65">
        <f t="shared" ref="R4:S4" si="3">Q4+1</f>
        <v>2029</v>
      </c>
      <c r="S4" s="65">
        <f t="shared" si="3"/>
        <v>2030</v>
      </c>
    </row>
    <row r="6" spans="1:19" x14ac:dyDescent="0.3">
      <c r="B6" t="s">
        <v>124</v>
      </c>
      <c r="J6" s="105">
        <f>'Intrinsic Growth Rate'!O57</f>
        <v>167.26000000000002</v>
      </c>
      <c r="K6" s="63">
        <f>J6*(1+$E$21)</f>
        <v>190.72139827933199</v>
      </c>
      <c r="L6" s="63">
        <f t="shared" ref="L6:O6" si="4">K6*(1+$E$21)</f>
        <v>217.47370418285053</v>
      </c>
      <c r="M6" s="63">
        <f t="shared" si="4"/>
        <v>247.97853013714612</v>
      </c>
      <c r="N6" s="63">
        <f t="shared" si="4"/>
        <v>282.76223849701046</v>
      </c>
      <c r="O6" s="63">
        <f t="shared" si="4"/>
        <v>322.42502395518227</v>
      </c>
      <c r="P6" s="63">
        <f>O6*(1+$E$21)</f>
        <v>367.65126993291562</v>
      </c>
      <c r="Q6" s="63">
        <f t="shared" ref="Q6" si="5">P6*(1+$E$21)</f>
        <v>419.22135765142764</v>
      </c>
      <c r="R6" s="63">
        <f t="shared" ref="R6" si="6">Q6*(1+$E$21)</f>
        <v>478.02513165036595</v>
      </c>
      <c r="S6" s="63">
        <f t="shared" ref="S6" si="7">R6*(1+$E$21)</f>
        <v>545.0772541015159</v>
      </c>
    </row>
    <row r="7" spans="1:19" x14ac:dyDescent="0.3">
      <c r="J7" s="106"/>
    </row>
    <row r="8" spans="1:19" x14ac:dyDescent="0.3">
      <c r="B8" t="s">
        <v>133</v>
      </c>
      <c r="J8" s="107">
        <f>'Intrinsic Growth Rate'!H53</f>
        <v>0.25</v>
      </c>
      <c r="K8" s="43">
        <f>J8</f>
        <v>0.25</v>
      </c>
      <c r="L8" s="43">
        <f t="shared" ref="L8:O8" si="8">K8</f>
        <v>0.25</v>
      </c>
      <c r="M8" s="43">
        <f t="shared" si="8"/>
        <v>0.25</v>
      </c>
      <c r="N8" s="43">
        <f t="shared" si="8"/>
        <v>0.25</v>
      </c>
      <c r="O8" s="43">
        <f t="shared" si="8"/>
        <v>0.25</v>
      </c>
      <c r="P8" s="43">
        <f t="shared" ref="P8" si="9">O8</f>
        <v>0.25</v>
      </c>
      <c r="Q8" s="43">
        <f t="shared" ref="Q8" si="10">P8</f>
        <v>0.25</v>
      </c>
      <c r="R8" s="43">
        <f t="shared" ref="R8" si="11">Q8</f>
        <v>0.25</v>
      </c>
      <c r="S8" s="43">
        <f t="shared" ref="S8" si="12">R8</f>
        <v>0.25</v>
      </c>
    </row>
    <row r="9" spans="1:19" x14ac:dyDescent="0.3">
      <c r="J9" s="106"/>
    </row>
    <row r="10" spans="1:19" x14ac:dyDescent="0.3">
      <c r="B10" t="s">
        <v>126</v>
      </c>
      <c r="J10" s="108">
        <f>J6*(1-J8)</f>
        <v>125.44500000000002</v>
      </c>
      <c r="K10" s="44">
        <f t="shared" ref="K10:S10" si="13">K6*(1-K8)</f>
        <v>143.04104870949899</v>
      </c>
      <c r="L10" s="44">
        <f t="shared" si="13"/>
        <v>163.1052781371379</v>
      </c>
      <c r="M10" s="44">
        <f t="shared" si="13"/>
        <v>185.9838976028596</v>
      </c>
      <c r="N10" s="44">
        <f t="shared" si="13"/>
        <v>212.07167887275784</v>
      </c>
      <c r="O10" s="44">
        <f t="shared" si="13"/>
        <v>241.8187679663867</v>
      </c>
      <c r="P10" s="44">
        <f t="shared" si="13"/>
        <v>275.73845244968675</v>
      </c>
      <c r="Q10" s="44">
        <f t="shared" si="13"/>
        <v>314.4160182385707</v>
      </c>
      <c r="R10" s="44">
        <f t="shared" si="13"/>
        <v>358.51884873777448</v>
      </c>
      <c r="S10" s="44">
        <f t="shared" si="13"/>
        <v>408.80794057613696</v>
      </c>
    </row>
    <row r="11" spans="1:19" x14ac:dyDescent="0.3">
      <c r="J11" s="106"/>
    </row>
    <row r="12" spans="1:19" x14ac:dyDescent="0.3">
      <c r="B12" t="s">
        <v>134</v>
      </c>
      <c r="J12" s="33">
        <f>'Intrinsic Growth Rate'!H58</f>
        <v>-7.3023235999592524</v>
      </c>
      <c r="K12" s="40">
        <f>J12</f>
        <v>-7.3023235999592524</v>
      </c>
      <c r="L12" s="40">
        <f t="shared" ref="L12:O12" si="14">K12</f>
        <v>-7.3023235999592524</v>
      </c>
      <c r="M12" s="40">
        <f t="shared" si="14"/>
        <v>-7.3023235999592524</v>
      </c>
      <c r="N12" s="40">
        <f t="shared" si="14"/>
        <v>-7.3023235999592524</v>
      </c>
      <c r="O12" s="40">
        <f t="shared" si="14"/>
        <v>-7.3023235999592524</v>
      </c>
      <c r="P12" s="40">
        <f t="shared" ref="P12" si="15">O12</f>
        <v>-7.3023235999592524</v>
      </c>
      <c r="Q12" s="40">
        <f t="shared" ref="Q12" si="16">P12</f>
        <v>-7.3023235999592524</v>
      </c>
      <c r="R12" s="40">
        <f t="shared" ref="R12" si="17">Q12</f>
        <v>-7.3023235999592524</v>
      </c>
      <c r="S12" s="40">
        <f t="shared" ref="S12" si="18">R12</f>
        <v>-7.3023235999592524</v>
      </c>
    </row>
    <row r="13" spans="1:19" x14ac:dyDescent="0.3">
      <c r="J13" s="106"/>
    </row>
    <row r="14" spans="1:19" x14ac:dyDescent="0.3">
      <c r="B14" t="s">
        <v>135</v>
      </c>
      <c r="J14" s="108">
        <f>J10*(1-J12)</f>
        <v>1041.4849839968886</v>
      </c>
      <c r="K14" s="44">
        <f t="shared" ref="K14:S14" si="19">K10*(1-K12)</f>
        <v>1187.5730744637942</v>
      </c>
      <c r="L14" s="44">
        <f t="shared" si="19"/>
        <v>1354.1527999558778</v>
      </c>
      <c r="M14" s="44">
        <f t="shared" si="19"/>
        <v>1544.098502280626</v>
      </c>
      <c r="N14" s="44">
        <f t="shared" si="19"/>
        <v>1760.6877043882773</v>
      </c>
      <c r="O14" s="44">
        <f t="shared" si="19"/>
        <v>2007.6576642004027</v>
      </c>
      <c r="P14" s="44">
        <f t="shared" si="19"/>
        <v>2289.2698611892761</v>
      </c>
      <c r="Q14" s="44">
        <f t="shared" si="19"/>
        <v>2610.3835284273041</v>
      </c>
      <c r="R14" s="44">
        <f t="shared" si="19"/>
        <v>2976.5394989058464</v>
      </c>
      <c r="S14" s="44">
        <f t="shared" si="19"/>
        <v>3394.055812896001</v>
      </c>
    </row>
    <row r="15" spans="1:19" x14ac:dyDescent="0.3">
      <c r="J15" s="106"/>
    </row>
    <row r="16" spans="1:19" x14ac:dyDescent="0.3">
      <c r="B16" t="s">
        <v>136</v>
      </c>
      <c r="J16" s="106"/>
      <c r="K16">
        <v>0.5</v>
      </c>
      <c r="L16">
        <f>K16+1</f>
        <v>1.5</v>
      </c>
      <c r="M16">
        <f t="shared" ref="M16:O16" si="20">L16+1</f>
        <v>2.5</v>
      </c>
      <c r="N16">
        <f t="shared" si="20"/>
        <v>3.5</v>
      </c>
      <c r="O16">
        <f t="shared" si="20"/>
        <v>4.5</v>
      </c>
      <c r="P16">
        <f t="shared" ref="P16" si="21">O16+1</f>
        <v>5.5</v>
      </c>
      <c r="Q16">
        <f t="shared" ref="Q16" si="22">P16+1</f>
        <v>6.5</v>
      </c>
      <c r="R16">
        <f t="shared" ref="R16" si="23">Q16+1</f>
        <v>7.5</v>
      </c>
      <c r="S16">
        <f t="shared" ref="S16" si="24">R16+1</f>
        <v>8.5</v>
      </c>
    </row>
    <row r="17" spans="1:19" x14ac:dyDescent="0.3">
      <c r="B17" t="s">
        <v>137</v>
      </c>
      <c r="J17" s="106"/>
      <c r="K17" s="71">
        <f>1/(1+$E$23)^K16</f>
        <v>0.94511245937297361</v>
      </c>
      <c r="L17" s="71">
        <f t="shared" ref="L17:S17" si="25">1/(1+$E$23)^L16</f>
        <v>0.84420994795063031</v>
      </c>
      <c r="M17" s="71">
        <f t="shared" si="25"/>
        <v>0.7540800347628831</v>
      </c>
      <c r="N17" s="71">
        <f t="shared" si="25"/>
        <v>0.67357261094635312</v>
      </c>
      <c r="O17" s="71">
        <f t="shared" si="25"/>
        <v>0.60166035606519008</v>
      </c>
      <c r="P17" s="71">
        <f t="shared" si="25"/>
        <v>0.53742562891905132</v>
      </c>
      <c r="Q17" s="71">
        <f t="shared" si="25"/>
        <v>0.48004875792039642</v>
      </c>
      <c r="R17" s="71">
        <f t="shared" si="25"/>
        <v>0.42879758161966242</v>
      </c>
      <c r="S17" s="71">
        <f t="shared" si="25"/>
        <v>0.38301810590948482</v>
      </c>
    </row>
    <row r="18" spans="1:19" ht="15" thickBot="1" x14ac:dyDescent="0.35">
      <c r="J18" s="106"/>
    </row>
    <row r="19" spans="1:19" ht="15.6" thickTop="1" thickBot="1" x14ac:dyDescent="0.35">
      <c r="B19" t="s">
        <v>138</v>
      </c>
      <c r="J19" s="109"/>
      <c r="K19" s="95">
        <f>K14*K17</f>
        <v>1122.3901090916002</v>
      </c>
      <c r="L19" s="95">
        <f t="shared" ref="L19:S19" si="26">L14*L17</f>
        <v>1143.189264767952</v>
      </c>
      <c r="M19" s="95">
        <f t="shared" si="26"/>
        <v>1164.3738522770902</v>
      </c>
      <c r="N19" s="95">
        <f t="shared" si="26"/>
        <v>1185.9510141059527</v>
      </c>
      <c r="O19" s="95">
        <f t="shared" si="26"/>
        <v>1207.9280250998222</v>
      </c>
      <c r="P19" s="95">
        <f t="shared" si="26"/>
        <v>1230.3122949150761</v>
      </c>
      <c r="Q19" s="95">
        <f t="shared" si="26"/>
        <v>1253.1113705173891</v>
      </c>
      <c r="R19" s="95">
        <f t="shared" si="26"/>
        <v>1276.3329387262288</v>
      </c>
      <c r="S19" s="95">
        <f t="shared" si="26"/>
        <v>1299.9848288065032</v>
      </c>
    </row>
    <row r="21" spans="1:19" outlineLevel="1" x14ac:dyDescent="0.3">
      <c r="B21" s="110" t="s">
        <v>139</v>
      </c>
      <c r="C21" s="110"/>
      <c r="D21" s="110"/>
      <c r="E21" s="111">
        <f>'Intrinsic Growth Rate'!O59</f>
        <v>0.14026903192234821</v>
      </c>
    </row>
    <row r="22" spans="1:19" ht="16.2" outlineLevel="1" x14ac:dyDescent="0.3">
      <c r="B22" s="110" t="s">
        <v>140</v>
      </c>
      <c r="C22" s="110"/>
      <c r="D22" s="110"/>
      <c r="E22" s="112">
        <v>2.5000000000000001E-2</v>
      </c>
    </row>
    <row r="23" spans="1:19" outlineLevel="1" x14ac:dyDescent="0.3">
      <c r="B23" s="110" t="s">
        <v>37</v>
      </c>
      <c r="C23" s="110"/>
      <c r="D23" s="110"/>
      <c r="E23" s="112">
        <f>WACC!L56</f>
        <v>0.11952300688624939</v>
      </c>
      <c r="J23" s="135" t="s">
        <v>46</v>
      </c>
    </row>
    <row r="24" spans="1:19" x14ac:dyDescent="0.3">
      <c r="J24" s="342" t="s">
        <v>316</v>
      </c>
      <c r="K24" s="342"/>
      <c r="L24" s="342"/>
      <c r="M24" s="342"/>
      <c r="N24" s="342"/>
      <c r="O24" s="342"/>
      <c r="P24" s="342"/>
    </row>
    <row r="25" spans="1:19" x14ac:dyDescent="0.3">
      <c r="J25" s="342"/>
      <c r="K25" s="342"/>
      <c r="L25" s="342"/>
      <c r="M25" s="342"/>
      <c r="N25" s="342"/>
      <c r="O25" s="342"/>
      <c r="P25" s="342"/>
    </row>
    <row r="26" spans="1:19" ht="16.2" x14ac:dyDescent="0.3">
      <c r="B26" s="16" t="s">
        <v>141</v>
      </c>
      <c r="J26" s="342"/>
      <c r="K26" s="342"/>
      <c r="L26" s="342"/>
      <c r="M26" s="342"/>
      <c r="N26" s="342"/>
      <c r="O26" s="342"/>
      <c r="P26" s="342"/>
    </row>
    <row r="27" spans="1:19" x14ac:dyDescent="0.3">
      <c r="B27" s="99" t="s">
        <v>317</v>
      </c>
    </row>
    <row r="29" spans="1:19" ht="14.4" customHeight="1" x14ac:dyDescent="0.3">
      <c r="A29" s="16" t="s">
        <v>94</v>
      </c>
      <c r="B29" s="351" t="s">
        <v>142</v>
      </c>
      <c r="C29" s="351"/>
      <c r="D29" s="351"/>
      <c r="E29" s="351"/>
      <c r="F29" s="113"/>
      <c r="G29" s="114"/>
      <c r="K29" s="369"/>
      <c r="L29" s="369"/>
      <c r="M29" s="369"/>
      <c r="N29" s="369"/>
      <c r="O29" s="369"/>
      <c r="P29" s="369"/>
    </row>
    <row r="30" spans="1:19" ht="20.399999999999999" customHeight="1" x14ac:dyDescent="0.3">
      <c r="G30" s="79"/>
      <c r="H30" s="79"/>
      <c r="I30" s="79"/>
      <c r="J30" s="79"/>
      <c r="K30" s="115"/>
      <c r="L30" s="116"/>
      <c r="M30" s="116"/>
      <c r="N30" s="117"/>
      <c r="O30" s="116"/>
      <c r="P30" s="116"/>
    </row>
    <row r="31" spans="1:19" x14ac:dyDescent="0.3">
      <c r="B31" t="s">
        <v>143</v>
      </c>
      <c r="E31" s="63">
        <f>S14*(1+E21)</f>
        <v>3870.1367360613422</v>
      </c>
      <c r="G31" s="79"/>
      <c r="H31" s="79"/>
      <c r="I31" s="79"/>
      <c r="J31" s="79"/>
      <c r="K31" s="116"/>
      <c r="L31" s="113"/>
      <c r="M31" s="113"/>
      <c r="N31" s="113"/>
      <c r="O31" s="113"/>
      <c r="P31" s="113"/>
      <c r="Q31" s="113"/>
    </row>
    <row r="32" spans="1:19" x14ac:dyDescent="0.3">
      <c r="B32" t="s">
        <v>37</v>
      </c>
      <c r="E32" s="40">
        <f>E23</f>
        <v>0.11952300688624939</v>
      </c>
      <c r="G32" s="79"/>
      <c r="H32" s="79"/>
      <c r="I32" s="79"/>
      <c r="J32" s="79"/>
      <c r="K32" s="116"/>
      <c r="L32" s="351" t="s">
        <v>144</v>
      </c>
      <c r="M32" s="351"/>
      <c r="N32" s="351"/>
      <c r="O32" s="351"/>
      <c r="P32" s="351"/>
      <c r="Q32" s="351"/>
    </row>
    <row r="33" spans="1:17" x14ac:dyDescent="0.3">
      <c r="B33" t="s">
        <v>145</v>
      </c>
      <c r="E33" s="40">
        <f>E22</f>
        <v>2.5000000000000001E-2</v>
      </c>
      <c r="G33" s="79"/>
      <c r="H33" s="79"/>
      <c r="I33" s="79"/>
      <c r="J33" s="79"/>
      <c r="K33" s="116"/>
      <c r="L33" s="115">
        <f>E54</f>
        <v>40.298083869137407</v>
      </c>
      <c r="M33" s="116">
        <v>0.06</v>
      </c>
      <c r="N33" s="116">
        <v>0.08</v>
      </c>
      <c r="O33" s="118">
        <v>0.1190441215230683</v>
      </c>
      <c r="P33" s="116">
        <v>0.13</v>
      </c>
      <c r="Q33" s="116">
        <v>0.15</v>
      </c>
    </row>
    <row r="34" spans="1:17" ht="15" thickBot="1" x14ac:dyDescent="0.35">
      <c r="G34" s="79"/>
      <c r="H34" s="79"/>
      <c r="I34" s="79"/>
      <c r="J34" s="79"/>
      <c r="K34" s="116"/>
      <c r="L34" s="116">
        <v>0.02</v>
      </c>
      <c r="M34" s="119">
        <f t="dataTable" ref="M34:Q38" dt2D="1" dtr="1" r1="E23" r2="E22" ca="1"/>
        <v>106.80036653074178</v>
      </c>
      <c r="N34" s="119">
        <v>69.131794579150693</v>
      </c>
      <c r="O34" s="119">
        <v>38.972728097560157</v>
      </c>
      <c r="P34" s="119">
        <v>34.294735141065608</v>
      </c>
      <c r="Q34" s="120">
        <v>27.754880371908463</v>
      </c>
    </row>
    <row r="35" spans="1:17" ht="17.399999999999999" thickTop="1" thickBot="1" x14ac:dyDescent="0.35">
      <c r="B35" s="16" t="s">
        <v>146</v>
      </c>
      <c r="C35" s="95"/>
      <c r="D35" s="95"/>
      <c r="E35" s="121">
        <f>E31/(E32-E33)</f>
        <v>40943.859739023443</v>
      </c>
      <c r="G35" s="79"/>
      <c r="H35" s="79"/>
      <c r="I35" s="79"/>
      <c r="J35" s="79"/>
      <c r="K35" s="116"/>
      <c r="L35" s="116">
        <v>0.03</v>
      </c>
      <c r="M35" s="119">
        <v>137.89359215613308</v>
      </c>
      <c r="N35" s="119">
        <v>80.565717590137538</v>
      </c>
      <c r="O35" s="119">
        <v>42.287678341694935</v>
      </c>
      <c r="P35" s="119">
        <v>36.838504532128532</v>
      </c>
      <c r="Q35" s="120">
        <v>29.412399458525172</v>
      </c>
    </row>
    <row r="36" spans="1:17" x14ac:dyDescent="0.3">
      <c r="K36" s="122"/>
      <c r="L36" s="118">
        <v>2.5000000000000001E-2</v>
      </c>
      <c r="M36" s="119">
        <v>120.12603465590949</v>
      </c>
      <c r="N36" s="119">
        <v>74.32903231141745</v>
      </c>
      <c r="O36" s="123">
        <v>40.54208101192205</v>
      </c>
      <c r="P36" s="119">
        <v>35.506053898714619</v>
      </c>
      <c r="Q36" s="120">
        <v>28.550489533484487</v>
      </c>
    </row>
    <row r="37" spans="1:17" ht="15" thickBot="1" x14ac:dyDescent="0.35">
      <c r="B37" s="114" t="s">
        <v>44</v>
      </c>
      <c r="K37" s="124"/>
      <c r="L37" s="116">
        <v>3.5000000000000003E-2</v>
      </c>
      <c r="M37" s="119">
        <v>162.76817265644618</v>
      </c>
      <c r="N37" s="119">
        <v>88.188332930795454</v>
      </c>
      <c r="O37" s="119">
        <v>44.24097578161696</v>
      </c>
      <c r="P37" s="119">
        <v>38.311213126954442</v>
      </c>
      <c r="Q37" s="120">
        <v>30.34925807269984</v>
      </c>
    </row>
    <row r="38" spans="1:17" ht="14.4" customHeight="1" x14ac:dyDescent="0.3">
      <c r="B38" s="352" t="s">
        <v>147</v>
      </c>
      <c r="C38" s="353"/>
      <c r="D38" s="353"/>
      <c r="E38" s="353"/>
      <c r="F38" s="353"/>
      <c r="G38" s="353"/>
      <c r="H38" s="353"/>
      <c r="I38" s="354"/>
      <c r="J38" s="125"/>
      <c r="K38" s="99"/>
      <c r="L38" s="116">
        <v>4.5000000000000005E-2</v>
      </c>
      <c r="M38" s="119">
        <v>262.2664946576985</v>
      </c>
      <c r="N38" s="119">
        <v>109.96723390410379</v>
      </c>
      <c r="O38" s="119">
        <v>48.938976136903179</v>
      </c>
      <c r="P38" s="119">
        <v>41.776409820662458</v>
      </c>
      <c r="Q38" s="120">
        <v>32.490649190813357</v>
      </c>
    </row>
    <row r="39" spans="1:17" x14ac:dyDescent="0.3">
      <c r="B39" s="355"/>
      <c r="C39" s="356"/>
      <c r="D39" s="356"/>
      <c r="E39" s="356"/>
      <c r="F39" s="356"/>
      <c r="G39" s="356"/>
      <c r="H39" s="356"/>
      <c r="I39" s="357"/>
      <c r="J39" s="125"/>
      <c r="L39" s="124" t="s">
        <v>51</v>
      </c>
    </row>
    <row r="40" spans="1:17" x14ac:dyDescent="0.3">
      <c r="B40" s="355"/>
      <c r="C40" s="356"/>
      <c r="D40" s="356"/>
      <c r="E40" s="356"/>
      <c r="F40" s="356"/>
      <c r="G40" s="356"/>
      <c r="H40" s="356"/>
      <c r="I40" s="357"/>
      <c r="J40" s="125"/>
      <c r="L40" s="99" t="s">
        <v>148</v>
      </c>
    </row>
    <row r="41" spans="1:17" x14ac:dyDescent="0.3">
      <c r="B41" s="355"/>
      <c r="C41" s="356"/>
      <c r="D41" s="356"/>
      <c r="E41" s="356"/>
      <c r="F41" s="356"/>
      <c r="G41" s="356"/>
      <c r="H41" s="356"/>
      <c r="I41" s="357"/>
      <c r="J41" s="125"/>
      <c r="L41" s="99"/>
    </row>
    <row r="42" spans="1:17" ht="15" thickBot="1" x14ac:dyDescent="0.35">
      <c r="B42" s="358"/>
      <c r="C42" s="359"/>
      <c r="D42" s="359"/>
      <c r="E42" s="359"/>
      <c r="F42" s="359"/>
      <c r="G42" s="359"/>
      <c r="H42" s="359"/>
      <c r="I42" s="360"/>
      <c r="J42" s="125"/>
    </row>
    <row r="43" spans="1:17" x14ac:dyDescent="0.3">
      <c r="B43" s="125"/>
      <c r="C43" s="125"/>
      <c r="D43" s="125"/>
      <c r="E43" s="125"/>
      <c r="F43" s="125"/>
      <c r="G43" s="125"/>
      <c r="H43" s="125"/>
      <c r="I43" s="125"/>
      <c r="J43" s="125"/>
    </row>
    <row r="44" spans="1:17" ht="14.4" customHeight="1" x14ac:dyDescent="0.3">
      <c r="A44" s="16" t="s">
        <v>94</v>
      </c>
      <c r="B44" s="351" t="s">
        <v>149</v>
      </c>
      <c r="C44" s="351"/>
      <c r="D44" s="351"/>
      <c r="E44" s="351"/>
    </row>
    <row r="46" spans="1:17" x14ac:dyDescent="0.3">
      <c r="B46" t="s">
        <v>138</v>
      </c>
      <c r="E46" s="63">
        <f>SUM(K19:S19)</f>
        <v>10883.573698307613</v>
      </c>
    </row>
    <row r="47" spans="1:17" x14ac:dyDescent="0.3">
      <c r="B47" t="s">
        <v>150</v>
      </c>
      <c r="E47" s="3">
        <f>E35*O17</f>
        <v>24634.297229264044</v>
      </c>
    </row>
    <row r="48" spans="1:17" x14ac:dyDescent="0.3">
      <c r="B48" s="76" t="s">
        <v>151</v>
      </c>
      <c r="C48" s="76"/>
      <c r="D48" s="76"/>
      <c r="E48" s="126">
        <f>E46+E47</f>
        <v>35517.870927571654</v>
      </c>
    </row>
    <row r="49" spans="1:13" x14ac:dyDescent="0.3">
      <c r="B49" s="76"/>
      <c r="C49" s="76"/>
      <c r="D49" s="76"/>
      <c r="E49" s="127"/>
    </row>
    <row r="50" spans="1:13" x14ac:dyDescent="0.3">
      <c r="B50" s="128" t="s">
        <v>152</v>
      </c>
      <c r="C50" s="76"/>
      <c r="D50" s="76"/>
      <c r="E50" s="63">
        <f>'Raw Data for Relative Valuation'!H5</f>
        <v>2187</v>
      </c>
      <c r="H50" s="63"/>
    </row>
    <row r="51" spans="1:13" x14ac:dyDescent="0.3">
      <c r="B51" s="128" t="s">
        <v>153</v>
      </c>
      <c r="C51" s="76"/>
      <c r="D51" s="76"/>
      <c r="E51" s="63">
        <f>'Raw Data for Relative Valuation'!I5*-1</f>
        <v>-5547</v>
      </c>
    </row>
    <row r="52" spans="1:13" x14ac:dyDescent="0.3">
      <c r="B52" s="129" t="s">
        <v>154</v>
      </c>
      <c r="C52" s="98"/>
      <c r="D52" s="98"/>
      <c r="E52" s="130">
        <f>E48+E50+E51</f>
        <v>32157.870927571654</v>
      </c>
      <c r="F52" s="63"/>
    </row>
    <row r="53" spans="1:13" ht="15" thickBot="1" x14ac:dyDescent="0.35">
      <c r="B53" s="128" t="s">
        <v>397</v>
      </c>
      <c r="E53" s="3">
        <f>'Raw Data for Relative Valuation'!F5</f>
        <v>798</v>
      </c>
      <c r="G53" s="63"/>
    </row>
    <row r="54" spans="1:13" ht="15.6" thickTop="1" thickBot="1" x14ac:dyDescent="0.35">
      <c r="A54" s="16" t="s">
        <v>94</v>
      </c>
      <c r="B54" s="121" t="s">
        <v>155</v>
      </c>
      <c r="C54" s="121"/>
      <c r="D54" s="121"/>
      <c r="E54" s="131">
        <f>E52/E53</f>
        <v>40.298083869137407</v>
      </c>
    </row>
    <row r="56" spans="1:13" ht="14.4" customHeight="1" x14ac:dyDescent="0.3">
      <c r="B56" s="76" t="s">
        <v>318</v>
      </c>
      <c r="E56" s="3">
        <v>54</v>
      </c>
    </row>
    <row r="58" spans="1:13" x14ac:dyDescent="0.3">
      <c r="B58" s="76" t="s">
        <v>319</v>
      </c>
      <c r="C58" s="76"/>
      <c r="D58" s="76"/>
      <c r="E58" s="132">
        <f>(E56-E54)/E54</f>
        <v>0.34001408541799943</v>
      </c>
      <c r="F58" s="62" t="str">
        <f>B61</f>
        <v>Explanation</v>
      </c>
    </row>
    <row r="59" spans="1:13" x14ac:dyDescent="0.3">
      <c r="B59" s="76"/>
      <c r="C59" s="76"/>
      <c r="D59" s="76"/>
      <c r="E59" s="132"/>
      <c r="F59" s="62"/>
    </row>
    <row r="60" spans="1:13" x14ac:dyDescent="0.3">
      <c r="E60" s="133"/>
    </row>
    <row r="61" spans="1:13" ht="15" thickBot="1" x14ac:dyDescent="0.35">
      <c r="A61" s="16" t="s">
        <v>94</v>
      </c>
      <c r="B61" s="62" t="s">
        <v>156</v>
      </c>
    </row>
    <row r="62" spans="1:13" ht="110.4" customHeight="1" x14ac:dyDescent="0.3">
      <c r="B62" s="361" t="s">
        <v>382</v>
      </c>
      <c r="C62" s="362"/>
      <c r="D62" s="362"/>
      <c r="E62" s="362"/>
      <c r="F62" s="362"/>
      <c r="G62" s="362"/>
      <c r="H62" s="362"/>
      <c r="I62" s="362"/>
      <c r="J62" s="362"/>
      <c r="K62" s="362"/>
      <c r="L62" s="362"/>
      <c r="M62" s="363"/>
    </row>
    <row r="63" spans="1:13" ht="6.6" customHeight="1" x14ac:dyDescent="0.3">
      <c r="B63" s="364"/>
      <c r="C63" s="342"/>
      <c r="D63" s="342"/>
      <c r="E63" s="342"/>
      <c r="F63" s="342"/>
      <c r="G63" s="342"/>
      <c r="H63" s="342"/>
      <c r="I63" s="342"/>
      <c r="J63" s="342"/>
      <c r="K63" s="342"/>
      <c r="L63" s="342"/>
      <c r="M63" s="365"/>
    </row>
    <row r="64" spans="1:13" x14ac:dyDescent="0.3">
      <c r="B64" s="364"/>
      <c r="C64" s="342"/>
      <c r="D64" s="342"/>
      <c r="E64" s="342"/>
      <c r="F64" s="342"/>
      <c r="G64" s="342"/>
      <c r="H64" s="342"/>
      <c r="I64" s="342"/>
      <c r="J64" s="342"/>
      <c r="K64" s="342"/>
      <c r="L64" s="342"/>
      <c r="M64" s="365"/>
    </row>
    <row r="65" spans="2:13" x14ac:dyDescent="0.3">
      <c r="B65" s="364"/>
      <c r="C65" s="342"/>
      <c r="D65" s="342"/>
      <c r="E65" s="342"/>
      <c r="F65" s="342"/>
      <c r="G65" s="342"/>
      <c r="H65" s="342"/>
      <c r="I65" s="342"/>
      <c r="J65" s="342"/>
      <c r="K65" s="342"/>
      <c r="L65" s="342"/>
      <c r="M65" s="365"/>
    </row>
    <row r="66" spans="2:13" x14ac:dyDescent="0.3">
      <c r="B66" s="364"/>
      <c r="C66" s="342"/>
      <c r="D66" s="342"/>
      <c r="E66" s="342"/>
      <c r="F66" s="342"/>
      <c r="G66" s="342"/>
      <c r="H66" s="342"/>
      <c r="I66" s="342"/>
      <c r="J66" s="342"/>
      <c r="K66" s="342"/>
      <c r="L66" s="342"/>
      <c r="M66" s="365"/>
    </row>
    <row r="67" spans="2:13" x14ac:dyDescent="0.3">
      <c r="B67" s="364"/>
      <c r="C67" s="342"/>
      <c r="D67" s="342"/>
      <c r="E67" s="342"/>
      <c r="F67" s="342"/>
      <c r="G67" s="342"/>
      <c r="H67" s="342"/>
      <c r="I67" s="342"/>
      <c r="J67" s="342"/>
      <c r="K67" s="342"/>
      <c r="L67" s="342"/>
      <c r="M67" s="365"/>
    </row>
    <row r="68" spans="2:13" x14ac:dyDescent="0.3">
      <c r="B68" s="364"/>
      <c r="C68" s="342"/>
      <c r="D68" s="342"/>
      <c r="E68" s="342"/>
      <c r="F68" s="342"/>
      <c r="G68" s="342"/>
      <c r="H68" s="342"/>
      <c r="I68" s="342"/>
      <c r="J68" s="342"/>
      <c r="K68" s="342"/>
      <c r="L68" s="342"/>
      <c r="M68" s="365"/>
    </row>
    <row r="69" spans="2:13" x14ac:dyDescent="0.3">
      <c r="B69" s="364"/>
      <c r="C69" s="342"/>
      <c r="D69" s="342"/>
      <c r="E69" s="342"/>
      <c r="F69" s="342"/>
      <c r="G69" s="342"/>
      <c r="H69" s="342"/>
      <c r="I69" s="342"/>
      <c r="J69" s="342"/>
      <c r="K69" s="342"/>
      <c r="L69" s="342"/>
      <c r="M69" s="365"/>
    </row>
    <row r="70" spans="2:13" ht="15" thickBot="1" x14ac:dyDescent="0.35">
      <c r="B70" s="366"/>
      <c r="C70" s="367"/>
      <c r="D70" s="367"/>
      <c r="E70" s="367"/>
      <c r="F70" s="367"/>
      <c r="G70" s="367"/>
      <c r="H70" s="367"/>
      <c r="I70" s="367"/>
      <c r="J70" s="367"/>
      <c r="K70" s="367"/>
      <c r="L70" s="367"/>
      <c r="M70" s="368"/>
    </row>
    <row r="71" spans="2:13" x14ac:dyDescent="0.3">
      <c r="B71" s="134"/>
      <c r="C71" s="134"/>
      <c r="D71" s="134"/>
      <c r="E71" s="134"/>
      <c r="F71" s="134"/>
      <c r="G71" s="134"/>
      <c r="H71" s="134"/>
      <c r="I71" s="134"/>
      <c r="J71" s="134"/>
      <c r="K71" s="134"/>
      <c r="L71" s="134"/>
      <c r="M71" s="134"/>
    </row>
    <row r="72" spans="2:13" x14ac:dyDescent="0.3">
      <c r="B72" s="134"/>
      <c r="C72" s="134"/>
      <c r="D72" s="134"/>
      <c r="E72" s="134"/>
      <c r="F72" s="134"/>
      <c r="G72" s="134"/>
      <c r="H72" s="134"/>
      <c r="I72" s="134"/>
      <c r="J72" s="134"/>
      <c r="K72" s="134"/>
      <c r="L72" s="134"/>
      <c r="M72" s="134"/>
    </row>
    <row r="73" spans="2:13" x14ac:dyDescent="0.3">
      <c r="B73" s="134"/>
      <c r="C73" s="134"/>
      <c r="D73" s="134"/>
      <c r="E73" s="134"/>
      <c r="F73" s="134"/>
      <c r="G73" s="134"/>
      <c r="H73" s="134"/>
      <c r="I73" s="134"/>
      <c r="J73" s="134"/>
      <c r="K73" s="134"/>
      <c r="L73" s="134"/>
      <c r="M73" s="134"/>
    </row>
    <row r="74" spans="2:13" x14ac:dyDescent="0.3">
      <c r="B74" s="134"/>
      <c r="C74" s="134"/>
      <c r="D74" s="134"/>
      <c r="E74" s="134"/>
      <c r="F74" s="134"/>
      <c r="G74" s="134"/>
      <c r="H74" s="134"/>
      <c r="I74" s="134"/>
      <c r="J74" s="134"/>
      <c r="K74" s="134"/>
      <c r="L74" s="134"/>
      <c r="M74" s="134"/>
    </row>
    <row r="75" spans="2:13" x14ac:dyDescent="0.3">
      <c r="B75" s="134"/>
      <c r="C75" s="134"/>
      <c r="D75" s="134"/>
      <c r="E75" s="134"/>
      <c r="F75" s="134"/>
      <c r="G75" s="134"/>
      <c r="H75" s="134"/>
      <c r="I75" s="134"/>
      <c r="J75" s="134"/>
      <c r="K75" s="134"/>
      <c r="L75" s="134"/>
      <c r="M75" s="134"/>
    </row>
    <row r="76" spans="2:13" x14ac:dyDescent="0.3">
      <c r="B76" s="134"/>
      <c r="C76" s="134"/>
      <c r="D76" s="134"/>
      <c r="E76" s="134"/>
      <c r="F76" s="134"/>
      <c r="G76" s="134"/>
      <c r="H76" s="134"/>
      <c r="I76" s="134"/>
      <c r="J76" s="134"/>
      <c r="K76" s="134"/>
      <c r="L76" s="134"/>
      <c r="M76" s="134"/>
    </row>
    <row r="77" spans="2:13" x14ac:dyDescent="0.3">
      <c r="B77" s="134"/>
      <c r="C77" s="134"/>
      <c r="D77" s="134"/>
      <c r="E77" s="134"/>
      <c r="F77" s="134"/>
      <c r="G77" s="134"/>
      <c r="H77" s="134"/>
      <c r="I77" s="134"/>
      <c r="J77" s="134"/>
      <c r="K77" s="134"/>
      <c r="L77" s="134"/>
      <c r="M77" s="134"/>
    </row>
    <row r="78" spans="2:13" x14ac:dyDescent="0.3">
      <c r="B78" s="134"/>
      <c r="C78" s="134"/>
      <c r="D78" s="134"/>
      <c r="E78" s="134"/>
      <c r="F78" s="134"/>
      <c r="G78" s="134"/>
      <c r="H78" s="134"/>
      <c r="I78" s="134"/>
      <c r="J78" s="134"/>
      <c r="K78" s="134"/>
      <c r="L78" s="134"/>
      <c r="M78" s="134"/>
    </row>
    <row r="79" spans="2:13" x14ac:dyDescent="0.3">
      <c r="B79" s="134"/>
      <c r="C79" s="134"/>
      <c r="D79" s="134"/>
      <c r="E79" s="134"/>
      <c r="F79" s="134"/>
      <c r="G79" s="134"/>
      <c r="H79" s="134"/>
      <c r="I79" s="134"/>
      <c r="J79" s="134"/>
      <c r="K79" s="134"/>
      <c r="L79" s="134"/>
      <c r="M79" s="134"/>
    </row>
    <row r="80" spans="2:13" x14ac:dyDescent="0.3">
      <c r="B80" s="134"/>
      <c r="C80" s="134"/>
      <c r="D80" s="134"/>
      <c r="E80" s="134"/>
      <c r="F80" s="134"/>
      <c r="G80" s="134"/>
      <c r="H80" s="134"/>
      <c r="I80" s="134"/>
      <c r="J80" s="134"/>
      <c r="K80" s="134"/>
      <c r="L80" s="134"/>
      <c r="M80" s="134"/>
    </row>
  </sheetData>
  <mergeCells count="10">
    <mergeCell ref="B38:I42"/>
    <mergeCell ref="B44:E44"/>
    <mergeCell ref="J24:P26"/>
    <mergeCell ref="B62:M70"/>
    <mergeCell ref="B2:I2"/>
    <mergeCell ref="B4:G4"/>
    <mergeCell ref="B29:E29"/>
    <mergeCell ref="K29:P29"/>
    <mergeCell ref="L32:Q32"/>
    <mergeCell ref="K3:S3"/>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0F393-2B45-400D-A681-EDFCFC2E0F58}">
  <dimension ref="A2:S64"/>
  <sheetViews>
    <sheetView showGridLines="0" topLeftCell="E1" workbookViewId="0">
      <selection activeCell="R19" sqref="R19"/>
    </sheetView>
  </sheetViews>
  <sheetFormatPr defaultRowHeight="14.4" outlineLevelRow="1" x14ac:dyDescent="0.3"/>
  <cols>
    <col min="1" max="1" width="3.88671875" customWidth="1"/>
    <col min="2" max="2" width="21.44140625" customWidth="1"/>
    <col min="5" max="5" width="17.6640625" customWidth="1"/>
    <col min="10" max="10" width="12.5546875" bestFit="1" customWidth="1"/>
    <col min="11" max="11" width="13.6640625" bestFit="1" customWidth="1"/>
    <col min="12" max="12" width="19.88671875" customWidth="1"/>
    <col min="13" max="13" width="18.44140625" customWidth="1"/>
    <col min="14" max="14" width="15" customWidth="1"/>
    <col min="15" max="15" width="17.88671875" customWidth="1"/>
    <col min="16" max="19" width="14.77734375" customWidth="1"/>
  </cols>
  <sheetData>
    <row r="2" spans="1:19" x14ac:dyDescent="0.3">
      <c r="B2" s="334" t="str">
        <f>"Further Sensitivity Analysis"&amp;" - "&amp;WACC!$B$12</f>
        <v>Further Sensitivity Analysis - Twitter Inc.</v>
      </c>
      <c r="C2" s="334"/>
      <c r="D2" s="334"/>
      <c r="E2" s="334"/>
      <c r="F2" s="334"/>
      <c r="G2" s="334"/>
      <c r="H2" s="334"/>
      <c r="I2" s="334"/>
    </row>
    <row r="3" spans="1:19" x14ac:dyDescent="0.3">
      <c r="J3" s="104" t="s">
        <v>131</v>
      </c>
    </row>
    <row r="4" spans="1:19" ht="14.4" customHeight="1" x14ac:dyDescent="0.3">
      <c r="A4" s="16" t="s">
        <v>94</v>
      </c>
      <c r="B4" s="351" t="s">
        <v>132</v>
      </c>
      <c r="C4" s="351"/>
      <c r="D4" s="351"/>
      <c r="E4" s="351"/>
      <c r="F4" s="351"/>
      <c r="G4" s="351"/>
      <c r="H4" s="84"/>
      <c r="I4" s="84"/>
      <c r="J4" s="65">
        <f>'DCF &amp; Sensitivity Analysis'!J4</f>
        <v>2021</v>
      </c>
      <c r="K4" s="65">
        <f>J4+1</f>
        <v>2022</v>
      </c>
      <c r="L4" s="65">
        <f t="shared" ref="L4:O4" si="0">K4+1</f>
        <v>2023</v>
      </c>
      <c r="M4" s="65">
        <f t="shared" si="0"/>
        <v>2024</v>
      </c>
      <c r="N4" s="65">
        <f t="shared" si="0"/>
        <v>2025</v>
      </c>
      <c r="O4" s="65">
        <f t="shared" si="0"/>
        <v>2026</v>
      </c>
      <c r="P4" s="65">
        <f t="shared" ref="P4" si="1">O4+1</f>
        <v>2027</v>
      </c>
      <c r="Q4" s="65">
        <f t="shared" ref="Q4" si="2">P4+1</f>
        <v>2028</v>
      </c>
      <c r="R4" s="65">
        <f t="shared" ref="R4" si="3">Q4+1</f>
        <v>2029</v>
      </c>
      <c r="S4" s="65">
        <f t="shared" ref="S4" si="4">R4+1</f>
        <v>2030</v>
      </c>
    </row>
    <row r="6" spans="1:19" x14ac:dyDescent="0.3">
      <c r="B6" t="s">
        <v>124</v>
      </c>
      <c r="J6" s="105">
        <f>'DCF &amp; Sensitivity Analysis'!J6</f>
        <v>167.26000000000002</v>
      </c>
      <c r="K6" s="63">
        <f>J6*(1+$E$21)</f>
        <v>190.72139827933199</v>
      </c>
      <c r="L6" s="63">
        <f t="shared" ref="L6:O6" si="5">K6*(1+$E$21)</f>
        <v>217.47370418285053</v>
      </c>
      <c r="M6" s="63">
        <f t="shared" si="5"/>
        <v>247.97853013714612</v>
      </c>
      <c r="N6" s="63">
        <f t="shared" si="5"/>
        <v>282.76223849701046</v>
      </c>
      <c r="O6" s="63">
        <f t="shared" si="5"/>
        <v>322.42502395518227</v>
      </c>
      <c r="P6" s="63">
        <f t="shared" ref="P6" si="6">O6*(1+$E$21)</f>
        <v>367.65126993291562</v>
      </c>
      <c r="Q6" s="63">
        <f t="shared" ref="Q6" si="7">P6*(1+$E$21)</f>
        <v>419.22135765142764</v>
      </c>
      <c r="R6" s="63">
        <f t="shared" ref="R6" si="8">Q6*(1+$E$21)</f>
        <v>478.02513165036595</v>
      </c>
      <c r="S6" s="63">
        <f t="shared" ref="S6" si="9">R6*(1+$E$21)</f>
        <v>545.0772541015159</v>
      </c>
    </row>
    <row r="7" spans="1:19" x14ac:dyDescent="0.3">
      <c r="J7" s="106"/>
    </row>
    <row r="8" spans="1:19" x14ac:dyDescent="0.3">
      <c r="B8" t="s">
        <v>133</v>
      </c>
      <c r="J8" s="107">
        <f>'DCF &amp; Sensitivity Analysis'!J8</f>
        <v>0.25</v>
      </c>
      <c r="K8" s="43">
        <f>J8</f>
        <v>0.25</v>
      </c>
      <c r="L8" s="43">
        <f t="shared" ref="L8:O8" si="10">K8</f>
        <v>0.25</v>
      </c>
      <c r="M8" s="43">
        <f t="shared" si="10"/>
        <v>0.25</v>
      </c>
      <c r="N8" s="43">
        <f t="shared" si="10"/>
        <v>0.25</v>
      </c>
      <c r="O8" s="43">
        <f t="shared" si="10"/>
        <v>0.25</v>
      </c>
      <c r="P8" s="43">
        <f t="shared" ref="P8" si="11">O8</f>
        <v>0.25</v>
      </c>
      <c r="Q8" s="43">
        <f t="shared" ref="Q8" si="12">P8</f>
        <v>0.25</v>
      </c>
      <c r="R8" s="43">
        <f t="shared" ref="R8" si="13">Q8</f>
        <v>0.25</v>
      </c>
      <c r="S8" s="43">
        <f t="shared" ref="S8" si="14">R8</f>
        <v>0.25</v>
      </c>
    </row>
    <row r="9" spans="1:19" x14ac:dyDescent="0.3">
      <c r="J9" s="106"/>
    </row>
    <row r="10" spans="1:19" x14ac:dyDescent="0.3">
      <c r="B10" t="s">
        <v>126</v>
      </c>
      <c r="J10" s="108">
        <f>J6*(1-J8)</f>
        <v>125.44500000000002</v>
      </c>
      <c r="K10" s="44">
        <f t="shared" ref="K10:O10" si="15">K6*(1-K8)</f>
        <v>143.04104870949899</v>
      </c>
      <c r="L10" s="44">
        <f t="shared" si="15"/>
        <v>163.1052781371379</v>
      </c>
      <c r="M10" s="44">
        <f t="shared" si="15"/>
        <v>185.9838976028596</v>
      </c>
      <c r="N10" s="44">
        <f t="shared" si="15"/>
        <v>212.07167887275784</v>
      </c>
      <c r="O10" s="44">
        <f t="shared" si="15"/>
        <v>241.8187679663867</v>
      </c>
      <c r="P10" s="44">
        <f t="shared" ref="P10:S10" si="16">P6*(1-P8)</f>
        <v>275.73845244968675</v>
      </c>
      <c r="Q10" s="44">
        <f t="shared" si="16"/>
        <v>314.4160182385707</v>
      </c>
      <c r="R10" s="44">
        <f t="shared" si="16"/>
        <v>358.51884873777448</v>
      </c>
      <c r="S10" s="44">
        <f t="shared" si="16"/>
        <v>408.80794057613696</v>
      </c>
    </row>
    <row r="11" spans="1:19" x14ac:dyDescent="0.3">
      <c r="J11" s="106"/>
    </row>
    <row r="12" spans="1:19" x14ac:dyDescent="0.3">
      <c r="B12" t="s">
        <v>134</v>
      </c>
      <c r="J12" s="33">
        <f>'DCF &amp; Sensitivity Analysis'!J12</f>
        <v>-7.3023235999592524</v>
      </c>
      <c r="K12" s="40">
        <f>J12</f>
        <v>-7.3023235999592524</v>
      </c>
      <c r="L12" s="40">
        <f t="shared" ref="L12:O12" si="17">K12</f>
        <v>-7.3023235999592524</v>
      </c>
      <c r="M12" s="40">
        <f t="shared" si="17"/>
        <v>-7.3023235999592524</v>
      </c>
      <c r="N12" s="40">
        <f t="shared" si="17"/>
        <v>-7.3023235999592524</v>
      </c>
      <c r="O12" s="40">
        <f t="shared" si="17"/>
        <v>-7.3023235999592524</v>
      </c>
      <c r="P12" s="40">
        <f t="shared" ref="P12" si="18">O12</f>
        <v>-7.3023235999592524</v>
      </c>
      <c r="Q12" s="40">
        <f t="shared" ref="Q12" si="19">P12</f>
        <v>-7.3023235999592524</v>
      </c>
      <c r="R12" s="40">
        <f t="shared" ref="R12" si="20">Q12</f>
        <v>-7.3023235999592524</v>
      </c>
      <c r="S12" s="40">
        <f t="shared" ref="S12" si="21">R12</f>
        <v>-7.3023235999592524</v>
      </c>
    </row>
    <row r="13" spans="1:19" x14ac:dyDescent="0.3">
      <c r="J13" s="106"/>
    </row>
    <row r="14" spans="1:19" x14ac:dyDescent="0.3">
      <c r="B14" t="s">
        <v>135</v>
      </c>
      <c r="J14" s="108">
        <f>J10*(1-J12)</f>
        <v>1041.4849839968886</v>
      </c>
      <c r="K14" s="44">
        <f t="shared" ref="K14:O14" si="22">K10*(1-K12)</f>
        <v>1187.5730744637942</v>
      </c>
      <c r="L14" s="44">
        <f t="shared" si="22"/>
        <v>1354.1527999558778</v>
      </c>
      <c r="M14" s="44">
        <f t="shared" si="22"/>
        <v>1544.098502280626</v>
      </c>
      <c r="N14" s="44">
        <f t="shared" si="22"/>
        <v>1760.6877043882773</v>
      </c>
      <c r="O14" s="44">
        <f t="shared" si="22"/>
        <v>2007.6576642004027</v>
      </c>
      <c r="P14" s="44">
        <f t="shared" ref="P14:S14" si="23">P10*(1-P12)</f>
        <v>2289.2698611892761</v>
      </c>
      <c r="Q14" s="44">
        <f t="shared" si="23"/>
        <v>2610.3835284273041</v>
      </c>
      <c r="R14" s="44">
        <f t="shared" si="23"/>
        <v>2976.5394989058464</v>
      </c>
      <c r="S14" s="44">
        <f t="shared" si="23"/>
        <v>3394.055812896001</v>
      </c>
    </row>
    <row r="15" spans="1:19" x14ac:dyDescent="0.3">
      <c r="J15" s="106"/>
    </row>
    <row r="16" spans="1:19" x14ac:dyDescent="0.3">
      <c r="B16" t="s">
        <v>136</v>
      </c>
      <c r="J16" s="106"/>
      <c r="K16">
        <v>0.5</v>
      </c>
      <c r="L16">
        <f>K16+1</f>
        <v>1.5</v>
      </c>
      <c r="M16">
        <f t="shared" ref="M16:O16" si="24">L16+1</f>
        <v>2.5</v>
      </c>
      <c r="N16">
        <f t="shared" si="24"/>
        <v>3.5</v>
      </c>
      <c r="O16">
        <f t="shared" si="24"/>
        <v>4.5</v>
      </c>
      <c r="P16">
        <f t="shared" ref="P16" si="25">O16+1</f>
        <v>5.5</v>
      </c>
      <c r="Q16">
        <f t="shared" ref="Q16" si="26">P16+1</f>
        <v>6.5</v>
      </c>
      <c r="R16">
        <f t="shared" ref="R16" si="27">Q16+1</f>
        <v>7.5</v>
      </c>
      <c r="S16">
        <f t="shared" ref="S16" si="28">R16+1</f>
        <v>8.5</v>
      </c>
    </row>
    <row r="17" spans="1:19" x14ac:dyDescent="0.3">
      <c r="B17" t="s">
        <v>137</v>
      </c>
      <c r="J17" s="106"/>
      <c r="K17" s="71">
        <f>1/(1+$E$23)^K16</f>
        <v>0.94511245937297361</v>
      </c>
      <c r="L17" s="71">
        <f t="shared" ref="L17:O17" si="29">1/(1+$E$23)^L16</f>
        <v>0.84420994795063031</v>
      </c>
      <c r="M17" s="71">
        <f t="shared" si="29"/>
        <v>0.7540800347628831</v>
      </c>
      <c r="N17" s="71">
        <f t="shared" si="29"/>
        <v>0.67357261094635312</v>
      </c>
      <c r="O17" s="71">
        <f t="shared" si="29"/>
        <v>0.60166035606519008</v>
      </c>
      <c r="P17" s="71">
        <f t="shared" ref="P17:S17" si="30">1/(1+$E$23)^P16</f>
        <v>0.53742562891905132</v>
      </c>
      <c r="Q17" s="71">
        <f t="shared" si="30"/>
        <v>0.48004875792039642</v>
      </c>
      <c r="R17" s="71">
        <f t="shared" si="30"/>
        <v>0.42879758161966242</v>
      </c>
      <c r="S17" s="71">
        <f t="shared" si="30"/>
        <v>0.38301810590948482</v>
      </c>
    </row>
    <row r="18" spans="1:19" ht="15" thickBot="1" x14ac:dyDescent="0.35">
      <c r="J18" s="106"/>
    </row>
    <row r="19" spans="1:19" ht="15.6" thickTop="1" thickBot="1" x14ac:dyDescent="0.35">
      <c r="B19" t="s">
        <v>138</v>
      </c>
      <c r="J19" s="109"/>
      <c r="K19" s="95">
        <f>K14*K17</f>
        <v>1122.3901090916002</v>
      </c>
      <c r="L19" s="95">
        <f t="shared" ref="L19:O19" si="31">L14*L17</f>
        <v>1143.189264767952</v>
      </c>
      <c r="M19" s="95">
        <f t="shared" si="31"/>
        <v>1164.3738522770902</v>
      </c>
      <c r="N19" s="95">
        <f t="shared" si="31"/>
        <v>1185.9510141059527</v>
      </c>
      <c r="O19" s="95">
        <f t="shared" si="31"/>
        <v>1207.9280250998222</v>
      </c>
      <c r="P19" s="95">
        <f t="shared" ref="P19:S19" si="32">P14*P17</f>
        <v>1230.3122949150761</v>
      </c>
      <c r="Q19" s="95">
        <f t="shared" si="32"/>
        <v>1253.1113705173891</v>
      </c>
      <c r="R19" s="95">
        <f t="shared" si="32"/>
        <v>1276.3329387262288</v>
      </c>
      <c r="S19" s="95">
        <f t="shared" si="32"/>
        <v>1299.9848288065032</v>
      </c>
    </row>
    <row r="21" spans="1:19" outlineLevel="1" x14ac:dyDescent="0.3">
      <c r="B21" s="110" t="s">
        <v>139</v>
      </c>
      <c r="C21" s="110"/>
      <c r="D21" s="110"/>
      <c r="E21" s="111">
        <f>'DCF &amp; Sensitivity Analysis'!E21</f>
        <v>0.14026903192234821</v>
      </c>
    </row>
    <row r="22" spans="1:19" ht="16.2" outlineLevel="1" x14ac:dyDescent="0.3">
      <c r="B22" s="110" t="s">
        <v>140</v>
      </c>
      <c r="C22" s="110"/>
      <c r="D22" s="110"/>
      <c r="E22" s="112">
        <v>2.5000000000000001E-2</v>
      </c>
    </row>
    <row r="23" spans="1:19" outlineLevel="1" x14ac:dyDescent="0.3">
      <c r="B23" s="110" t="s">
        <v>37</v>
      </c>
      <c r="C23" s="110"/>
      <c r="D23" s="110"/>
      <c r="E23" s="112">
        <f>WACC!L56</f>
        <v>0.11952300688624939</v>
      </c>
    </row>
    <row r="26" spans="1:19" x14ac:dyDescent="0.3">
      <c r="K26" s="135" t="s">
        <v>157</v>
      </c>
    </row>
    <row r="27" spans="1:19" ht="14.4" customHeight="1" x14ac:dyDescent="0.3">
      <c r="A27" s="16" t="s">
        <v>94</v>
      </c>
      <c r="B27" s="351" t="s">
        <v>142</v>
      </c>
      <c r="C27" s="351"/>
      <c r="D27" s="351"/>
      <c r="E27" s="351"/>
      <c r="F27" s="113"/>
      <c r="G27" s="114"/>
      <c r="K27" s="351" t="s">
        <v>158</v>
      </c>
      <c r="L27" s="351"/>
      <c r="M27" s="351"/>
      <c r="N27" s="351"/>
      <c r="O27" s="351"/>
      <c r="P27" s="351"/>
    </row>
    <row r="28" spans="1:19" ht="20.399999999999999" customHeight="1" x14ac:dyDescent="0.3">
      <c r="G28" s="79"/>
      <c r="H28" s="79"/>
      <c r="I28" s="79"/>
      <c r="J28" s="79"/>
      <c r="K28" s="115">
        <f>E48</f>
        <v>40.298083869137407</v>
      </c>
      <c r="L28" s="116">
        <v>0.06</v>
      </c>
      <c r="M28" s="116">
        <v>0.08</v>
      </c>
      <c r="N28" s="136">
        <v>0.1190441215230683</v>
      </c>
      <c r="O28" s="116">
        <v>0.13</v>
      </c>
      <c r="P28" s="116">
        <v>0.15</v>
      </c>
    </row>
    <row r="29" spans="1:19" x14ac:dyDescent="0.3">
      <c r="B29" t="s">
        <v>143</v>
      </c>
      <c r="E29" s="63">
        <f>S14*(1+E21)</f>
        <v>3870.1367360613422</v>
      </c>
      <c r="G29" s="79"/>
      <c r="H29" s="79"/>
      <c r="I29" s="79"/>
      <c r="J29" s="79"/>
      <c r="K29" s="116">
        <v>0.1</v>
      </c>
      <c r="L29" s="119">
        <f t="dataTable" ref="L29:P33" dt2D="1" dtr="1" r1="E23" r2="E21" ca="1"/>
        <v>84.820246200681595</v>
      </c>
      <c r="M29" s="119">
        <v>52.716156546007916</v>
      </c>
      <c r="N29" s="119">
        <v>28.902977165546833</v>
      </c>
      <c r="O29" s="119">
        <v>25.331244262198673</v>
      </c>
      <c r="P29" s="120">
        <v>20.380613053899985</v>
      </c>
    </row>
    <row r="30" spans="1:19" x14ac:dyDescent="0.3">
      <c r="B30" t="s">
        <v>37</v>
      </c>
      <c r="E30" s="40">
        <f>E23</f>
        <v>0.11952300688624939</v>
      </c>
      <c r="G30" s="79"/>
      <c r="H30" s="79"/>
      <c r="I30" s="79"/>
      <c r="J30" s="79"/>
      <c r="K30" s="116">
        <v>0.12</v>
      </c>
      <c r="L30" s="119">
        <v>100.97856073318434</v>
      </c>
      <c r="M30" s="119">
        <v>62.62204133020424</v>
      </c>
      <c r="N30" s="138">
        <v>34.251049254651669</v>
      </c>
      <c r="O30" s="119">
        <v>30.009547089454934</v>
      </c>
      <c r="P30" s="120">
        <v>24.141383830054405</v>
      </c>
    </row>
    <row r="31" spans="1:19" x14ac:dyDescent="0.3">
      <c r="B31" t="s">
        <v>145</v>
      </c>
      <c r="E31" s="40">
        <f>E22</f>
        <v>2.5000000000000001E-2</v>
      </c>
      <c r="G31" s="79"/>
      <c r="H31" s="79"/>
      <c r="I31" s="79"/>
      <c r="J31" s="79"/>
      <c r="K31" s="118">
        <v>0.14026903192234821</v>
      </c>
      <c r="L31" s="119">
        <v>120.12603465590949</v>
      </c>
      <c r="M31" s="119">
        <v>74.32903231141745</v>
      </c>
      <c r="N31" s="137">
        <v>40.54208101192205</v>
      </c>
      <c r="O31" s="119">
        <v>35.506053898714619</v>
      </c>
      <c r="P31" s="120">
        <v>28.550489533484487</v>
      </c>
    </row>
    <row r="32" spans="1:19" ht="15" thickBot="1" x14ac:dyDescent="0.35">
      <c r="G32" s="79"/>
      <c r="H32" s="79"/>
      <c r="I32" s="79"/>
      <c r="J32" s="79"/>
      <c r="K32" s="116">
        <v>0.18</v>
      </c>
      <c r="L32" s="119">
        <v>167.4153318253862</v>
      </c>
      <c r="M32" s="119">
        <v>103.13801730279533</v>
      </c>
      <c r="N32" s="119">
        <v>55.925948283543718</v>
      </c>
      <c r="O32" s="119">
        <v>48.925008419818646</v>
      </c>
      <c r="P32" s="120">
        <v>39.28372891081564</v>
      </c>
    </row>
    <row r="33" spans="1:16" ht="17.399999999999999" thickTop="1" thickBot="1" x14ac:dyDescent="0.35">
      <c r="B33" s="16" t="s">
        <v>146</v>
      </c>
      <c r="C33" s="95"/>
      <c r="D33" s="95"/>
      <c r="E33" s="121">
        <f>E29/(E30-E31)</f>
        <v>40943.859739023443</v>
      </c>
      <c r="G33" s="79"/>
      <c r="H33" s="79"/>
      <c r="I33" s="79"/>
      <c r="J33" s="79"/>
      <c r="K33" s="116">
        <v>0.2</v>
      </c>
      <c r="L33" s="119">
        <v>197.07782064958536</v>
      </c>
      <c r="M33" s="119">
        <v>121.15378489795843</v>
      </c>
      <c r="N33" s="119">
        <v>65.495236814495996</v>
      </c>
      <c r="O33" s="119">
        <v>57.260502332171299</v>
      </c>
      <c r="P33" s="120">
        <v>45.934697147683181</v>
      </c>
    </row>
    <row r="34" spans="1:16" x14ac:dyDescent="0.3">
      <c r="K34" s="122"/>
    </row>
    <row r="35" spans="1:16" x14ac:dyDescent="0.3">
      <c r="B35" s="114"/>
      <c r="K35" s="124" t="s">
        <v>51</v>
      </c>
    </row>
    <row r="36" spans="1:16" ht="14.4" customHeight="1" x14ac:dyDescent="0.3">
      <c r="B36" s="125"/>
      <c r="C36" s="125"/>
      <c r="D36" s="125"/>
      <c r="E36" s="125"/>
      <c r="F36" s="125"/>
      <c r="G36" s="125"/>
      <c r="H36" s="125"/>
      <c r="I36" s="125"/>
      <c r="J36" s="125"/>
      <c r="K36" s="99" t="s">
        <v>159</v>
      </c>
    </row>
    <row r="37" spans="1:16" x14ac:dyDescent="0.3">
      <c r="B37" s="125"/>
      <c r="C37" s="125"/>
      <c r="D37" s="125"/>
      <c r="E37" s="125"/>
      <c r="F37" s="125"/>
      <c r="G37" s="125"/>
      <c r="H37" s="125"/>
      <c r="I37" s="125"/>
      <c r="J37" s="125"/>
    </row>
    <row r="38" spans="1:16" x14ac:dyDescent="0.3">
      <c r="A38" s="16" t="s">
        <v>94</v>
      </c>
      <c r="B38" s="351" t="s">
        <v>149</v>
      </c>
      <c r="C38" s="351"/>
      <c r="D38" s="351"/>
      <c r="E38" s="351"/>
    </row>
    <row r="40" spans="1:16" x14ac:dyDescent="0.3">
      <c r="B40" t="s">
        <v>138</v>
      </c>
      <c r="E40" s="63">
        <f>SUM(K19:S19)</f>
        <v>10883.573698307613</v>
      </c>
    </row>
    <row r="41" spans="1:16" x14ac:dyDescent="0.3">
      <c r="B41" t="s">
        <v>150</v>
      </c>
      <c r="E41" s="3">
        <f>E33*O17</f>
        <v>24634.297229264044</v>
      </c>
      <c r="K41" s="135" t="s">
        <v>160</v>
      </c>
    </row>
    <row r="42" spans="1:16" ht="14.4" customHeight="1" x14ac:dyDescent="0.3">
      <c r="B42" s="76" t="s">
        <v>151</v>
      </c>
      <c r="C42" s="76"/>
      <c r="D42" s="76"/>
      <c r="E42" s="126">
        <f>E40+E41</f>
        <v>35517.870927571654</v>
      </c>
      <c r="K42" s="351" t="s">
        <v>158</v>
      </c>
      <c r="L42" s="351"/>
      <c r="M42" s="351"/>
      <c r="N42" s="351"/>
      <c r="O42" s="351"/>
      <c r="P42" s="351"/>
    </row>
    <row r="43" spans="1:16" x14ac:dyDescent="0.3">
      <c r="B43" s="76"/>
      <c r="C43" s="76"/>
      <c r="D43" s="76"/>
      <c r="E43" s="127"/>
      <c r="K43" s="115">
        <f>E48</f>
        <v>40.298083869137407</v>
      </c>
      <c r="L43" s="116">
        <v>0.06</v>
      </c>
      <c r="M43" s="116">
        <v>0.08</v>
      </c>
      <c r="N43" s="136">
        <v>0.1190441215230683</v>
      </c>
      <c r="O43" s="116">
        <v>0.13</v>
      </c>
      <c r="P43" s="116">
        <v>0.15</v>
      </c>
    </row>
    <row r="44" spans="1:16" x14ac:dyDescent="0.3">
      <c r="B44" s="128" t="s">
        <v>152</v>
      </c>
      <c r="C44" s="76"/>
      <c r="D44" s="76"/>
      <c r="E44" s="63">
        <f>'DCF &amp; Sensitivity Analysis'!E50</f>
        <v>2187</v>
      </c>
      <c r="K44" s="116">
        <v>0.15</v>
      </c>
      <c r="L44" s="119">
        <f t="dataTable" ref="L44:P48" dt2D="1" dtr="1" r1="E23" r2="J8" ca="1"/>
        <v>136.70424278546935</v>
      </c>
      <c r="M44" s="119">
        <v>84.800973461711706</v>
      </c>
      <c r="N44" s="119">
        <v>46.509095322283578</v>
      </c>
      <c r="O44" s="119">
        <v>40.801597927315164</v>
      </c>
      <c r="P44" s="120">
        <v>32.918624980054346</v>
      </c>
    </row>
    <row r="45" spans="1:16" x14ac:dyDescent="0.3">
      <c r="B45" s="128" t="s">
        <v>153</v>
      </c>
      <c r="C45" s="76"/>
      <c r="D45" s="76"/>
      <c r="E45" s="63">
        <f>'DCF &amp; Sensitivity Analysis'!E51</f>
        <v>-5547</v>
      </c>
      <c r="K45" s="116">
        <v>0.2</v>
      </c>
      <c r="L45" s="119">
        <v>128.41513872068941</v>
      </c>
      <c r="M45" s="119">
        <v>79.565002886564585</v>
      </c>
      <c r="N45" s="119">
        <v>43.525588167102811</v>
      </c>
      <c r="O45" s="119">
        <v>38.153825913014892</v>
      </c>
      <c r="P45" s="120">
        <v>30.734557256769417</v>
      </c>
    </row>
    <row r="46" spans="1:16" x14ac:dyDescent="0.3">
      <c r="B46" s="129" t="s">
        <v>154</v>
      </c>
      <c r="C46" s="98"/>
      <c r="D46" s="98"/>
      <c r="E46" s="130">
        <f>E42+E44+E45</f>
        <v>32157.870927571654</v>
      </c>
      <c r="K46" s="118">
        <v>0.25</v>
      </c>
      <c r="L46" s="119">
        <v>120.12603465590949</v>
      </c>
      <c r="M46" s="119">
        <v>74.32903231141745</v>
      </c>
      <c r="N46" s="137">
        <v>40.54208101192205</v>
      </c>
      <c r="O46" s="119">
        <v>35.506053898714619</v>
      </c>
      <c r="P46" s="120">
        <v>28.550489533484487</v>
      </c>
    </row>
    <row r="47" spans="1:16" ht="15" thickBot="1" x14ac:dyDescent="0.35">
      <c r="B47" s="128" t="s">
        <v>161</v>
      </c>
      <c r="E47" s="3">
        <f>'DCF &amp; Sensitivity Analysis'!E53</f>
        <v>798</v>
      </c>
      <c r="K47" s="116">
        <v>0.3</v>
      </c>
      <c r="L47" s="119">
        <v>111.83693059112956</v>
      </c>
      <c r="M47" s="119">
        <v>69.0930617362703</v>
      </c>
      <c r="N47" s="119">
        <v>37.558573856741262</v>
      </c>
      <c r="O47" s="119">
        <v>32.858281884414339</v>
      </c>
      <c r="P47" s="120">
        <v>26.366421810199547</v>
      </c>
    </row>
    <row r="48" spans="1:16" ht="15.6" thickTop="1" thickBot="1" x14ac:dyDescent="0.35">
      <c r="A48" s="16" t="s">
        <v>94</v>
      </c>
      <c r="B48" s="121" t="s">
        <v>162</v>
      </c>
      <c r="C48" s="121"/>
      <c r="D48" s="121"/>
      <c r="E48" s="131">
        <f>E46/E47</f>
        <v>40.298083869137407</v>
      </c>
      <c r="K48" s="116">
        <v>0.35</v>
      </c>
      <c r="L48" s="119">
        <v>103.54782652634962</v>
      </c>
      <c r="M48" s="119">
        <v>63.857091161123194</v>
      </c>
      <c r="N48" s="119">
        <v>34.575066701560516</v>
      </c>
      <c r="O48" s="119">
        <v>30.210509870114073</v>
      </c>
      <c r="P48" s="120">
        <v>24.182354086914629</v>
      </c>
    </row>
    <row r="49" spans="1:16" x14ac:dyDescent="0.3">
      <c r="K49" s="124" t="s">
        <v>51</v>
      </c>
    </row>
    <row r="50" spans="1:16" ht="14.4" customHeight="1" x14ac:dyDescent="0.3">
      <c r="E50" s="3"/>
      <c r="K50" s="99" t="s">
        <v>163</v>
      </c>
    </row>
    <row r="52" spans="1:16" ht="14.4" customHeight="1" x14ac:dyDescent="0.3">
      <c r="B52" s="76"/>
      <c r="C52" s="76"/>
      <c r="D52" s="76"/>
      <c r="E52" s="132"/>
      <c r="F52" s="62"/>
    </row>
    <row r="54" spans="1:16" x14ac:dyDescent="0.3">
      <c r="A54" s="16"/>
      <c r="B54" s="76"/>
      <c r="E54" s="139"/>
    </row>
    <row r="55" spans="1:16" x14ac:dyDescent="0.3">
      <c r="K55" s="135" t="s">
        <v>164</v>
      </c>
    </row>
    <row r="56" spans="1:16" ht="15" customHeight="1" x14ac:dyDescent="0.3">
      <c r="K56" s="351" t="s">
        <v>158</v>
      </c>
      <c r="L56" s="351"/>
      <c r="M56" s="84"/>
      <c r="N56" s="84"/>
      <c r="O56" s="84"/>
      <c r="P56" s="84"/>
    </row>
    <row r="57" spans="1:16" x14ac:dyDescent="0.3">
      <c r="K57" s="115">
        <f>E48</f>
        <v>40.298083869137407</v>
      </c>
      <c r="L57" s="116">
        <v>0.06</v>
      </c>
      <c r="M57" s="116">
        <v>0.08</v>
      </c>
      <c r="N57" s="136">
        <v>0.1190441215230683</v>
      </c>
      <c r="O57" s="116">
        <v>0.13</v>
      </c>
      <c r="P57" s="116">
        <v>0.15</v>
      </c>
    </row>
    <row r="58" spans="1:16" x14ac:dyDescent="0.3">
      <c r="K58" s="116">
        <v>-2</v>
      </c>
      <c r="L58" s="119">
        <f t="dataTable" ref="L58:P62" dt2D="1" dtr="1" r1="E23" r2="J12" ca="1"/>
        <v>40.717821564667474</v>
      </c>
      <c r="M58" s="119">
        <v>24.169320969707474</v>
      </c>
      <c r="N58" s="119">
        <v>11.960587754468341</v>
      </c>
      <c r="O58" s="119">
        <v>10.140846430521822</v>
      </c>
      <c r="P58" s="120">
        <v>7.6274906398859557</v>
      </c>
    </row>
    <row r="59" spans="1:16" x14ac:dyDescent="0.3">
      <c r="K59" s="116">
        <v>-3</v>
      </c>
      <c r="L59" s="119">
        <v>55.693937524819781</v>
      </c>
      <c r="M59" s="119">
        <v>33.629270064873118</v>
      </c>
      <c r="N59" s="119">
        <v>17.350959111220945</v>
      </c>
      <c r="O59" s="119">
        <v>14.924637345958923</v>
      </c>
      <c r="P59" s="120">
        <v>11.573496291777765</v>
      </c>
    </row>
    <row r="60" spans="1:16" x14ac:dyDescent="0.3">
      <c r="K60" s="117">
        <v>-5</v>
      </c>
      <c r="L60" s="119">
        <v>85.646169445124428</v>
      </c>
      <c r="M60" s="119">
        <v>52.549168255204421</v>
      </c>
      <c r="N60" s="138">
        <v>28.131701824726154</v>
      </c>
      <c r="O60" s="119">
        <v>24.492219176833121</v>
      </c>
      <c r="P60" s="120">
        <v>19.465507595561384</v>
      </c>
    </row>
    <row r="61" spans="1:16" x14ac:dyDescent="0.3">
      <c r="K61" s="118">
        <v>-7.3023235999592524</v>
      </c>
      <c r="L61" s="119">
        <v>120.12603465590949</v>
      </c>
      <c r="M61" s="119">
        <v>74.32903231141745</v>
      </c>
      <c r="N61" s="137">
        <v>40.54208101192205</v>
      </c>
      <c r="O61" s="119">
        <v>35.506053898714619</v>
      </c>
      <c r="P61" s="120">
        <v>28.550489533484487</v>
      </c>
    </row>
    <row r="62" spans="1:16" x14ac:dyDescent="0.3">
      <c r="K62" s="116">
        <v>-7.5</v>
      </c>
      <c r="L62" s="119">
        <v>123.0864593455052</v>
      </c>
      <c r="M62" s="119">
        <v>76.19904099311853</v>
      </c>
      <c r="N62" s="119">
        <v>41.60763021660766</v>
      </c>
      <c r="O62" s="119">
        <v>36.451696465425869</v>
      </c>
      <c r="P62" s="120">
        <v>29.330521725290904</v>
      </c>
    </row>
    <row r="63" spans="1:16" x14ac:dyDescent="0.3">
      <c r="K63" s="124" t="s">
        <v>51</v>
      </c>
    </row>
    <row r="64" spans="1:16" x14ac:dyDescent="0.3">
      <c r="K64" s="99" t="s">
        <v>163</v>
      </c>
    </row>
  </sheetData>
  <mergeCells count="7">
    <mergeCell ref="K56:L56"/>
    <mergeCell ref="B2:I2"/>
    <mergeCell ref="B4:G4"/>
    <mergeCell ref="B27:E27"/>
    <mergeCell ref="K27:P27"/>
    <mergeCell ref="B38:E38"/>
    <mergeCell ref="K42:P42"/>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EA989-41B3-4E80-B412-A00406B32C29}">
  <dimension ref="B2:K19"/>
  <sheetViews>
    <sheetView showGridLines="0" workbookViewId="0">
      <selection activeCell="B5" sqref="B5"/>
    </sheetView>
  </sheetViews>
  <sheetFormatPr defaultRowHeight="14.4" x14ac:dyDescent="0.3"/>
  <cols>
    <col min="2" max="2" width="26.109375" bestFit="1" customWidth="1"/>
    <col min="3" max="4" width="16.77734375" customWidth="1"/>
    <col min="5" max="5" width="18.33203125" customWidth="1"/>
    <col min="8" max="8" width="30.77734375" customWidth="1"/>
    <col min="9" max="11" width="14.77734375" customWidth="1"/>
  </cols>
  <sheetData>
    <row r="2" spans="2:11" x14ac:dyDescent="0.3">
      <c r="B2" s="334" t="str">
        <f>"Comprehensive Sceario Analysis-DCF Method"&amp;" - "&amp;WACC!$B$12</f>
        <v>Comprehensive Sceario Analysis-DCF Method - Twitter Inc.</v>
      </c>
      <c r="C2" s="334"/>
      <c r="D2" s="334"/>
      <c r="E2" s="334"/>
      <c r="F2" s="54"/>
      <c r="G2" s="54"/>
      <c r="H2" s="54"/>
      <c r="I2" s="54"/>
    </row>
    <row r="4" spans="2:11" x14ac:dyDescent="0.3">
      <c r="B4" s="65" t="s">
        <v>165</v>
      </c>
    </row>
    <row r="5" spans="2:11" x14ac:dyDescent="0.3">
      <c r="B5" s="65" t="s">
        <v>166</v>
      </c>
      <c r="C5" s="65" t="s">
        <v>167</v>
      </c>
      <c r="D5" s="65" t="s">
        <v>168</v>
      </c>
      <c r="E5" s="65" t="s">
        <v>169</v>
      </c>
      <c r="H5" s="68"/>
      <c r="I5" s="68"/>
      <c r="J5" s="68"/>
      <c r="K5" s="68"/>
    </row>
    <row r="6" spans="2:11" x14ac:dyDescent="0.3">
      <c r="B6" s="66" t="s">
        <v>37</v>
      </c>
      <c r="C6" s="140">
        <f>'DCF &amp; Sensitivity Analysis'!O36</f>
        <v>40.54208101192205</v>
      </c>
      <c r="D6" s="140">
        <f>'DCF &amp; Sensitivity Analysis'!M36</f>
        <v>120.12603465590949</v>
      </c>
      <c r="E6" s="140">
        <f>'DCF &amp; Sensitivity Analysis'!Q36</f>
        <v>28.550489533484487</v>
      </c>
    </row>
    <row r="7" spans="2:11" x14ac:dyDescent="0.3">
      <c r="B7" t="s">
        <v>145</v>
      </c>
      <c r="C7" s="140">
        <f>'DCF &amp; Sensitivity Analysis'!O36</f>
        <v>40.54208101192205</v>
      </c>
      <c r="D7" s="140">
        <f>'DCF &amp; Sensitivity Analysis'!O38</f>
        <v>48.938976136903179</v>
      </c>
      <c r="E7" s="140">
        <f>'DCF &amp; Sensitivity Analysis'!O34</f>
        <v>38.972728097560157</v>
      </c>
    </row>
    <row r="8" spans="2:11" x14ac:dyDescent="0.3">
      <c r="B8" t="s">
        <v>170</v>
      </c>
      <c r="C8" s="140">
        <f>'Further Sensitivity Analysis'!N31</f>
        <v>40.54208101192205</v>
      </c>
      <c r="D8" s="140">
        <f>'Further Sensitivity Analysis'!N33</f>
        <v>65.495236814495996</v>
      </c>
      <c r="E8" s="140">
        <f>'Further Sensitivity Analysis'!N29</f>
        <v>28.902977165546833</v>
      </c>
    </row>
    <row r="9" spans="2:11" x14ac:dyDescent="0.3">
      <c r="B9" t="s">
        <v>133</v>
      </c>
      <c r="C9" s="140">
        <f>'Further Sensitivity Analysis'!N46</f>
        <v>40.54208101192205</v>
      </c>
      <c r="D9" s="140">
        <f>'Further Sensitivity Analysis'!N44</f>
        <v>46.509095322283578</v>
      </c>
      <c r="E9" s="140">
        <f>'Further Sensitivity Analysis'!N48</f>
        <v>34.575066701560516</v>
      </c>
    </row>
    <row r="10" spans="2:11" x14ac:dyDescent="0.3">
      <c r="B10" t="s">
        <v>128</v>
      </c>
      <c r="C10" s="140">
        <f>'Further Sensitivity Analysis'!N61</f>
        <v>40.54208101192205</v>
      </c>
      <c r="D10" s="140">
        <f>'Further Sensitivity Analysis'!N58</f>
        <v>11.960587754468341</v>
      </c>
      <c r="E10" s="140">
        <f>'Further Sensitivity Analysis'!N62</f>
        <v>41.60763021660766</v>
      </c>
    </row>
    <row r="12" spans="2:11" x14ac:dyDescent="0.3">
      <c r="B12" s="62" t="s">
        <v>51</v>
      </c>
    </row>
    <row r="13" spans="2:11" ht="14.4" customHeight="1" x14ac:dyDescent="0.3">
      <c r="B13" s="371" t="s">
        <v>171</v>
      </c>
      <c r="C13" s="371"/>
      <c r="D13" s="371"/>
      <c r="E13" s="371"/>
      <c r="F13" s="371"/>
      <c r="G13" s="141"/>
    </row>
    <row r="14" spans="2:11" x14ac:dyDescent="0.3">
      <c r="B14" s="371"/>
      <c r="C14" s="371"/>
      <c r="D14" s="371"/>
      <c r="E14" s="371"/>
      <c r="F14" s="371"/>
      <c r="G14" s="141"/>
    </row>
    <row r="15" spans="2:11" x14ac:dyDescent="0.3">
      <c r="B15" s="371"/>
      <c r="C15" s="371"/>
      <c r="D15" s="371"/>
      <c r="E15" s="371"/>
      <c r="F15" s="371"/>
      <c r="G15" s="141"/>
    </row>
    <row r="16" spans="2:11" x14ac:dyDescent="0.3">
      <c r="B16" s="371"/>
      <c r="C16" s="371"/>
      <c r="D16" s="371"/>
      <c r="E16" s="371"/>
      <c r="F16" s="371"/>
      <c r="G16" s="141"/>
    </row>
    <row r="18" spans="9:10" x14ac:dyDescent="0.3">
      <c r="I18" s="142"/>
      <c r="J18" s="135" t="s">
        <v>168</v>
      </c>
    </row>
    <row r="19" spans="9:10" x14ac:dyDescent="0.3">
      <c r="I19" s="143"/>
      <c r="J19" s="135" t="s">
        <v>169</v>
      </c>
    </row>
  </sheetData>
  <mergeCells count="2">
    <mergeCell ref="B2:E2"/>
    <mergeCell ref="B13:F1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3BB8-0DF8-4210-BAC1-8307B02F9371}">
  <dimension ref="A1:S33"/>
  <sheetViews>
    <sheetView showGridLines="0" topLeftCell="A29" workbookViewId="0">
      <selection activeCell="B34" sqref="B34:B54"/>
    </sheetView>
  </sheetViews>
  <sheetFormatPr defaultRowHeight="14.4" x14ac:dyDescent="0.3"/>
  <cols>
    <col min="1" max="1" width="5.5546875" customWidth="1"/>
    <col min="2" max="2" width="43.21875" customWidth="1"/>
    <col min="3" max="3" width="12.5546875" bestFit="1" customWidth="1"/>
    <col min="4" max="4" width="12.5546875" customWidth="1"/>
    <col min="5" max="5" width="31.44140625" customWidth="1"/>
    <col min="6" max="7" width="14.77734375" customWidth="1"/>
    <col min="8" max="9" width="22.44140625" customWidth="1"/>
    <col min="10" max="10" width="29.109375" customWidth="1"/>
    <col min="11" max="11" width="27" customWidth="1"/>
    <col min="12" max="12" width="36.5546875" customWidth="1"/>
    <col min="13" max="13" width="30.44140625" customWidth="1"/>
    <col min="14" max="14" width="23" customWidth="1"/>
    <col min="15" max="15" width="14" customWidth="1"/>
    <col min="17" max="17" width="10.6640625" customWidth="1"/>
    <col min="19" max="19" width="18.33203125" customWidth="1"/>
  </cols>
  <sheetData>
    <row r="1" spans="1:19" ht="15" thickBot="1" x14ac:dyDescent="0.35"/>
    <row r="2" spans="1:19" x14ac:dyDescent="0.3">
      <c r="A2">
        <v>0</v>
      </c>
      <c r="C2" s="144" t="s">
        <v>235</v>
      </c>
      <c r="D2" s="76"/>
      <c r="F2" s="188" t="s">
        <v>236</v>
      </c>
      <c r="G2" s="372" t="s">
        <v>235</v>
      </c>
      <c r="H2" s="373"/>
      <c r="I2" s="373"/>
      <c r="J2" s="374"/>
      <c r="K2" s="375" t="s">
        <v>235</v>
      </c>
      <c r="L2" s="376"/>
      <c r="M2" s="376"/>
      <c r="N2" s="377"/>
    </row>
    <row r="3" spans="1:19" ht="46.8" customHeight="1" x14ac:dyDescent="0.3">
      <c r="B3" s="145" t="s">
        <v>38</v>
      </c>
      <c r="C3" s="145" t="s">
        <v>172</v>
      </c>
      <c r="D3" s="146" t="s">
        <v>331</v>
      </c>
      <c r="E3" s="146" t="s">
        <v>237</v>
      </c>
      <c r="F3" s="146" t="s">
        <v>173</v>
      </c>
      <c r="G3" s="146" t="s">
        <v>154</v>
      </c>
      <c r="H3" s="146" t="s">
        <v>238</v>
      </c>
      <c r="I3" s="146" t="s">
        <v>40</v>
      </c>
      <c r="J3" s="146" t="s">
        <v>151</v>
      </c>
      <c r="K3" s="146" t="s">
        <v>239</v>
      </c>
      <c r="L3" s="146" t="s">
        <v>240</v>
      </c>
      <c r="M3" s="146" t="s">
        <v>174</v>
      </c>
      <c r="N3" s="146" t="s">
        <v>241</v>
      </c>
      <c r="O3" s="146" t="s">
        <v>175</v>
      </c>
      <c r="P3" s="146" t="s">
        <v>176</v>
      </c>
      <c r="Q3" s="146" t="s">
        <v>177</v>
      </c>
      <c r="R3" s="146" t="s">
        <v>178</v>
      </c>
      <c r="S3" s="146" t="s">
        <v>179</v>
      </c>
    </row>
    <row r="4" spans="1:19" ht="18" customHeight="1" x14ac:dyDescent="0.3">
      <c r="B4" s="147"/>
      <c r="C4" s="147"/>
      <c r="D4" s="147"/>
      <c r="E4" s="148"/>
      <c r="F4" s="148"/>
      <c r="G4" s="148"/>
      <c r="H4" s="148"/>
      <c r="I4" s="148"/>
      <c r="J4" s="148"/>
      <c r="K4" s="148"/>
      <c r="L4" s="148"/>
      <c r="M4" s="148"/>
      <c r="N4" s="148"/>
      <c r="O4" s="148"/>
      <c r="P4" s="148"/>
      <c r="Q4" s="148"/>
    </row>
    <row r="5" spans="1:19" ht="18" customHeight="1" x14ac:dyDescent="0.3">
      <c r="B5" s="76" t="str">
        <f>WACC!B12</f>
        <v>Twitter Inc.</v>
      </c>
      <c r="C5" s="151">
        <f>E5*F5</f>
        <v>43251.600000000006</v>
      </c>
      <c r="D5" s="151">
        <v>7307</v>
      </c>
      <c r="E5" s="74">
        <v>54.2</v>
      </c>
      <c r="F5" s="3">
        <v>798</v>
      </c>
      <c r="G5" s="152">
        <f>J5+H5-I5</f>
        <v>30352</v>
      </c>
      <c r="H5" s="44">
        <v>2187</v>
      </c>
      <c r="I5" s="44">
        <v>5547</v>
      </c>
      <c r="J5" s="3">
        <v>33712</v>
      </c>
      <c r="K5" s="3">
        <v>5077</v>
      </c>
      <c r="L5" s="63">
        <v>-221.41</v>
      </c>
      <c r="M5" s="77">
        <f>N5/K5</f>
        <v>3.6423084498719713E-2</v>
      </c>
      <c r="N5" s="71">
        <v>184.92</v>
      </c>
      <c r="O5" s="154">
        <f>J5/F5</f>
        <v>42.245614035087719</v>
      </c>
      <c r="P5" s="152">
        <f>J5/K5</f>
        <v>6.6401418160330907</v>
      </c>
      <c r="Q5" s="152">
        <f>J5/N5</f>
        <v>182.30586199437596</v>
      </c>
      <c r="R5" s="74">
        <v>-156.09</v>
      </c>
      <c r="S5" s="74">
        <v>4.7300000000000004</v>
      </c>
    </row>
    <row r="6" spans="1:19" x14ac:dyDescent="0.3">
      <c r="C6" s="3"/>
      <c r="D6" s="3"/>
      <c r="E6" s="3"/>
      <c r="F6" s="3"/>
      <c r="G6" s="3"/>
      <c r="J6" s="63"/>
      <c r="K6" s="3"/>
      <c r="L6" s="149"/>
      <c r="M6" s="150"/>
      <c r="N6" s="3"/>
      <c r="O6" s="3"/>
      <c r="P6" s="3"/>
      <c r="Q6" s="3"/>
      <c r="R6" s="3"/>
    </row>
    <row r="7" spans="1:19" ht="18" customHeight="1" x14ac:dyDescent="0.3">
      <c r="B7" t="s">
        <v>227</v>
      </c>
      <c r="C7" s="151">
        <f>E7*F7</f>
        <v>280010.46000000002</v>
      </c>
      <c r="D7" s="151">
        <v>124879</v>
      </c>
      <c r="E7" s="152">
        <v>97.94</v>
      </c>
      <c r="F7" s="152">
        <v>2859</v>
      </c>
      <c r="G7" s="152">
        <f>J7+H7-I7</f>
        <v>893517</v>
      </c>
      <c r="H7" s="152">
        <v>16601</v>
      </c>
      <c r="I7" s="153">
        <v>13873</v>
      </c>
      <c r="J7" s="154">
        <v>890789</v>
      </c>
      <c r="K7" s="153">
        <v>117929</v>
      </c>
      <c r="L7" s="152">
        <v>39370</v>
      </c>
      <c r="M7" s="155">
        <f t="shared" ref="M7:M10" si="0">N7/K7</f>
        <v>0.46400800481645738</v>
      </c>
      <c r="N7" s="152">
        <v>54720</v>
      </c>
      <c r="O7" s="154">
        <f>J7/F7</f>
        <v>311.57362714235745</v>
      </c>
      <c r="P7" s="152">
        <f>J7/K7</f>
        <v>7.5536042873254248</v>
      </c>
      <c r="Q7" s="152">
        <f>J7/N7</f>
        <v>16.279038742690059</v>
      </c>
      <c r="R7" s="152">
        <v>24.35</v>
      </c>
      <c r="S7">
        <v>7.49</v>
      </c>
    </row>
    <row r="8" spans="1:19" ht="16.2" x14ac:dyDescent="0.3">
      <c r="B8" t="s">
        <v>242</v>
      </c>
      <c r="C8" s="151">
        <f>E8*F8</f>
        <v>1249857.6599999999</v>
      </c>
      <c r="D8" s="151">
        <v>251635</v>
      </c>
      <c r="E8" s="3">
        <v>92.22</v>
      </c>
      <c r="F8" s="3">
        <v>13553</v>
      </c>
      <c r="G8" s="152">
        <f>J8+H8-I8</f>
        <v>1799955</v>
      </c>
      <c r="H8">
        <v>20945</v>
      </c>
      <c r="I8" s="3">
        <v>28508</v>
      </c>
      <c r="J8" s="63">
        <v>1807518</v>
      </c>
      <c r="K8" s="63">
        <v>257637</v>
      </c>
      <c r="L8" s="63">
        <v>76033</v>
      </c>
      <c r="M8" s="155">
        <f t="shared" si="0"/>
        <v>0.34539681800362526</v>
      </c>
      <c r="N8" s="3">
        <v>88987</v>
      </c>
      <c r="O8" s="154">
        <f>J8/F8</f>
        <v>133.36663469342582</v>
      </c>
      <c r="P8" s="152">
        <f>J8/K8</f>
        <v>7.0157547246707574</v>
      </c>
      <c r="Q8" s="152">
        <f>J8/N8</f>
        <v>20.312157955656446</v>
      </c>
      <c r="R8">
        <v>25.76</v>
      </c>
      <c r="S8">
        <v>7.64</v>
      </c>
    </row>
    <row r="9" spans="1:19" x14ac:dyDescent="0.3">
      <c r="B9" t="s">
        <v>229</v>
      </c>
      <c r="C9" s="151">
        <f>E9*F9</f>
        <v>14904.04</v>
      </c>
      <c r="D9" s="151">
        <v>3790</v>
      </c>
      <c r="E9" s="3">
        <v>9.56</v>
      </c>
      <c r="F9" s="3">
        <v>1559</v>
      </c>
      <c r="G9" s="152">
        <f>J9+H9-I9</f>
        <v>74191</v>
      </c>
      <c r="H9">
        <v>1994</v>
      </c>
      <c r="I9" s="3">
        <v>2631</v>
      </c>
      <c r="J9" s="63">
        <v>74828</v>
      </c>
      <c r="K9" s="63">
        <v>4117</v>
      </c>
      <c r="L9" s="63">
        <v>-487.96</v>
      </c>
      <c r="M9" s="155">
        <f t="shared" si="0"/>
        <v>-0.14159096429438911</v>
      </c>
      <c r="N9" s="3">
        <v>-582.92999999999995</v>
      </c>
      <c r="O9" s="154">
        <f>J9/F9</f>
        <v>47.997434252726109</v>
      </c>
      <c r="P9" s="152">
        <f>J9/K9</f>
        <v>18.175370415350983</v>
      </c>
      <c r="Q9" s="152">
        <f>J9/N9</f>
        <v>-128.36532688315921</v>
      </c>
      <c r="R9">
        <v>-150.26</v>
      </c>
      <c r="S9">
        <v>19.98</v>
      </c>
    </row>
    <row r="10" spans="1:19" x14ac:dyDescent="0.3">
      <c r="B10" t="s">
        <v>230</v>
      </c>
      <c r="C10" s="151">
        <f>E10*F10</f>
        <v>14378.8843</v>
      </c>
      <c r="D10" s="151">
        <v>3039</v>
      </c>
      <c r="E10" s="3">
        <v>21.89</v>
      </c>
      <c r="F10">
        <v>656.87</v>
      </c>
      <c r="G10" s="152">
        <f>J10+H10-I10</f>
        <v>22758.13</v>
      </c>
      <c r="H10">
        <v>1420</v>
      </c>
      <c r="I10">
        <v>250.87</v>
      </c>
      <c r="J10">
        <v>21589</v>
      </c>
      <c r="K10" s="3">
        <v>2578</v>
      </c>
      <c r="L10" s="63">
        <v>316.44</v>
      </c>
      <c r="M10" s="155">
        <f t="shared" si="0"/>
        <v>0.1371955003878976</v>
      </c>
      <c r="N10" s="3">
        <v>353.69</v>
      </c>
      <c r="O10" s="154">
        <f>J10/F10</f>
        <v>32.866472818061411</v>
      </c>
      <c r="P10" s="152">
        <f>J10/K10</f>
        <v>8.3743211792086889</v>
      </c>
      <c r="Q10" s="152">
        <f>J10/N10</f>
        <v>61.039328225282027</v>
      </c>
      <c r="R10">
        <v>79.02</v>
      </c>
      <c r="S10">
        <v>7.8</v>
      </c>
    </row>
    <row r="11" spans="1:19" x14ac:dyDescent="0.3">
      <c r="B11" t="s">
        <v>233</v>
      </c>
      <c r="C11" s="151">
        <f t="shared" ref="C11" si="1">E11*F11</f>
        <v>1709695</v>
      </c>
      <c r="D11" s="151">
        <v>141988</v>
      </c>
      <c r="E11" s="3">
        <v>226.75</v>
      </c>
      <c r="F11">
        <v>7540</v>
      </c>
      <c r="G11" s="152">
        <f>J11+H11-I11</f>
        <v>1829692</v>
      </c>
      <c r="H11" s="3">
        <v>13931</v>
      </c>
      <c r="I11" s="3">
        <v>78400</v>
      </c>
      <c r="J11" s="63">
        <v>1894161</v>
      </c>
      <c r="K11" s="3">
        <v>198270</v>
      </c>
      <c r="L11" s="3">
        <v>72738</v>
      </c>
      <c r="M11" s="155">
        <f>N11/K11</f>
        <v>0.49418974126191556</v>
      </c>
      <c r="N11" s="3">
        <v>97983</v>
      </c>
      <c r="O11" s="154">
        <f t="shared" ref="O11" si="2">J11/F11</f>
        <v>251.21498673740052</v>
      </c>
      <c r="P11" s="152">
        <f t="shared" ref="P11" si="3">J11/K11</f>
        <v>9.553442275684672</v>
      </c>
      <c r="Q11" s="152">
        <f t="shared" ref="Q11" si="4">J11/N11</f>
        <v>19.331526897523041</v>
      </c>
      <c r="R11">
        <v>26.11</v>
      </c>
      <c r="S11">
        <v>11.53</v>
      </c>
    </row>
    <row r="12" spans="1:19" x14ac:dyDescent="0.3">
      <c r="P12" s="63"/>
    </row>
    <row r="13" spans="1:19" x14ac:dyDescent="0.3">
      <c r="B13" s="62" t="s">
        <v>44</v>
      </c>
      <c r="J13" s="63"/>
      <c r="P13" s="63"/>
    </row>
    <row r="14" spans="1:19" ht="14.4" customHeight="1" x14ac:dyDescent="0.3">
      <c r="B14" s="371" t="s">
        <v>244</v>
      </c>
      <c r="C14" s="371"/>
      <c r="D14" s="371"/>
      <c r="E14" s="371"/>
      <c r="F14" s="371"/>
      <c r="G14" s="371"/>
      <c r="H14" s="371"/>
      <c r="I14" s="141"/>
      <c r="J14" s="63"/>
      <c r="P14" s="63"/>
    </row>
    <row r="15" spans="1:19" x14ac:dyDescent="0.3">
      <c r="B15" s="371"/>
      <c r="C15" s="371"/>
      <c r="D15" s="371"/>
      <c r="E15" s="371"/>
      <c r="F15" s="371"/>
      <c r="G15" s="371"/>
      <c r="H15" s="371"/>
      <c r="I15" s="141"/>
      <c r="P15" s="63"/>
    </row>
    <row r="16" spans="1:19" x14ac:dyDescent="0.3">
      <c r="B16" s="371"/>
      <c r="C16" s="371"/>
      <c r="D16" s="371"/>
      <c r="E16" s="371"/>
      <c r="F16" s="371"/>
      <c r="G16" s="371"/>
      <c r="H16" s="371"/>
      <c r="I16" s="141"/>
      <c r="P16" s="63"/>
    </row>
    <row r="17" spans="2:16" x14ac:dyDescent="0.3">
      <c r="B17" s="371"/>
      <c r="C17" s="371"/>
      <c r="D17" s="371"/>
      <c r="E17" s="371"/>
      <c r="F17" s="371"/>
      <c r="G17" s="371"/>
      <c r="H17" s="371"/>
      <c r="I17" s="141"/>
      <c r="P17" s="63"/>
    </row>
    <row r="18" spans="2:16" x14ac:dyDescent="0.3">
      <c r="B18" s="371"/>
      <c r="C18" s="371"/>
      <c r="D18" s="371"/>
      <c r="E18" s="371"/>
      <c r="F18" s="371"/>
      <c r="G18" s="371"/>
      <c r="H18" s="371"/>
      <c r="I18" s="141"/>
      <c r="P18" s="63"/>
    </row>
    <row r="19" spans="2:16" x14ac:dyDescent="0.3">
      <c r="B19" s="371"/>
      <c r="C19" s="371"/>
      <c r="D19" s="371"/>
      <c r="E19" s="371"/>
      <c r="F19" s="371"/>
      <c r="G19" s="371"/>
      <c r="H19" s="371"/>
      <c r="I19" s="141"/>
      <c r="P19" s="63"/>
    </row>
    <row r="20" spans="2:16" x14ac:dyDescent="0.3">
      <c r="B20" s="371"/>
      <c r="C20" s="371"/>
      <c r="D20" s="371"/>
      <c r="E20" s="371"/>
      <c r="F20" s="371"/>
      <c r="G20" s="371"/>
      <c r="H20" s="371"/>
      <c r="I20" s="141"/>
      <c r="P20" s="63"/>
    </row>
    <row r="21" spans="2:16" x14ac:dyDescent="0.3">
      <c r="B21" s="371"/>
      <c r="C21" s="371"/>
      <c r="D21" s="371"/>
      <c r="E21" s="371"/>
      <c r="F21" s="371"/>
      <c r="G21" s="371"/>
      <c r="H21" s="371"/>
      <c r="I21" s="141"/>
      <c r="P21" s="63"/>
    </row>
    <row r="22" spans="2:16" x14ac:dyDescent="0.3">
      <c r="B22" s="371"/>
      <c r="C22" s="371"/>
      <c r="D22" s="371"/>
      <c r="E22" s="371"/>
      <c r="F22" s="371"/>
      <c r="G22" s="371"/>
      <c r="H22" s="371"/>
      <c r="I22" s="141"/>
      <c r="P22" s="63"/>
    </row>
    <row r="23" spans="2:16" x14ac:dyDescent="0.3">
      <c r="B23" s="371"/>
      <c r="C23" s="371"/>
      <c r="D23" s="371"/>
      <c r="E23" s="371"/>
      <c r="F23" s="371"/>
      <c r="G23" s="371"/>
      <c r="H23" s="371"/>
      <c r="I23" s="141"/>
      <c r="P23" s="63"/>
    </row>
    <row r="24" spans="2:16" x14ac:dyDescent="0.3">
      <c r="B24" s="371"/>
      <c r="C24" s="371"/>
      <c r="D24" s="371"/>
      <c r="E24" s="371"/>
      <c r="F24" s="371"/>
      <c r="G24" s="371"/>
      <c r="H24" s="371"/>
      <c r="I24" s="141"/>
      <c r="P24" s="63"/>
    </row>
    <row r="25" spans="2:16" x14ac:dyDescent="0.3">
      <c r="B25" s="141"/>
      <c r="C25" s="141"/>
      <c r="D25" s="141"/>
      <c r="E25" s="141"/>
      <c r="F25" s="141"/>
      <c r="G25" s="141"/>
      <c r="H25" s="141"/>
      <c r="I25" s="141"/>
      <c r="P25" s="63"/>
    </row>
    <row r="26" spans="2:16" x14ac:dyDescent="0.3">
      <c r="B26" s="141"/>
      <c r="C26" s="141"/>
      <c r="D26" s="141"/>
      <c r="E26" s="141"/>
      <c r="F26" s="141"/>
      <c r="G26" s="141"/>
      <c r="P26" s="63"/>
    </row>
    <row r="27" spans="2:16" x14ac:dyDescent="0.3">
      <c r="B27" s="141"/>
      <c r="C27" s="141"/>
      <c r="D27" s="141"/>
      <c r="E27" s="141"/>
      <c r="F27" s="141"/>
      <c r="G27" s="141"/>
      <c r="P27" s="63"/>
    </row>
    <row r="28" spans="2:16" x14ac:dyDescent="0.3">
      <c r="B28" s="62" t="s">
        <v>46</v>
      </c>
      <c r="M28" s="63"/>
    </row>
    <row r="29" spans="2:16" x14ac:dyDescent="0.3">
      <c r="B29" s="371" t="s">
        <v>243</v>
      </c>
      <c r="C29" s="371"/>
      <c r="D29" s="371"/>
      <c r="E29" s="371"/>
      <c r="F29" s="371"/>
      <c r="G29" s="371"/>
      <c r="M29" s="63"/>
    </row>
    <row r="30" spans="2:16" x14ac:dyDescent="0.3">
      <c r="B30" s="371"/>
      <c r="C30" s="371"/>
      <c r="D30" s="371"/>
      <c r="E30" s="371"/>
      <c r="F30" s="371"/>
      <c r="G30" s="371"/>
      <c r="M30" s="63"/>
    </row>
    <row r="31" spans="2:16" x14ac:dyDescent="0.3">
      <c r="B31" s="371"/>
      <c r="C31" s="371"/>
      <c r="D31" s="371"/>
      <c r="E31" s="371"/>
      <c r="F31" s="371"/>
      <c r="G31" s="371"/>
    </row>
    <row r="32" spans="2:16" x14ac:dyDescent="0.3">
      <c r="H32" s="63"/>
    </row>
    <row r="33" spans="8:8" x14ac:dyDescent="0.3">
      <c r="H33" s="63"/>
    </row>
  </sheetData>
  <mergeCells count="4">
    <mergeCell ref="B14:H24"/>
    <mergeCell ref="G2:J2"/>
    <mergeCell ref="K2:N2"/>
    <mergeCell ref="B29:G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07407-1E6D-42D7-8661-61903B4DBD0D}">
  <dimension ref="B2:N17"/>
  <sheetViews>
    <sheetView showGridLines="0" workbookViewId="0">
      <selection activeCell="I15" sqref="I15"/>
    </sheetView>
  </sheetViews>
  <sheetFormatPr defaultRowHeight="14.4" x14ac:dyDescent="0.3"/>
  <cols>
    <col min="1" max="1" width="1.88671875" style="157" customWidth="1"/>
    <col min="2" max="2" width="17.44140625" style="157" customWidth="1"/>
    <col min="3" max="3" width="16.5546875" style="157" bestFit="1" customWidth="1"/>
    <col min="4" max="4" width="13.6640625" style="157" bestFit="1" customWidth="1"/>
    <col min="5" max="5" width="29" style="157" customWidth="1"/>
    <col min="6" max="16384" width="8.88671875" style="157"/>
  </cols>
  <sheetData>
    <row r="2" spans="2:14" x14ac:dyDescent="0.3">
      <c r="B2" s="156" t="s">
        <v>182</v>
      </c>
    </row>
    <row r="3" spans="2:14" x14ac:dyDescent="0.3">
      <c r="B3" s="378" t="str">
        <f>"EPS Forecasting "&amp;WACC!B12</f>
        <v>EPS Forecasting Twitter Inc.</v>
      </c>
      <c r="C3" s="378"/>
      <c r="D3" s="378"/>
      <c r="E3" s="378"/>
    </row>
    <row r="4" spans="2:14" x14ac:dyDescent="0.3">
      <c r="B4" s="156" t="s">
        <v>183</v>
      </c>
      <c r="C4" s="156" t="s">
        <v>184</v>
      </c>
      <c r="D4" s="156" t="s">
        <v>185</v>
      </c>
      <c r="E4" s="156" t="s">
        <v>186</v>
      </c>
    </row>
    <row r="5" spans="2:14" x14ac:dyDescent="0.3">
      <c r="B5" s="268">
        <v>1</v>
      </c>
      <c r="C5" s="268">
        <v>2017</v>
      </c>
      <c r="D5" s="269">
        <f>'Raw CF and Pnl Stm'!G67</f>
        <v>-0.14742155525238745</v>
      </c>
      <c r="E5" s="158" t="s">
        <v>180</v>
      </c>
    </row>
    <row r="6" spans="2:14" x14ac:dyDescent="0.3">
      <c r="B6" s="268">
        <v>2</v>
      </c>
      <c r="C6" s="268">
        <f>C5+1</f>
        <v>2018</v>
      </c>
      <c r="D6" s="269">
        <f>'Raw CF and Pnl Stm'!F67</f>
        <v>1.5601552393272962</v>
      </c>
      <c r="E6" s="158">
        <f t="shared" ref="E6:E7" si="0">(D6-D5)/D5</f>
        <v>-11.582951975077808</v>
      </c>
    </row>
    <row r="7" spans="2:14" x14ac:dyDescent="0.3">
      <c r="B7" s="268">
        <v>3</v>
      </c>
      <c r="C7" s="268">
        <f t="shared" ref="C7:C9" si="1">C6+1</f>
        <v>2019</v>
      </c>
      <c r="D7" s="269">
        <f>'Raw CF and Pnl Stm'!E67</f>
        <v>1.8651399491094147</v>
      </c>
      <c r="E7" s="158">
        <f t="shared" si="0"/>
        <v>0.19548356605437617</v>
      </c>
    </row>
    <row r="8" spans="2:14" x14ac:dyDescent="0.3">
      <c r="B8" s="268">
        <v>4</v>
      </c>
      <c r="C8" s="268">
        <f t="shared" si="1"/>
        <v>2020</v>
      </c>
      <c r="D8" s="269">
        <f>'Raw CF and Pnl Stm'!D67</f>
        <v>-1.4416243654822336</v>
      </c>
      <c r="E8" s="158">
        <f>(D8-D7)/D7</f>
        <v>-1.7729309353813338</v>
      </c>
    </row>
    <row r="9" spans="2:14" x14ac:dyDescent="0.3">
      <c r="B9" s="268">
        <v>5</v>
      </c>
      <c r="C9" s="268">
        <f t="shared" si="1"/>
        <v>2021</v>
      </c>
      <c r="D9" s="269">
        <f>'Raw CF and Pnl Stm'!C67</f>
        <v>-0.27745614035087718</v>
      </c>
      <c r="E9" s="158">
        <f t="shared" ref="E9:E14" si="2">(D9-D8)/D8</f>
        <v>-0.80753922658759569</v>
      </c>
    </row>
    <row r="10" spans="2:14" x14ac:dyDescent="0.3">
      <c r="B10" s="159">
        <v>6</v>
      </c>
      <c r="C10" s="159" t="s">
        <v>329</v>
      </c>
      <c r="D10" s="160">
        <f>FORECAST(B10,$D$5:$D$9,$B$5:$B$9)</f>
        <v>-0.66679600703171027</v>
      </c>
      <c r="E10" s="277">
        <f t="shared" si="2"/>
        <v>1.4032483339113175</v>
      </c>
      <c r="L10" s="161"/>
      <c r="M10" s="161"/>
    </row>
    <row r="11" spans="2:14" x14ac:dyDescent="0.3">
      <c r="B11" s="159">
        <v>7</v>
      </c>
      <c r="C11" s="159" t="s">
        <v>332</v>
      </c>
      <c r="D11" s="160">
        <f>FORECAST(B11,$D$5:$D$9,$B$5:$B$9)</f>
        <v>-0.99298088453236133</v>
      </c>
      <c r="E11" s="277">
        <f t="shared" si="2"/>
        <v>0.48918240970381061</v>
      </c>
      <c r="L11" s="161"/>
      <c r="M11" s="161"/>
      <c r="N11" s="161"/>
    </row>
    <row r="12" spans="2:14" x14ac:dyDescent="0.3">
      <c r="B12" s="159">
        <v>8</v>
      </c>
      <c r="C12" s="159" t="s">
        <v>333</v>
      </c>
      <c r="D12" s="160">
        <f t="shared" ref="D12:D14" si="3">FORECAST(B12,$D$5:$D$9,$B$5:$B$9)</f>
        <v>-1.3191657620330122</v>
      </c>
      <c r="E12" s="277">
        <f t="shared" si="2"/>
        <v>0.32849059088812749</v>
      </c>
    </row>
    <row r="13" spans="2:14" ht="14.4" customHeight="1" x14ac:dyDescent="0.3">
      <c r="B13" s="159">
        <v>9</v>
      </c>
      <c r="C13" s="159" t="s">
        <v>334</v>
      </c>
      <c r="D13" s="160">
        <f t="shared" si="3"/>
        <v>-1.645350639533663</v>
      </c>
      <c r="E13" s="277">
        <f t="shared" si="2"/>
        <v>0.2472660274308181</v>
      </c>
    </row>
    <row r="14" spans="2:14" x14ac:dyDescent="0.3">
      <c r="B14" s="159">
        <v>10</v>
      </c>
      <c r="C14" s="159" t="s">
        <v>335</v>
      </c>
      <c r="D14" s="160">
        <f t="shared" si="3"/>
        <v>-1.9715355170343138</v>
      </c>
      <c r="E14" s="277">
        <f t="shared" si="2"/>
        <v>0.19824642216877278</v>
      </c>
      <c r="F14" s="163"/>
    </row>
    <row r="16" spans="2:14" x14ac:dyDescent="0.3">
      <c r="B16" s="162" t="s">
        <v>51</v>
      </c>
    </row>
    <row r="17" spans="2:8" x14ac:dyDescent="0.3">
      <c r="B17" s="379" t="s">
        <v>187</v>
      </c>
      <c r="C17" s="379"/>
      <c r="D17" s="379"/>
      <c r="E17" s="379"/>
      <c r="F17" s="379"/>
      <c r="G17" s="379"/>
      <c r="H17" s="379"/>
    </row>
  </sheetData>
  <mergeCells count="2">
    <mergeCell ref="B3:E3"/>
    <mergeCell ref="B17:H1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214B7-D7DD-473E-931C-343E37AE6137}">
  <dimension ref="B2:AC51"/>
  <sheetViews>
    <sheetView showGridLines="0" topLeftCell="N11" workbookViewId="0">
      <selection activeCell="T32" sqref="T32:AC37"/>
    </sheetView>
  </sheetViews>
  <sheetFormatPr defaultRowHeight="14.4" x14ac:dyDescent="0.3"/>
  <cols>
    <col min="1" max="1" width="5.109375" customWidth="1"/>
    <col min="2" max="2" width="37.21875" customWidth="1"/>
    <col min="3" max="3" width="18.44140625" bestFit="1" customWidth="1"/>
    <col min="4" max="4" width="11.109375" customWidth="1"/>
    <col min="5" max="5" width="18.21875" customWidth="1"/>
    <col min="6" max="6" width="12.33203125" customWidth="1"/>
    <col min="7" max="7" width="22.77734375" customWidth="1"/>
    <col min="8" max="8" width="15.88671875" customWidth="1"/>
    <col min="9" max="9" width="4.44140625" customWidth="1"/>
    <col min="10" max="10" width="14.21875" customWidth="1"/>
    <col min="11" max="11" width="10.21875" customWidth="1"/>
    <col min="12" max="12" width="12.88671875" customWidth="1"/>
    <col min="13" max="13" width="3.44140625" customWidth="1"/>
    <col min="14" max="14" width="23.6640625" customWidth="1"/>
    <col min="15" max="15" width="25.109375" customWidth="1"/>
    <col min="16" max="17" width="16.77734375" customWidth="1"/>
    <col min="18" max="18" width="23.21875" customWidth="1"/>
    <col min="19" max="19" width="10.44140625" bestFit="1" customWidth="1"/>
  </cols>
  <sheetData>
    <row r="2" spans="2:18" ht="15" thickBot="1" x14ac:dyDescent="0.35">
      <c r="B2" s="164" t="s">
        <v>235</v>
      </c>
      <c r="C2" s="164"/>
      <c r="D2" s="164"/>
      <c r="E2" s="164"/>
    </row>
    <row r="3" spans="2:18" x14ac:dyDescent="0.3">
      <c r="B3" s="334" t="str">
        <f>"Comparable Company Valuation (Relative Valuation)"&amp;" - "&amp;WACC!$B$12</f>
        <v>Comparable Company Valuation (Relative Valuation) - Twitter Inc.</v>
      </c>
      <c r="C3" s="334"/>
      <c r="D3" s="334"/>
      <c r="E3" s="334"/>
      <c r="F3" s="334"/>
      <c r="G3" s="334"/>
      <c r="H3" s="54"/>
      <c r="I3" s="54"/>
      <c r="J3" s="8"/>
      <c r="K3" s="8"/>
    </row>
    <row r="4" spans="2:18" ht="7.8" customHeight="1" x14ac:dyDescent="0.3"/>
    <row r="5" spans="2:18" ht="15" thickBot="1" x14ac:dyDescent="0.35">
      <c r="B5" s="65"/>
      <c r="C5" s="65"/>
      <c r="D5" s="380" t="s">
        <v>188</v>
      </c>
      <c r="E5" s="380"/>
      <c r="F5" s="380"/>
      <c r="G5" s="380"/>
      <c r="H5" s="380"/>
      <c r="I5" s="142"/>
      <c r="J5" s="380" t="s">
        <v>189</v>
      </c>
      <c r="K5" s="380"/>
      <c r="L5" s="380"/>
      <c r="M5" s="56"/>
      <c r="N5" s="344" t="s">
        <v>190</v>
      </c>
      <c r="O5" s="344"/>
      <c r="P5" s="344"/>
      <c r="Q5" s="344"/>
      <c r="R5" s="344"/>
    </row>
    <row r="6" spans="2:18" ht="29.4" customHeight="1" x14ac:dyDescent="0.3">
      <c r="B6" s="56" t="s">
        <v>191</v>
      </c>
      <c r="C6" s="56" t="s">
        <v>192</v>
      </c>
      <c r="D6" s="165" t="s">
        <v>193</v>
      </c>
      <c r="E6" s="165" t="s">
        <v>194</v>
      </c>
      <c r="F6" s="165" t="s">
        <v>195</v>
      </c>
      <c r="G6" s="165" t="s">
        <v>196</v>
      </c>
      <c r="H6" s="165" t="s">
        <v>197</v>
      </c>
      <c r="I6" s="56"/>
      <c r="J6" s="56" t="s">
        <v>198</v>
      </c>
      <c r="K6" s="56" t="s">
        <v>199</v>
      </c>
      <c r="L6" s="165" t="s">
        <v>200</v>
      </c>
      <c r="M6" s="56"/>
      <c r="N6" s="56" t="s">
        <v>176</v>
      </c>
      <c r="O6" s="56" t="s">
        <v>177</v>
      </c>
      <c r="P6" s="56" t="s">
        <v>178</v>
      </c>
      <c r="Q6" s="56" t="s">
        <v>330</v>
      </c>
      <c r="R6" s="56" t="s">
        <v>331</v>
      </c>
    </row>
    <row r="7" spans="2:18" ht="9" customHeight="1" x14ac:dyDescent="0.3"/>
    <row r="8" spans="2:18" x14ac:dyDescent="0.3">
      <c r="B8" s="166" t="str">
        <f>'Raw Data for Relative Valuation'!B5</f>
        <v>Twitter Inc.</v>
      </c>
      <c r="C8" s="166" t="s">
        <v>320</v>
      </c>
      <c r="D8" s="167">
        <f>'Raw Data for Relative Valuation'!E5</f>
        <v>54.2</v>
      </c>
      <c r="E8" s="167">
        <f>'Raw Data for Relative Valuation'!F5</f>
        <v>798</v>
      </c>
      <c r="F8" s="167">
        <f>'Raw Data for Relative Valuation'!G5</f>
        <v>30352</v>
      </c>
      <c r="G8" s="168">
        <f>'Raw Data for Relative Valuation'!H5-'Raw Data for Relative Valuation'!I5</f>
        <v>-3360</v>
      </c>
      <c r="H8" s="167">
        <f>'Raw Data for Relative Valuation'!J5</f>
        <v>33712</v>
      </c>
      <c r="I8" s="169"/>
      <c r="J8" s="167">
        <f>'Raw Data for Relative Valuation'!K5</f>
        <v>5077</v>
      </c>
      <c r="K8" s="167">
        <f>'Raw Data for Relative Valuation'!N5</f>
        <v>184.92</v>
      </c>
      <c r="L8" s="167">
        <f>'Raw Data for Relative Valuation'!L5</f>
        <v>-221.41</v>
      </c>
      <c r="M8" s="169"/>
      <c r="N8" s="170">
        <f>IFERROR(H8/J8,0)</f>
        <v>6.6401418160330907</v>
      </c>
      <c r="O8" s="170">
        <f>IFERROR(H8/K8,0)</f>
        <v>182.30586199437596</v>
      </c>
      <c r="P8" s="170">
        <f>'Raw Data for Relative Valuation'!R5</f>
        <v>-156.09</v>
      </c>
      <c r="Q8" s="170">
        <f>'Raw Data for Relative Valuation'!S5</f>
        <v>4.7300000000000004</v>
      </c>
      <c r="R8" s="270">
        <f>'Raw Data for Relative Valuation'!D5</f>
        <v>7307</v>
      </c>
    </row>
    <row r="9" spans="2:18" x14ac:dyDescent="0.3">
      <c r="B9" s="8" t="s">
        <v>227</v>
      </c>
      <c r="C9" s="8" t="s">
        <v>321</v>
      </c>
      <c r="D9" s="171">
        <f>'Raw Data for Relative Valuation'!E7</f>
        <v>97.94</v>
      </c>
      <c r="E9" s="171">
        <f>'Raw Data for Relative Valuation'!F7</f>
        <v>2859</v>
      </c>
      <c r="F9" s="171">
        <f>'Raw Data for Relative Valuation'!G7</f>
        <v>893517</v>
      </c>
      <c r="G9" s="172">
        <f>'Raw Data for Relative Valuation'!H7-'Raw Data for Relative Valuation'!I7</f>
        <v>2728</v>
      </c>
      <c r="H9" s="74">
        <f>'Raw Data for Relative Valuation'!J7</f>
        <v>890789</v>
      </c>
      <c r="I9" s="8"/>
      <c r="J9" s="171">
        <f>'Raw Data for Relative Valuation'!K7</f>
        <v>117929</v>
      </c>
      <c r="K9" s="171">
        <f>'Raw Data for Relative Valuation'!N7</f>
        <v>54720</v>
      </c>
      <c r="L9" s="171">
        <f>'Raw Data for Relative Valuation'!L7</f>
        <v>39370</v>
      </c>
      <c r="M9" s="8"/>
      <c r="N9" s="173">
        <f t="shared" ref="N9:N13" si="0">IFERROR(H9/J9,0)</f>
        <v>7.5536042873254248</v>
      </c>
      <c r="O9" s="173">
        <f t="shared" ref="O9:O13" si="1">IFERROR(H9/K9,0)</f>
        <v>16.279038742690059</v>
      </c>
      <c r="P9" s="174">
        <f>'Raw Data for Relative Valuation'!R7</f>
        <v>24.35</v>
      </c>
      <c r="Q9" s="174">
        <f>'Raw Data for Relative Valuation'!S7</f>
        <v>7.49</v>
      </c>
      <c r="R9" s="271">
        <f>'Raw Data for Relative Valuation'!D7</f>
        <v>124879</v>
      </c>
    </row>
    <row r="10" spans="2:18" x14ac:dyDescent="0.3">
      <c r="B10" s="8" t="s">
        <v>323</v>
      </c>
      <c r="C10" s="8" t="s">
        <v>322</v>
      </c>
      <c r="D10" s="171">
        <f>'Raw Data for Relative Valuation'!E8</f>
        <v>92.22</v>
      </c>
      <c r="E10" s="171">
        <f>'Raw Data for Relative Valuation'!F8</f>
        <v>13553</v>
      </c>
      <c r="F10" s="171">
        <f>'Raw Data for Relative Valuation'!G8</f>
        <v>1799955</v>
      </c>
      <c r="G10" s="172">
        <f>'Raw Data for Relative Valuation'!H8-'Raw Data for Relative Valuation'!I8</f>
        <v>-7563</v>
      </c>
      <c r="H10" s="74">
        <f>'Raw Data for Relative Valuation'!J8</f>
        <v>1807518</v>
      </c>
      <c r="I10" s="8"/>
      <c r="J10" s="171">
        <f>'Raw Data for Relative Valuation'!K8</f>
        <v>257637</v>
      </c>
      <c r="K10" s="171">
        <f>'Raw Data for Relative Valuation'!N8</f>
        <v>88987</v>
      </c>
      <c r="L10" s="171">
        <f>'Raw Data for Relative Valuation'!L8</f>
        <v>76033</v>
      </c>
      <c r="M10" s="8"/>
      <c r="N10" s="173">
        <f>IFERROR(H10/J10,0)</f>
        <v>7.0157547246707574</v>
      </c>
      <c r="O10" s="173">
        <f>IFERROR(H10/K10,0)</f>
        <v>20.312157955656446</v>
      </c>
      <c r="P10" s="174">
        <f>'Raw Data for Relative Valuation'!R8</f>
        <v>25.76</v>
      </c>
      <c r="Q10" s="174">
        <f>'Raw Data for Relative Valuation'!S8</f>
        <v>7.64</v>
      </c>
      <c r="R10" s="271">
        <f>'Raw Data for Relative Valuation'!D8</f>
        <v>251635</v>
      </c>
    </row>
    <row r="11" spans="2:18" x14ac:dyDescent="0.3">
      <c r="B11" s="8" t="s">
        <v>229</v>
      </c>
      <c r="C11" s="8" t="s">
        <v>324</v>
      </c>
      <c r="D11" s="171">
        <f>'Raw Data for Relative Valuation'!E9</f>
        <v>9.56</v>
      </c>
      <c r="E11" s="171">
        <f>'Raw Data for Relative Valuation'!F9</f>
        <v>1559</v>
      </c>
      <c r="F11" s="171">
        <f>'Raw Data for Relative Valuation'!G9</f>
        <v>74191</v>
      </c>
      <c r="G11" s="172">
        <f>'Raw Data for Relative Valuation'!H9-'Raw Data for Relative Valuation'!I9</f>
        <v>-637</v>
      </c>
      <c r="H11" s="74">
        <f>'Raw Data for Relative Valuation'!J9</f>
        <v>74828</v>
      </c>
      <c r="I11" s="8"/>
      <c r="J11" s="171">
        <f>'Raw Data for Relative Valuation'!K9</f>
        <v>4117</v>
      </c>
      <c r="K11" s="171">
        <f>'Raw Data for Relative Valuation'!N9</f>
        <v>-582.92999999999995</v>
      </c>
      <c r="L11" s="171">
        <f>'Raw Data for Relative Valuation'!L9</f>
        <v>-487.96</v>
      </c>
      <c r="M11" s="8"/>
      <c r="N11" s="173">
        <f t="shared" si="0"/>
        <v>18.175370415350983</v>
      </c>
      <c r="O11" s="173">
        <f t="shared" si="1"/>
        <v>-128.36532688315921</v>
      </c>
      <c r="P11" s="174">
        <f>'Raw Data for Relative Valuation'!R9</f>
        <v>-150.26</v>
      </c>
      <c r="Q11" s="174">
        <f>'Raw Data for Relative Valuation'!S9</f>
        <v>19.98</v>
      </c>
      <c r="R11" s="271">
        <f>'Raw Data for Relative Valuation'!D9</f>
        <v>3790</v>
      </c>
    </row>
    <row r="12" spans="2:18" x14ac:dyDescent="0.3">
      <c r="B12" s="8" t="s">
        <v>230</v>
      </c>
      <c r="C12" s="8" t="s">
        <v>325</v>
      </c>
      <c r="D12" s="171">
        <f>'Raw Data for Relative Valuation'!E10</f>
        <v>21.89</v>
      </c>
      <c r="E12" s="171">
        <f>'Raw Data for Relative Valuation'!F10</f>
        <v>656.87</v>
      </c>
      <c r="F12" s="171">
        <f>'Raw Data for Relative Valuation'!G10</f>
        <v>22758.13</v>
      </c>
      <c r="G12" s="172">
        <f>'Raw Data for Relative Valuation'!H10-'Raw Data for Relative Valuation'!I10</f>
        <v>1169.1300000000001</v>
      </c>
      <c r="H12" s="74">
        <f>'Raw Data for Relative Valuation'!J10</f>
        <v>21589</v>
      </c>
      <c r="I12" s="8"/>
      <c r="J12" s="171">
        <f>'Raw Data for Relative Valuation'!K10</f>
        <v>2578</v>
      </c>
      <c r="K12" s="171">
        <f>'Raw Data for Relative Valuation'!N10</f>
        <v>353.69</v>
      </c>
      <c r="L12" s="171">
        <f>'Raw Data for Relative Valuation'!L10</f>
        <v>316.44</v>
      </c>
      <c r="M12" s="8"/>
      <c r="N12" s="173">
        <f>IFERROR(H12/J12,0)</f>
        <v>8.3743211792086889</v>
      </c>
      <c r="O12" s="173">
        <f t="shared" si="1"/>
        <v>61.039328225282027</v>
      </c>
      <c r="P12" s="174">
        <f>'Raw Data for Relative Valuation'!R10</f>
        <v>79.02</v>
      </c>
      <c r="Q12" s="174">
        <f>'Raw Data for Relative Valuation'!S10</f>
        <v>7.8</v>
      </c>
      <c r="R12" s="271">
        <f>'Raw Data for Relative Valuation'!D10</f>
        <v>3039</v>
      </c>
    </row>
    <row r="13" spans="2:18" x14ac:dyDescent="0.3">
      <c r="B13" s="8" t="s">
        <v>233</v>
      </c>
      <c r="C13" s="8" t="s">
        <v>326</v>
      </c>
      <c r="D13" s="171">
        <f>'Raw Data for Relative Valuation'!E11</f>
        <v>226.75</v>
      </c>
      <c r="E13" s="171">
        <f>'Raw Data for Relative Valuation'!F11</f>
        <v>7540</v>
      </c>
      <c r="F13" s="171">
        <f>'Raw Data for Relative Valuation'!G11</f>
        <v>1829692</v>
      </c>
      <c r="G13" s="172">
        <f>'Raw Data for Relative Valuation'!H11-'Raw Data for Relative Valuation'!I11</f>
        <v>-64469</v>
      </c>
      <c r="H13" s="74">
        <f>'Raw Data for Relative Valuation'!J11</f>
        <v>1894161</v>
      </c>
      <c r="I13" s="8"/>
      <c r="J13" s="171">
        <f>'Raw Data for Relative Valuation'!K11</f>
        <v>198270</v>
      </c>
      <c r="K13" s="171">
        <f>'Raw Data for Relative Valuation'!N11</f>
        <v>97983</v>
      </c>
      <c r="L13" s="171">
        <f>'Raw Data for Relative Valuation'!L11</f>
        <v>72738</v>
      </c>
      <c r="M13" s="8"/>
      <c r="N13" s="173">
        <f t="shared" si="0"/>
        <v>9.553442275684672</v>
      </c>
      <c r="O13" s="173">
        <f t="shared" si="1"/>
        <v>19.331526897523041</v>
      </c>
      <c r="P13" s="174">
        <f>'Raw Data for Relative Valuation'!R11</f>
        <v>26.11</v>
      </c>
      <c r="Q13" s="174">
        <f>'Raw Data for Relative Valuation'!S11</f>
        <v>11.53</v>
      </c>
      <c r="R13" s="271">
        <f>'Raw Data for Relative Valuation'!D11</f>
        <v>141988</v>
      </c>
    </row>
    <row r="14" spans="2:18" x14ac:dyDescent="0.3">
      <c r="B14" s="8"/>
      <c r="C14" s="8"/>
      <c r="D14" s="74"/>
      <c r="E14" s="74"/>
      <c r="F14" s="74"/>
      <c r="G14" s="172"/>
      <c r="H14" s="172"/>
      <c r="I14" s="8"/>
      <c r="J14" s="172"/>
      <c r="K14" s="172"/>
      <c r="L14" s="8"/>
      <c r="M14" s="8"/>
      <c r="N14" s="175"/>
      <c r="O14" s="175"/>
      <c r="P14" s="174"/>
      <c r="Q14" s="174"/>
      <c r="R14" s="174"/>
    </row>
    <row r="15" spans="2:18" x14ac:dyDescent="0.3">
      <c r="B15" s="8"/>
      <c r="C15" s="8"/>
      <c r="D15" s="74"/>
      <c r="E15" s="74"/>
      <c r="F15" s="74"/>
      <c r="G15" s="172"/>
      <c r="H15" s="172"/>
      <c r="I15" s="8"/>
      <c r="J15" s="172"/>
      <c r="K15" s="172"/>
      <c r="L15" s="8"/>
      <c r="M15" s="8"/>
      <c r="N15" s="175"/>
      <c r="O15" s="175"/>
      <c r="P15" s="174"/>
      <c r="Q15" s="174"/>
      <c r="R15" s="174"/>
    </row>
    <row r="17" spans="2:29" x14ac:dyDescent="0.3">
      <c r="B17" s="176" t="s">
        <v>201</v>
      </c>
      <c r="C17" s="176"/>
      <c r="D17" s="176"/>
      <c r="E17" s="176"/>
      <c r="F17" s="176"/>
      <c r="G17" s="176"/>
      <c r="H17" s="176"/>
      <c r="I17" s="176"/>
      <c r="J17" s="176"/>
      <c r="K17" s="176"/>
      <c r="L17" s="176"/>
      <c r="M17" s="176"/>
      <c r="N17" s="177">
        <f>MAX(N8:N13)</f>
        <v>18.175370415350983</v>
      </c>
      <c r="O17" s="177">
        <f>MAX(O8:O13)</f>
        <v>182.30586199437596</v>
      </c>
      <c r="P17" s="177">
        <f>MAX(P8:P13)</f>
        <v>79.02</v>
      </c>
      <c r="Q17" s="177">
        <f>MAX(Q8:Q13)</f>
        <v>19.98</v>
      </c>
      <c r="R17" s="272">
        <f>MAX(R8:R13)</f>
        <v>251635</v>
      </c>
    </row>
    <row r="18" spans="2:29" x14ac:dyDescent="0.3">
      <c r="B18" s="176" t="s">
        <v>202</v>
      </c>
      <c r="C18" s="176"/>
      <c r="D18" s="176"/>
      <c r="E18" s="176"/>
      <c r="F18" s="176"/>
      <c r="G18" s="176"/>
      <c r="H18" s="176"/>
      <c r="I18" s="176"/>
      <c r="J18" s="176"/>
      <c r="K18" s="176"/>
      <c r="L18" s="176"/>
      <c r="M18" s="176"/>
      <c r="N18" s="178">
        <f>QUARTILE(N8:N13,3)</f>
        <v>9.2586620015656766</v>
      </c>
      <c r="O18" s="178">
        <f>QUARTILE(O8:O13,3)</f>
        <v>50.85753565787563</v>
      </c>
      <c r="P18" s="178">
        <f>QUARTILE(P8:P13,3)</f>
        <v>26.022500000000001</v>
      </c>
      <c r="Q18" s="178">
        <f>QUARTILE(Q8:Q13,3)</f>
        <v>10.5975</v>
      </c>
      <c r="R18" s="273">
        <f>QUARTILE(R8:R13,3)</f>
        <v>137710.75</v>
      </c>
    </row>
    <row r="19" spans="2:29" x14ac:dyDescent="0.3">
      <c r="B19" s="51" t="s">
        <v>50</v>
      </c>
      <c r="C19" s="176"/>
      <c r="D19" s="176"/>
      <c r="E19" s="176"/>
      <c r="F19" s="176"/>
      <c r="G19" s="176"/>
      <c r="H19" s="176"/>
      <c r="I19" s="176"/>
      <c r="J19" s="176"/>
      <c r="K19" s="176"/>
      <c r="L19" s="176"/>
      <c r="M19" s="176"/>
      <c r="N19" s="179">
        <f>AVERAGE(N8:N13)</f>
        <v>9.5521057830456044</v>
      </c>
      <c r="O19" s="179">
        <f>AVERAGE(O8:O13)</f>
        <v>28.483764488728053</v>
      </c>
      <c r="P19" s="179">
        <f>AVERAGE(P8:P13)</f>
        <v>-25.185000000000002</v>
      </c>
      <c r="Q19" s="179">
        <f>AVERAGE(Q8:Q13)</f>
        <v>9.8616666666666664</v>
      </c>
      <c r="R19" s="274">
        <f>AVERAGE(R8:R13)</f>
        <v>88773</v>
      </c>
    </row>
    <row r="20" spans="2:29" x14ac:dyDescent="0.3">
      <c r="B20" s="51" t="s">
        <v>16</v>
      </c>
      <c r="C20" s="176"/>
      <c r="D20" s="176"/>
      <c r="E20" s="176"/>
      <c r="F20" s="176"/>
      <c r="G20" s="176"/>
      <c r="H20" s="176"/>
      <c r="I20" s="176"/>
      <c r="J20" s="176"/>
      <c r="K20" s="176"/>
      <c r="L20" s="176"/>
      <c r="M20" s="176"/>
      <c r="N20" s="179">
        <f>MEDIAN(N8:N13)</f>
        <v>7.9639627332670564</v>
      </c>
      <c r="O20" s="179">
        <f>MEDIAN(O8:O13)</f>
        <v>19.821842426589743</v>
      </c>
      <c r="P20" s="179">
        <f>MEDIAN(P8:P13)</f>
        <v>25.055</v>
      </c>
      <c r="Q20" s="179">
        <f>MEDIAN(Q8:Q13)</f>
        <v>7.72</v>
      </c>
      <c r="R20" s="274">
        <f>MEDIAN(R8:R13)</f>
        <v>66093</v>
      </c>
      <c r="S20" s="139"/>
    </row>
    <row r="21" spans="2:29" x14ac:dyDescent="0.3">
      <c r="B21" s="176" t="s">
        <v>203</v>
      </c>
      <c r="C21" s="176"/>
      <c r="D21" s="176"/>
      <c r="E21" s="176"/>
      <c r="F21" s="176"/>
      <c r="G21" s="176"/>
      <c r="H21" s="176"/>
      <c r="I21" s="176"/>
      <c r="J21" s="176"/>
      <c r="K21" s="176"/>
      <c r="L21" s="176"/>
      <c r="M21" s="176"/>
      <c r="N21" s="178">
        <f>QUARTILE(N8:N13,1)</f>
        <v>7.1502171153344243</v>
      </c>
      <c r="O21" s="178">
        <f>QUARTILE(O8:O13,1)</f>
        <v>17.042160781398305</v>
      </c>
      <c r="P21" s="178">
        <f>QUARTILE(P8:P13,1)</f>
        <v>-106.60749999999999</v>
      </c>
      <c r="Q21" s="178">
        <f>QUARTILE(Q8:Q13,1)</f>
        <v>7.5274999999999999</v>
      </c>
      <c r="R21" s="273">
        <f>QUARTILE(R8:R13,1)</f>
        <v>4669.25</v>
      </c>
    </row>
    <row r="22" spans="2:29" x14ac:dyDescent="0.3">
      <c r="B22" s="176" t="s">
        <v>204</v>
      </c>
      <c r="C22" s="176"/>
      <c r="D22" s="176"/>
      <c r="E22" s="176"/>
      <c r="F22" s="176"/>
      <c r="G22" s="176"/>
      <c r="H22" s="176"/>
      <c r="I22" s="176"/>
      <c r="J22" s="176"/>
      <c r="K22" s="176"/>
      <c r="L22" s="176"/>
      <c r="M22" s="176"/>
      <c r="N22" s="177">
        <f>MIN(N8:N13)</f>
        <v>6.6401418160330907</v>
      </c>
      <c r="O22" s="177">
        <f>MIN(O8:O13)</f>
        <v>-128.36532688315921</v>
      </c>
      <c r="P22" s="177">
        <f>MIN(P8:P13)</f>
        <v>-156.09</v>
      </c>
      <c r="Q22" s="177">
        <f>MIN(Q8:Q13)</f>
        <v>4.7300000000000004</v>
      </c>
      <c r="R22" s="272">
        <f>MIN(R8:R13)</f>
        <v>3039</v>
      </c>
    </row>
    <row r="24" spans="2:29" ht="6.6" customHeight="1" x14ac:dyDescent="0.3"/>
    <row r="25" spans="2:29" ht="16.2" x14ac:dyDescent="0.3">
      <c r="B25" s="334" t="str">
        <f>B3</f>
        <v>Comparable Company Valuation (Relative Valuation) - Twitter Inc.</v>
      </c>
      <c r="C25" s="334"/>
      <c r="D25" s="334"/>
      <c r="E25" s="334"/>
      <c r="F25" s="334"/>
      <c r="G25" s="53"/>
      <c r="H25" s="180"/>
      <c r="I25" s="180"/>
      <c r="J25" s="180"/>
      <c r="K25" s="180"/>
      <c r="L25" s="180"/>
      <c r="M25" s="180"/>
      <c r="N25" s="56" t="s">
        <v>176</v>
      </c>
      <c r="O25" s="56" t="s">
        <v>177</v>
      </c>
      <c r="P25" s="56" t="s">
        <v>178</v>
      </c>
      <c r="Q25" s="56" t="s">
        <v>328</v>
      </c>
      <c r="R25" s="56" t="s">
        <v>330</v>
      </c>
    </row>
    <row r="26" spans="2:29" ht="4.8" customHeight="1" x14ac:dyDescent="0.3"/>
    <row r="27" spans="2:29" x14ac:dyDescent="0.3">
      <c r="B27" t="s">
        <v>205</v>
      </c>
      <c r="N27" s="3">
        <f>N20*J8</f>
        <v>40433.038796796842</v>
      </c>
      <c r="O27" s="3">
        <f>O19*K8</f>
        <v>5267.2177292555907</v>
      </c>
      <c r="P27" s="3">
        <f>P29-P28</f>
        <v>-2187.4275499999994</v>
      </c>
      <c r="Q27" s="3">
        <f>Q29-Q28</f>
        <v>-9971.846017031241</v>
      </c>
      <c r="R27" s="3">
        <f>Q20*R8</f>
        <v>56410.04</v>
      </c>
    </row>
    <row r="28" spans="2:29" x14ac:dyDescent="0.3">
      <c r="B28" t="s">
        <v>206</v>
      </c>
      <c r="N28" s="3">
        <f>$G$8</f>
        <v>-3360</v>
      </c>
      <c r="O28" s="3">
        <f t="shared" ref="O28:R28" si="2">$G$8</f>
        <v>-3360</v>
      </c>
      <c r="P28" s="3">
        <f t="shared" si="2"/>
        <v>-3360</v>
      </c>
      <c r="Q28" s="3">
        <f t="shared" si="2"/>
        <v>-3360</v>
      </c>
      <c r="R28" s="3">
        <f t="shared" si="2"/>
        <v>-3360</v>
      </c>
    </row>
    <row r="29" spans="2:29" x14ac:dyDescent="0.3">
      <c r="B29" t="s">
        <v>207</v>
      </c>
      <c r="N29" s="3">
        <f>N27+N28</f>
        <v>37073.038796796842</v>
      </c>
      <c r="O29" s="3">
        <f>O27+O28</f>
        <v>1907.2177292555907</v>
      </c>
      <c r="P29" s="63">
        <f>P20*L8</f>
        <v>-5547.4275499999994</v>
      </c>
      <c r="Q29" s="63">
        <f>Q32*Q30</f>
        <v>-13331.846017031241</v>
      </c>
      <c r="R29" s="3">
        <f>R27+R28</f>
        <v>53050.04</v>
      </c>
    </row>
    <row r="30" spans="2:29" x14ac:dyDescent="0.3">
      <c r="B30" t="s">
        <v>208</v>
      </c>
      <c r="N30" s="71">
        <f>'Raw Data for Relative Valuation'!F5</f>
        <v>798</v>
      </c>
      <c r="O30" s="71">
        <f>N30</f>
        <v>798</v>
      </c>
      <c r="P30" s="71">
        <f>O30</f>
        <v>798</v>
      </c>
      <c r="Q30" s="71">
        <f>P30</f>
        <v>798</v>
      </c>
      <c r="R30" s="71">
        <f>Q30</f>
        <v>798</v>
      </c>
      <c r="T30" s="62" t="s">
        <v>43</v>
      </c>
    </row>
    <row r="31" spans="2:29" ht="2.4" customHeight="1" thickBot="1" x14ac:dyDescent="0.35">
      <c r="N31" s="3"/>
      <c r="O31" s="3"/>
      <c r="P31" s="3"/>
      <c r="Q31" s="3"/>
      <c r="R31" s="3"/>
    </row>
    <row r="32" spans="2:29" ht="15" thickBot="1" x14ac:dyDescent="0.35">
      <c r="B32" s="181" t="s">
        <v>209</v>
      </c>
      <c r="C32" s="181"/>
      <c r="D32" s="181"/>
      <c r="E32" s="181"/>
      <c r="F32" s="181"/>
      <c r="G32" s="181"/>
      <c r="H32" s="181"/>
      <c r="I32" s="181"/>
      <c r="J32" s="181"/>
      <c r="K32" s="181"/>
      <c r="L32" s="181"/>
      <c r="M32" s="181"/>
      <c r="N32" s="182">
        <f>N29/N30</f>
        <v>46.457442101249178</v>
      </c>
      <c r="O32" s="182">
        <f t="shared" ref="O32:R32" si="3">O29/O30</f>
        <v>2.3899971544556275</v>
      </c>
      <c r="P32" s="182">
        <f t="shared" si="3"/>
        <v>-6.951663596491227</v>
      </c>
      <c r="Q32" s="182">
        <f>'Forecasting-EPS of Twitter'!D10*'Twitter-Comp company Valuation'!P20</f>
        <v>-16.706573956179501</v>
      </c>
      <c r="R32" s="182">
        <f t="shared" si="3"/>
        <v>66.478746867167928</v>
      </c>
      <c r="T32" s="342" t="s">
        <v>336</v>
      </c>
      <c r="U32" s="342"/>
      <c r="V32" s="342"/>
      <c r="W32" s="342"/>
      <c r="X32" s="342"/>
      <c r="Y32" s="342"/>
      <c r="Z32" s="342"/>
      <c r="AA32" s="342"/>
      <c r="AB32" s="342"/>
      <c r="AC32" s="342"/>
    </row>
    <row r="33" spans="2:29" ht="16.2" x14ac:dyDescent="0.3">
      <c r="P33" s="275" t="str">
        <f>T30</f>
        <v>Note 1</v>
      </c>
      <c r="T33" s="342"/>
      <c r="U33" s="342"/>
      <c r="V33" s="342"/>
      <c r="W33" s="342"/>
      <c r="X33" s="342"/>
      <c r="Y33" s="342"/>
      <c r="Z33" s="342"/>
      <c r="AA33" s="342"/>
      <c r="AB33" s="342"/>
      <c r="AC33" s="342"/>
    </row>
    <row r="34" spans="2:29" x14ac:dyDescent="0.3">
      <c r="T34" s="342"/>
      <c r="U34" s="342"/>
      <c r="V34" s="342"/>
      <c r="W34" s="342"/>
      <c r="X34" s="342"/>
      <c r="Y34" s="342"/>
      <c r="Z34" s="342"/>
      <c r="AA34" s="342"/>
      <c r="AB34" s="342"/>
      <c r="AC34" s="342"/>
    </row>
    <row r="35" spans="2:29" ht="14.4" customHeight="1" x14ac:dyDescent="0.3">
      <c r="B35" s="382" t="s">
        <v>327</v>
      </c>
      <c r="N35" s="381" t="str">
        <f>IF(N32&gt;'DCF &amp; Sensitivity Analysis'!$E$56,"Elon Musk Underpaid","Elon Musk Overpaid")</f>
        <v>Elon Musk Overpaid</v>
      </c>
      <c r="O35" s="381" t="str">
        <f>IF(O32&gt;'DCF &amp; Sensitivity Analysis'!$E$56,"Elon Musk Underpaid","Elon Musk Overpaid")</f>
        <v>Elon Musk Overpaid</v>
      </c>
      <c r="P35" s="381" t="str">
        <f>IF(P32&gt;'DCF &amp; Sensitivity Analysis'!$E$56,"Elon Musk Underpaid","Elon Musk Overpaid")</f>
        <v>Elon Musk Overpaid</v>
      </c>
      <c r="Q35" s="381" t="str">
        <f>IF(Q32&gt;'DCF &amp; Sensitivity Analysis'!$E$56,"Elon Musk Underpaid","Elon Musk Overpaid")</f>
        <v>Elon Musk Overpaid</v>
      </c>
      <c r="R35" s="381" t="str">
        <f>IF(R32&gt;'DCF &amp; Sensitivity Analysis'!$E$56,"Elon Musk Underpaid","Elon Musk Overpaid")</f>
        <v>Elon Musk Underpaid</v>
      </c>
      <c r="T35" s="342"/>
      <c r="U35" s="342"/>
      <c r="V35" s="342"/>
      <c r="W35" s="342"/>
      <c r="X35" s="342"/>
      <c r="Y35" s="342"/>
      <c r="Z35" s="342"/>
      <c r="AA35" s="342"/>
      <c r="AB35" s="342"/>
      <c r="AC35" s="342"/>
    </row>
    <row r="36" spans="2:29" x14ac:dyDescent="0.3">
      <c r="B36" s="382"/>
      <c r="N36" s="381"/>
      <c r="O36" s="381"/>
      <c r="P36" s="381"/>
      <c r="Q36" s="381"/>
      <c r="R36" s="381"/>
      <c r="T36" s="342"/>
      <c r="U36" s="342"/>
      <c r="V36" s="342"/>
      <c r="W36" s="342"/>
      <c r="X36" s="342"/>
      <c r="Y36" s="342"/>
      <c r="Z36" s="342"/>
      <c r="AA36" s="342"/>
      <c r="AB36" s="342"/>
      <c r="AC36" s="342"/>
    </row>
    <row r="37" spans="2:29" x14ac:dyDescent="0.3">
      <c r="B37" s="183"/>
      <c r="N37" s="133"/>
      <c r="O37" s="133"/>
      <c r="P37" s="133"/>
      <c r="T37" s="342"/>
      <c r="U37" s="342"/>
      <c r="V37" s="342"/>
      <c r="W37" s="342"/>
      <c r="X37" s="342"/>
      <c r="Y37" s="342"/>
      <c r="Z37" s="342"/>
      <c r="AA37" s="342"/>
      <c r="AB37" s="342"/>
      <c r="AC37" s="342"/>
    </row>
    <row r="38" spans="2:29" x14ac:dyDescent="0.3">
      <c r="B38" s="62" t="s">
        <v>210</v>
      </c>
    </row>
    <row r="39" spans="2:29" x14ac:dyDescent="0.3">
      <c r="B39" s="371" t="s">
        <v>337</v>
      </c>
      <c r="C39" s="371"/>
      <c r="D39" s="371"/>
      <c r="E39" s="371"/>
      <c r="F39" s="371"/>
      <c r="G39" s="371"/>
      <c r="H39" s="371"/>
      <c r="I39" s="371"/>
      <c r="J39" s="371"/>
      <c r="K39" s="371"/>
      <c r="L39" s="371"/>
      <c r="M39" s="371"/>
      <c r="N39" s="371"/>
    </row>
    <row r="40" spans="2:29" x14ac:dyDescent="0.3">
      <c r="B40" s="371"/>
      <c r="C40" s="371"/>
      <c r="D40" s="371"/>
      <c r="E40" s="371"/>
      <c r="F40" s="371"/>
      <c r="G40" s="371"/>
      <c r="H40" s="371"/>
      <c r="I40" s="371"/>
      <c r="J40" s="371"/>
      <c r="K40" s="371"/>
      <c r="L40" s="371"/>
      <c r="M40" s="371"/>
      <c r="N40" s="371"/>
    </row>
    <row r="41" spans="2:29" x14ac:dyDescent="0.3">
      <c r="B41" s="371"/>
      <c r="C41" s="371"/>
      <c r="D41" s="371"/>
      <c r="E41" s="371"/>
      <c r="F41" s="371"/>
      <c r="G41" s="371"/>
      <c r="H41" s="371"/>
      <c r="I41" s="371"/>
      <c r="J41" s="371"/>
      <c r="K41" s="371"/>
      <c r="L41" s="371"/>
      <c r="M41" s="371"/>
      <c r="N41" s="371"/>
    </row>
    <row r="42" spans="2:29" x14ac:dyDescent="0.3">
      <c r="B42" s="371"/>
      <c r="C42" s="371"/>
      <c r="D42" s="371"/>
      <c r="E42" s="371"/>
      <c r="F42" s="371"/>
      <c r="G42" s="371"/>
      <c r="H42" s="371"/>
      <c r="I42" s="371"/>
      <c r="J42" s="371"/>
      <c r="K42" s="371"/>
      <c r="L42" s="371"/>
      <c r="M42" s="371"/>
      <c r="N42" s="371"/>
    </row>
    <row r="43" spans="2:29" x14ac:dyDescent="0.3">
      <c r="B43" s="371"/>
      <c r="C43" s="371"/>
      <c r="D43" s="371"/>
      <c r="E43" s="371"/>
      <c r="F43" s="371"/>
      <c r="G43" s="371"/>
      <c r="H43" s="371"/>
      <c r="I43" s="371"/>
      <c r="J43" s="371"/>
      <c r="K43" s="371"/>
      <c r="L43" s="371"/>
      <c r="M43" s="371"/>
      <c r="N43" s="371"/>
    </row>
    <row r="44" spans="2:29" x14ac:dyDescent="0.3">
      <c r="B44" s="371"/>
      <c r="C44" s="371"/>
      <c r="D44" s="371"/>
      <c r="E44" s="371"/>
      <c r="F44" s="371"/>
      <c r="G44" s="371"/>
      <c r="H44" s="371"/>
      <c r="I44" s="371"/>
      <c r="J44" s="371"/>
      <c r="K44" s="371"/>
      <c r="L44" s="371"/>
      <c r="M44" s="371"/>
      <c r="N44" s="371"/>
    </row>
    <row r="45" spans="2:29" x14ac:dyDescent="0.3">
      <c r="B45" s="371"/>
      <c r="C45" s="371"/>
      <c r="D45" s="371"/>
      <c r="E45" s="371"/>
      <c r="F45" s="371"/>
      <c r="G45" s="371"/>
      <c r="H45" s="371"/>
      <c r="I45" s="371"/>
      <c r="J45" s="371"/>
      <c r="K45" s="371"/>
      <c r="L45" s="371"/>
      <c r="M45" s="371"/>
      <c r="N45" s="371"/>
    </row>
    <row r="46" spans="2:29" x14ac:dyDescent="0.3">
      <c r="B46" s="371"/>
      <c r="C46" s="371"/>
      <c r="D46" s="371"/>
      <c r="E46" s="371"/>
      <c r="F46" s="371"/>
      <c r="G46" s="371"/>
      <c r="H46" s="371"/>
      <c r="I46" s="371"/>
      <c r="J46" s="371"/>
      <c r="K46" s="371"/>
      <c r="L46" s="371"/>
      <c r="M46" s="371"/>
      <c r="N46" s="371"/>
    </row>
    <row r="47" spans="2:29" x14ac:dyDescent="0.3">
      <c r="B47" s="371"/>
      <c r="C47" s="371"/>
      <c r="D47" s="371"/>
      <c r="E47" s="371"/>
      <c r="F47" s="371"/>
      <c r="G47" s="371"/>
      <c r="H47" s="371"/>
      <c r="I47" s="371"/>
      <c r="J47" s="371"/>
      <c r="K47" s="371"/>
      <c r="L47" s="371"/>
      <c r="M47" s="371"/>
      <c r="N47" s="371"/>
    </row>
    <row r="48" spans="2:29" x14ac:dyDescent="0.3">
      <c r="B48" s="371"/>
      <c r="C48" s="371"/>
      <c r="D48" s="371"/>
      <c r="E48" s="371"/>
      <c r="F48" s="371"/>
      <c r="G48" s="371"/>
      <c r="H48" s="371"/>
      <c r="I48" s="371"/>
      <c r="J48" s="371"/>
      <c r="K48" s="371"/>
      <c r="L48" s="371"/>
      <c r="M48" s="371"/>
      <c r="N48" s="371"/>
    </row>
    <row r="49" spans="2:14" x14ac:dyDescent="0.3">
      <c r="B49" s="371"/>
      <c r="C49" s="371"/>
      <c r="D49" s="371"/>
      <c r="E49" s="371"/>
      <c r="F49" s="371"/>
      <c r="G49" s="371"/>
      <c r="H49" s="371"/>
      <c r="I49" s="371"/>
      <c r="J49" s="371"/>
      <c r="K49" s="371"/>
      <c r="L49" s="371"/>
      <c r="M49" s="371"/>
      <c r="N49" s="371"/>
    </row>
    <row r="50" spans="2:14" x14ac:dyDescent="0.3">
      <c r="B50" s="371"/>
      <c r="C50" s="371"/>
      <c r="D50" s="371"/>
      <c r="E50" s="371"/>
      <c r="F50" s="371"/>
      <c r="G50" s="371"/>
      <c r="H50" s="371"/>
      <c r="I50" s="371"/>
      <c r="J50" s="371"/>
      <c r="K50" s="371"/>
      <c r="L50" s="371"/>
      <c r="M50" s="371"/>
      <c r="N50" s="371"/>
    </row>
    <row r="51" spans="2:14" x14ac:dyDescent="0.3">
      <c r="B51" s="371"/>
      <c r="C51" s="371"/>
      <c r="D51" s="371"/>
      <c r="E51" s="371"/>
      <c r="F51" s="371"/>
      <c r="G51" s="371"/>
      <c r="H51" s="371"/>
      <c r="I51" s="371"/>
      <c r="J51" s="371"/>
      <c r="K51" s="371"/>
      <c r="L51" s="371"/>
      <c r="M51" s="371"/>
      <c r="N51" s="371"/>
    </row>
  </sheetData>
  <mergeCells count="13">
    <mergeCell ref="R35:R36"/>
    <mergeCell ref="T32:AC37"/>
    <mergeCell ref="B39:N51"/>
    <mergeCell ref="B35:B36"/>
    <mergeCell ref="N35:N36"/>
    <mergeCell ref="O35:O36"/>
    <mergeCell ref="P35:P36"/>
    <mergeCell ref="Q35:Q36"/>
    <mergeCell ref="B3:G3"/>
    <mergeCell ref="D5:H5"/>
    <mergeCell ref="J5:L5"/>
    <mergeCell ref="B25:F25"/>
    <mergeCell ref="N5:R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DE4A-69C2-4863-8BBC-76D8B50E76CA}">
  <dimension ref="B2:X12"/>
  <sheetViews>
    <sheetView showGridLines="0" workbookViewId="0">
      <selection activeCell="A5" sqref="A5"/>
    </sheetView>
  </sheetViews>
  <sheetFormatPr defaultRowHeight="14.4" x14ac:dyDescent="0.3"/>
  <cols>
    <col min="3" max="3" width="16.109375" bestFit="1" customWidth="1"/>
    <col min="6" max="6" width="22.33203125" customWidth="1"/>
    <col min="7" max="9" width="14.21875" customWidth="1"/>
    <col min="10" max="10" width="20.77734375" customWidth="1"/>
    <col min="11" max="12" width="25.44140625" customWidth="1"/>
    <col min="13" max="13" width="29.109375" bestFit="1" customWidth="1"/>
    <col min="16" max="16" width="18" customWidth="1"/>
  </cols>
  <sheetData>
    <row r="2" spans="2:24" x14ac:dyDescent="0.3">
      <c r="C2" s="383" t="s">
        <v>344</v>
      </c>
      <c r="D2" s="383"/>
      <c r="E2" s="383"/>
      <c r="F2" s="383"/>
      <c r="G2" s="383"/>
      <c r="H2" s="278"/>
      <c r="I2" s="278"/>
      <c r="J2" s="383" t="s">
        <v>235</v>
      </c>
      <c r="K2" s="383"/>
      <c r="L2" s="278"/>
      <c r="M2" s="278"/>
      <c r="N2" s="278"/>
    </row>
    <row r="3" spans="2:24" ht="36" customHeight="1" x14ac:dyDescent="0.3">
      <c r="B3" s="145" t="s">
        <v>191</v>
      </c>
      <c r="C3" s="145" t="s">
        <v>341</v>
      </c>
      <c r="D3" s="146" t="s">
        <v>199</v>
      </c>
      <c r="E3" s="146" t="s">
        <v>308</v>
      </c>
      <c r="F3" s="146" t="s">
        <v>342</v>
      </c>
      <c r="G3" s="146" t="s">
        <v>350</v>
      </c>
      <c r="H3" s="146" t="s">
        <v>185</v>
      </c>
      <c r="I3" s="279" t="s">
        <v>346</v>
      </c>
      <c r="J3" s="279" t="s">
        <v>351</v>
      </c>
      <c r="K3" s="146" t="s">
        <v>348</v>
      </c>
      <c r="L3" s="146" t="s">
        <v>349</v>
      </c>
      <c r="M3" s="146" t="s">
        <v>178</v>
      </c>
      <c r="N3" s="146" t="s">
        <v>330</v>
      </c>
      <c r="O3" s="146" t="s">
        <v>176</v>
      </c>
      <c r="P3" s="146" t="s">
        <v>177</v>
      </c>
      <c r="Q3" s="148"/>
      <c r="R3" s="148"/>
      <c r="S3" s="148"/>
      <c r="T3" s="148"/>
      <c r="U3" s="148"/>
      <c r="V3" s="148"/>
      <c r="W3" s="148"/>
      <c r="X3" s="148"/>
    </row>
    <row r="5" spans="2:24" x14ac:dyDescent="0.3">
      <c r="B5" s="62" t="s">
        <v>343</v>
      </c>
      <c r="C5">
        <f>(3.7)*10^9/10^6</f>
        <v>3700</v>
      </c>
      <c r="D5">
        <f>250</f>
        <v>250</v>
      </c>
      <c r="E5">
        <f>-150</f>
        <v>-150</v>
      </c>
      <c r="F5">
        <v>120</v>
      </c>
      <c r="G5">
        <f>F5*I5</f>
        <v>23520</v>
      </c>
      <c r="H5">
        <f>E5/F5</f>
        <v>-1.25</v>
      </c>
      <c r="I5">
        <v>196</v>
      </c>
      <c r="J5">
        <f>26.2*10^9/10^6</f>
        <v>26200</v>
      </c>
      <c r="K5" s="8">
        <f>(7.5*10^9/10^6)-(4.5*10^9/10^6)</f>
        <v>3000</v>
      </c>
      <c r="L5" s="8">
        <f>K5/F5</f>
        <v>25</v>
      </c>
      <c r="M5" s="99" t="s">
        <v>347</v>
      </c>
      <c r="N5">
        <f>I5/L5</f>
        <v>7.84</v>
      </c>
      <c r="O5">
        <f>J5/C5</f>
        <v>7.0810810810810807</v>
      </c>
      <c r="P5">
        <f>J5/D5</f>
        <v>104.8</v>
      </c>
    </row>
    <row r="7" spans="2:24" x14ac:dyDescent="0.3">
      <c r="C7" s="44"/>
    </row>
    <row r="9" spans="2:24" x14ac:dyDescent="0.3">
      <c r="B9" s="62" t="s">
        <v>46</v>
      </c>
    </row>
    <row r="10" spans="2:24" ht="14.4" customHeight="1" x14ac:dyDescent="0.3">
      <c r="B10" s="371" t="s">
        <v>345</v>
      </c>
      <c r="C10" s="371"/>
      <c r="D10" s="371"/>
      <c r="E10" s="371"/>
      <c r="F10" s="371"/>
      <c r="G10" s="371"/>
      <c r="H10" s="371"/>
      <c r="I10" s="371"/>
      <c r="J10" s="134"/>
      <c r="K10" s="134"/>
      <c r="L10" s="134"/>
      <c r="M10" s="134"/>
    </row>
    <row r="11" spans="2:24" x14ac:dyDescent="0.3">
      <c r="B11" s="371"/>
      <c r="C11" s="371"/>
      <c r="D11" s="371"/>
      <c r="E11" s="371"/>
      <c r="F11" s="371"/>
      <c r="G11" s="371"/>
      <c r="H11" s="371"/>
      <c r="I11" s="371"/>
      <c r="J11" s="134"/>
      <c r="K11" s="134"/>
      <c r="L11" s="134"/>
      <c r="M11" s="134"/>
    </row>
    <row r="12" spans="2:24" x14ac:dyDescent="0.3">
      <c r="B12" s="371"/>
      <c r="C12" s="371"/>
      <c r="D12" s="371"/>
      <c r="E12" s="371"/>
      <c r="F12" s="371"/>
      <c r="G12" s="371"/>
      <c r="H12" s="371"/>
      <c r="I12" s="371"/>
      <c r="J12" s="134"/>
      <c r="K12" s="134"/>
      <c r="L12" s="134"/>
      <c r="M12" s="134"/>
    </row>
  </sheetData>
  <mergeCells count="3">
    <mergeCell ref="C2:G2"/>
    <mergeCell ref="J2:K2"/>
    <mergeCell ref="B10:I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FB4F3-C4F4-47FF-A8A1-5D44DF890F6F}">
  <dimension ref="B2:P24"/>
  <sheetViews>
    <sheetView showGridLines="0" workbookViewId="0">
      <selection activeCell="B5" sqref="B5:L13"/>
    </sheetView>
  </sheetViews>
  <sheetFormatPr defaultRowHeight="14.4" x14ac:dyDescent="0.3"/>
  <cols>
    <col min="2" max="2" width="27.88671875" customWidth="1"/>
    <col min="14" max="16" width="16.77734375" customWidth="1"/>
  </cols>
  <sheetData>
    <row r="2" spans="2:16" x14ac:dyDescent="0.3">
      <c r="B2" s="334" t="str">
        <f>"Precedent Transaction Valuation "&amp;" - "&amp;WACC!$B$12</f>
        <v>Precedent Transaction Valuation  - Twitter Inc.</v>
      </c>
      <c r="C2" s="334"/>
      <c r="D2" s="334"/>
      <c r="E2" s="334"/>
      <c r="F2" s="334"/>
      <c r="G2" s="334"/>
    </row>
    <row r="4" spans="2:16" x14ac:dyDescent="0.3">
      <c r="B4" s="62" t="s">
        <v>156</v>
      </c>
    </row>
    <row r="5" spans="2:16" ht="14.4" customHeight="1" x14ac:dyDescent="0.3">
      <c r="B5" s="371" t="s">
        <v>340</v>
      </c>
      <c r="C5" s="371"/>
      <c r="D5" s="371"/>
      <c r="E5" s="371"/>
      <c r="F5" s="371"/>
      <c r="G5" s="371"/>
      <c r="H5" s="371"/>
      <c r="I5" s="371"/>
      <c r="J5" s="371"/>
      <c r="K5" s="371"/>
      <c r="L5" s="371"/>
    </row>
    <row r="6" spans="2:16" x14ac:dyDescent="0.3">
      <c r="B6" s="371"/>
      <c r="C6" s="371"/>
      <c r="D6" s="371"/>
      <c r="E6" s="371"/>
      <c r="F6" s="371"/>
      <c r="G6" s="371"/>
      <c r="H6" s="371"/>
      <c r="I6" s="371"/>
      <c r="J6" s="371"/>
      <c r="K6" s="371"/>
      <c r="L6" s="371"/>
    </row>
    <row r="7" spans="2:16" x14ac:dyDescent="0.3">
      <c r="B7" s="371"/>
      <c r="C7" s="371"/>
      <c r="D7" s="371"/>
      <c r="E7" s="371"/>
      <c r="F7" s="371"/>
      <c r="G7" s="371"/>
      <c r="H7" s="371"/>
      <c r="I7" s="371"/>
      <c r="J7" s="371"/>
      <c r="K7" s="371"/>
      <c r="L7" s="371"/>
    </row>
    <row r="8" spans="2:16" x14ac:dyDescent="0.3">
      <c r="B8" s="371"/>
      <c r="C8" s="371"/>
      <c r="D8" s="371"/>
      <c r="E8" s="371"/>
      <c r="F8" s="371"/>
      <c r="G8" s="371"/>
      <c r="H8" s="371"/>
      <c r="I8" s="371"/>
      <c r="J8" s="371"/>
      <c r="K8" s="371"/>
      <c r="L8" s="371"/>
    </row>
    <row r="9" spans="2:16" x14ac:dyDescent="0.3">
      <c r="B9" s="371"/>
      <c r="C9" s="371"/>
      <c r="D9" s="371"/>
      <c r="E9" s="371"/>
      <c r="F9" s="371"/>
      <c r="G9" s="371"/>
      <c r="H9" s="371"/>
      <c r="I9" s="371"/>
      <c r="J9" s="371"/>
      <c r="K9" s="371"/>
      <c r="L9" s="371"/>
    </row>
    <row r="10" spans="2:16" x14ac:dyDescent="0.3">
      <c r="B10" s="371"/>
      <c r="C10" s="371"/>
      <c r="D10" s="371"/>
      <c r="E10" s="371"/>
      <c r="F10" s="371"/>
      <c r="G10" s="371"/>
      <c r="H10" s="371"/>
      <c r="I10" s="371"/>
      <c r="J10" s="371"/>
      <c r="K10" s="371"/>
      <c r="L10" s="371"/>
    </row>
    <row r="11" spans="2:16" x14ac:dyDescent="0.3">
      <c r="B11" s="371"/>
      <c r="C11" s="371"/>
      <c r="D11" s="371"/>
      <c r="E11" s="371"/>
      <c r="F11" s="371"/>
      <c r="G11" s="371"/>
      <c r="H11" s="371"/>
      <c r="I11" s="371"/>
      <c r="J11" s="371"/>
      <c r="K11" s="371"/>
      <c r="L11" s="371"/>
    </row>
    <row r="12" spans="2:16" x14ac:dyDescent="0.3">
      <c r="B12" s="371"/>
      <c r="C12" s="371"/>
      <c r="D12" s="371"/>
      <c r="E12" s="371"/>
      <c r="F12" s="371"/>
      <c r="G12" s="371"/>
      <c r="H12" s="371"/>
      <c r="I12" s="371"/>
      <c r="J12" s="371"/>
      <c r="K12" s="371"/>
      <c r="L12" s="371"/>
    </row>
    <row r="13" spans="2:16" x14ac:dyDescent="0.3">
      <c r="B13" s="371"/>
      <c r="C13" s="371"/>
      <c r="D13" s="371"/>
      <c r="E13" s="371"/>
      <c r="F13" s="371"/>
      <c r="G13" s="371"/>
      <c r="H13" s="371"/>
      <c r="I13" s="371"/>
      <c r="J13" s="371"/>
      <c r="K13" s="371"/>
      <c r="L13" s="371"/>
    </row>
    <row r="14" spans="2:16" x14ac:dyDescent="0.3">
      <c r="B14" s="79"/>
      <c r="C14" s="79"/>
      <c r="D14" s="79"/>
      <c r="E14" s="79"/>
      <c r="F14" s="79"/>
      <c r="G14" s="79"/>
      <c r="H14" s="79"/>
    </row>
    <row r="15" spans="2:16" ht="15" customHeight="1" x14ac:dyDescent="0.3">
      <c r="B15" s="334" t="str">
        <f>B2</f>
        <v>Precedent Transaction Valuation  - Twitter Inc.</v>
      </c>
      <c r="C15" s="334"/>
      <c r="D15" s="334"/>
      <c r="E15" s="334"/>
      <c r="F15" s="334"/>
      <c r="G15" s="53"/>
      <c r="H15" s="180"/>
      <c r="I15" s="180"/>
      <c r="J15" s="180"/>
      <c r="K15" s="180"/>
      <c r="L15" s="180"/>
      <c r="M15" s="180"/>
      <c r="N15" s="56" t="s">
        <v>176</v>
      </c>
      <c r="O15" s="56" t="s">
        <v>177</v>
      </c>
      <c r="P15" s="56" t="s">
        <v>330</v>
      </c>
    </row>
    <row r="17" spans="2:16" x14ac:dyDescent="0.3">
      <c r="B17" t="s">
        <v>205</v>
      </c>
      <c r="N17" s="3">
        <f>'Raw data for precedent analysis'!O5*'Twitter-Comp company Valuation'!J8</f>
        <v>35950.648648648646</v>
      </c>
      <c r="O17" s="3">
        <f>'Raw data for precedent analysis'!P5*'Twitter-Comp company Valuation'!K8</f>
        <v>19379.615999999998</v>
      </c>
      <c r="P17" s="3">
        <f>'Raw data for precedent analysis'!N5*'Twitter-Comp company Valuation'!R8</f>
        <v>57286.879999999997</v>
      </c>
    </row>
    <row r="18" spans="2:16" x14ac:dyDescent="0.3">
      <c r="B18" t="s">
        <v>206</v>
      </c>
      <c r="N18" s="3">
        <f>'Twitter-Comp company Valuation'!N28</f>
        <v>-3360</v>
      </c>
      <c r="O18" s="3">
        <f>N18</f>
        <v>-3360</v>
      </c>
      <c r="P18" s="3">
        <f>O18</f>
        <v>-3360</v>
      </c>
    </row>
    <row r="19" spans="2:16" x14ac:dyDescent="0.3">
      <c r="B19" t="s">
        <v>207</v>
      </c>
      <c r="N19" s="3">
        <f>N17+N18</f>
        <v>32590.648648648646</v>
      </c>
      <c r="O19" s="3">
        <f>O17+O18</f>
        <v>16019.615999999998</v>
      </c>
      <c r="P19" s="3">
        <f>P17+P18</f>
        <v>53926.879999999997</v>
      </c>
    </row>
    <row r="20" spans="2:16" ht="15" thickBot="1" x14ac:dyDescent="0.35">
      <c r="B20" t="s">
        <v>208</v>
      </c>
      <c r="N20" s="3">
        <f>'Twitter-Comp company Valuation'!N30</f>
        <v>798</v>
      </c>
      <c r="O20" s="71">
        <f>N20</f>
        <v>798</v>
      </c>
      <c r="P20" s="71">
        <f>O20</f>
        <v>798</v>
      </c>
    </row>
    <row r="21" spans="2:16" ht="15" thickBot="1" x14ac:dyDescent="0.35">
      <c r="B21" s="181" t="s">
        <v>209</v>
      </c>
      <c r="C21" s="181"/>
      <c r="D21" s="181"/>
      <c r="E21" s="181"/>
      <c r="F21" s="181"/>
      <c r="G21" s="181"/>
      <c r="H21" s="181"/>
      <c r="I21" s="181"/>
      <c r="J21" s="181"/>
      <c r="K21" s="181"/>
      <c r="L21" s="181"/>
      <c r="M21" s="181"/>
      <c r="N21" s="182">
        <f>N19/N20</f>
        <v>40.840411840411839</v>
      </c>
      <c r="O21" s="182">
        <f>O19/O20</f>
        <v>20.074706766917291</v>
      </c>
      <c r="P21" s="182">
        <f>P19/P20</f>
        <v>67.577543859649126</v>
      </c>
    </row>
    <row r="23" spans="2:16" x14ac:dyDescent="0.3">
      <c r="N23" s="381" t="str">
        <f>IF(N21&gt;'DCF &amp; Sensitivity Analysis'!$E$56,"Elon Musk Underpaid","Elon Musk Overpaid")</f>
        <v>Elon Musk Overpaid</v>
      </c>
      <c r="O23" s="381" t="str">
        <f>IF(O21&gt;'DCF &amp; Sensitivity Analysis'!$E$56,"Elon Musk Underpaid","Elon Musk Overpaid")</f>
        <v>Elon Musk Overpaid</v>
      </c>
      <c r="P23" s="381" t="str">
        <f>IF(P21&gt;'DCF &amp; Sensitivity Analysis'!$E$56,"Elon Musk Underpaid","Elon Musk Overpaid")</f>
        <v>Elon Musk Underpaid</v>
      </c>
    </row>
    <row r="24" spans="2:16" x14ac:dyDescent="0.3">
      <c r="B24" s="62" t="s">
        <v>327</v>
      </c>
      <c r="N24" s="381"/>
      <c r="O24" s="381"/>
      <c r="P24" s="381"/>
    </row>
  </sheetData>
  <mergeCells count="6">
    <mergeCell ref="O23:O24"/>
    <mergeCell ref="P23:P24"/>
    <mergeCell ref="B2:G2"/>
    <mergeCell ref="B5:L13"/>
    <mergeCell ref="B15:F15"/>
    <mergeCell ref="N23:N2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B2F40-368F-4FCA-A1FA-00093BDBC3E7}">
  <dimension ref="B2:S39"/>
  <sheetViews>
    <sheetView showGridLines="0" workbookViewId="0">
      <selection activeCell="K17" sqref="K17"/>
    </sheetView>
  </sheetViews>
  <sheetFormatPr defaultRowHeight="14.4" x14ac:dyDescent="0.3"/>
  <cols>
    <col min="14" max="14" width="30.77734375" customWidth="1"/>
    <col min="15" max="18" width="10.109375" bestFit="1" customWidth="1"/>
  </cols>
  <sheetData>
    <row r="2" spans="2:18" x14ac:dyDescent="0.3">
      <c r="B2" s="334" t="str">
        <f>"Football Field Analysis"&amp;" - "&amp;WACC!B12</f>
        <v>Football Field Analysis - Twitter Inc.</v>
      </c>
      <c r="C2" s="334"/>
      <c r="D2" s="334"/>
      <c r="E2" s="334"/>
      <c r="F2" s="334"/>
      <c r="G2" s="334"/>
      <c r="H2" s="334"/>
      <c r="I2" s="334"/>
      <c r="N2" s="346" t="s">
        <v>211</v>
      </c>
      <c r="O2" s="346"/>
      <c r="P2" s="346"/>
      <c r="Q2" s="346"/>
      <c r="R2" s="346"/>
    </row>
    <row r="3" spans="2:18" x14ac:dyDescent="0.3">
      <c r="O3" s="184" t="s">
        <v>212</v>
      </c>
      <c r="P3" s="184" t="s">
        <v>204</v>
      </c>
      <c r="Q3" s="184" t="s">
        <v>213</v>
      </c>
      <c r="R3" s="184" t="s">
        <v>201</v>
      </c>
    </row>
    <row r="4" spans="2:18" x14ac:dyDescent="0.3">
      <c r="M4" s="29" t="s">
        <v>34</v>
      </c>
      <c r="N4" s="76" t="s">
        <v>215</v>
      </c>
      <c r="O4" s="185">
        <f>P4</f>
        <v>-16.706573956179501</v>
      </c>
      <c r="P4" s="185">
        <f>MIN('Twitter-Comp company Valuation'!N32:R32)</f>
        <v>-16.706573956179501</v>
      </c>
      <c r="Q4" s="185">
        <f>R4</f>
        <v>66.478746867167928</v>
      </c>
      <c r="R4" s="185">
        <f>MAX('Twitter-Comp company Valuation'!N32:R32)</f>
        <v>66.478746867167928</v>
      </c>
    </row>
    <row r="5" spans="2:18" x14ac:dyDescent="0.3">
      <c r="M5" s="29" t="s">
        <v>216</v>
      </c>
      <c r="N5" s="76" t="s">
        <v>217</v>
      </c>
      <c r="O5" s="185">
        <f>P5</f>
        <v>11.960587754468341</v>
      </c>
      <c r="P5" s="185">
        <f>MIN('Compr Scenario Analysis-DCF'!D6:D10)</f>
        <v>11.960587754468341</v>
      </c>
      <c r="Q5" s="185">
        <f>R5</f>
        <v>120.12603465590949</v>
      </c>
      <c r="R5" s="185">
        <f>MAX('Compr Scenario Analysis-DCF'!D6:D10)</f>
        <v>120.12603465590949</v>
      </c>
    </row>
    <row r="6" spans="2:18" x14ac:dyDescent="0.3">
      <c r="M6" s="29" t="s">
        <v>221</v>
      </c>
      <c r="N6" s="76" t="s">
        <v>219</v>
      </c>
      <c r="O6" s="185">
        <f>P6</f>
        <v>40.54208101192205</v>
      </c>
      <c r="P6" s="185">
        <f>MIN('Compr Scenario Analysis-DCF'!C6:C10)</f>
        <v>40.54208101192205</v>
      </c>
      <c r="Q6" s="185">
        <f>R6</f>
        <v>40.54208101192205</v>
      </c>
      <c r="R6" s="185">
        <f>MAX('Compr Scenario Analysis-DCF'!C6:C10)</f>
        <v>40.54208101192205</v>
      </c>
    </row>
    <row r="7" spans="2:18" x14ac:dyDescent="0.3">
      <c r="M7" s="29" t="s">
        <v>214</v>
      </c>
      <c r="N7" s="76" t="s">
        <v>220</v>
      </c>
      <c r="O7" s="185">
        <f>P7</f>
        <v>28.550489533484487</v>
      </c>
      <c r="P7" s="185">
        <f>MIN('Compr Scenario Analysis-DCF'!E6:E10)</f>
        <v>28.550489533484487</v>
      </c>
      <c r="Q7" s="185">
        <f>R7</f>
        <v>41.60763021660766</v>
      </c>
      <c r="R7" s="185">
        <f>MAX('Compr Scenario Analysis-DCF'!E6:E10)</f>
        <v>41.60763021660766</v>
      </c>
    </row>
    <row r="8" spans="2:18" x14ac:dyDescent="0.3">
      <c r="M8" s="29" t="s">
        <v>218</v>
      </c>
      <c r="N8" s="76" t="s">
        <v>352</v>
      </c>
      <c r="O8" s="185">
        <f>P8</f>
        <v>20.074706766917291</v>
      </c>
      <c r="P8" s="63">
        <f>MIN('Precedent Transaction Valuation'!N21:P21)</f>
        <v>20.074706766917291</v>
      </c>
      <c r="Q8" s="185">
        <f>R8</f>
        <v>67.577543859649126</v>
      </c>
      <c r="R8" s="185">
        <f>MAX('Precedent Transaction Valuation'!N21:P21)</f>
        <v>67.577543859649126</v>
      </c>
    </row>
    <row r="11" spans="2:18" x14ac:dyDescent="0.3">
      <c r="M11" s="29" t="s">
        <v>34</v>
      </c>
    </row>
    <row r="12" spans="2:18" x14ac:dyDescent="0.3">
      <c r="M12" s="371" t="s">
        <v>222</v>
      </c>
      <c r="N12" s="371"/>
      <c r="O12" s="371"/>
      <c r="P12" s="371"/>
      <c r="Q12" s="371"/>
      <c r="R12" s="371"/>
    </row>
    <row r="13" spans="2:18" x14ac:dyDescent="0.3">
      <c r="M13" s="371"/>
      <c r="N13" s="371"/>
      <c r="O13" s="371"/>
      <c r="P13" s="371"/>
      <c r="Q13" s="371"/>
      <c r="R13" s="371"/>
    </row>
    <row r="16" spans="2:18" x14ac:dyDescent="0.3">
      <c r="M16" s="29" t="s">
        <v>216</v>
      </c>
    </row>
    <row r="17" spans="2:19" ht="14.4" customHeight="1" x14ac:dyDescent="0.3">
      <c r="M17" s="99" t="s">
        <v>353</v>
      </c>
    </row>
    <row r="19" spans="2:19" x14ac:dyDescent="0.3">
      <c r="M19" s="29" t="s">
        <v>221</v>
      </c>
    </row>
    <row r="20" spans="2:19" x14ac:dyDescent="0.3">
      <c r="B20" s="62" t="s">
        <v>156</v>
      </c>
      <c r="M20" s="99" t="s">
        <v>223</v>
      </c>
      <c r="N20" s="79"/>
      <c r="O20" s="79"/>
      <c r="P20" s="79"/>
      <c r="Q20" s="79"/>
      <c r="R20" s="79"/>
    </row>
    <row r="21" spans="2:19" ht="31.8" customHeight="1" x14ac:dyDescent="0.3">
      <c r="B21" s="342" t="s">
        <v>373</v>
      </c>
      <c r="C21" s="342"/>
      <c r="D21" s="342"/>
      <c r="E21" s="342"/>
      <c r="F21" s="342"/>
      <c r="G21" s="342"/>
      <c r="H21" s="342"/>
      <c r="I21" s="342"/>
      <c r="J21" s="342"/>
      <c r="N21" s="79"/>
      <c r="O21" s="79"/>
      <c r="P21" s="79"/>
      <c r="Q21" s="79"/>
      <c r="R21" s="79"/>
    </row>
    <row r="22" spans="2:19" x14ac:dyDescent="0.3">
      <c r="B22" s="342"/>
      <c r="C22" s="342"/>
      <c r="D22" s="342"/>
      <c r="E22" s="342"/>
      <c r="F22" s="342"/>
      <c r="G22" s="342"/>
      <c r="H22" s="342"/>
      <c r="I22" s="342"/>
      <c r="J22" s="342"/>
      <c r="M22" s="29" t="s">
        <v>214</v>
      </c>
    </row>
    <row r="23" spans="2:19" x14ac:dyDescent="0.3">
      <c r="B23" s="342"/>
      <c r="C23" s="342"/>
      <c r="D23" s="342"/>
      <c r="E23" s="342"/>
      <c r="F23" s="342"/>
      <c r="G23" s="342"/>
      <c r="H23" s="342"/>
      <c r="I23" s="342"/>
      <c r="J23" s="342"/>
      <c r="M23" s="99" t="s">
        <v>354</v>
      </c>
    </row>
    <row r="24" spans="2:19" x14ac:dyDescent="0.3">
      <c r="B24" s="342"/>
      <c r="C24" s="342"/>
      <c r="D24" s="342"/>
      <c r="E24" s="342"/>
      <c r="F24" s="342"/>
      <c r="G24" s="342"/>
      <c r="H24" s="342"/>
      <c r="I24" s="342"/>
      <c r="J24" s="342"/>
    </row>
    <row r="25" spans="2:19" ht="28.2" customHeight="1" x14ac:dyDescent="0.3">
      <c r="B25" s="342"/>
      <c r="C25" s="342"/>
      <c r="D25" s="342"/>
      <c r="E25" s="342"/>
      <c r="F25" s="342"/>
      <c r="G25" s="342"/>
      <c r="H25" s="342"/>
      <c r="I25" s="342"/>
      <c r="J25" s="342"/>
      <c r="M25" s="29" t="s">
        <v>218</v>
      </c>
      <c r="N25" s="79"/>
      <c r="O25" s="79"/>
      <c r="P25" s="79"/>
      <c r="Q25" s="79"/>
      <c r="R25" s="79"/>
      <c r="S25" s="79"/>
    </row>
    <row r="26" spans="2:19" x14ac:dyDescent="0.3">
      <c r="B26" s="342"/>
      <c r="C26" s="342"/>
      <c r="D26" s="342"/>
      <c r="E26" s="342"/>
      <c r="F26" s="342"/>
      <c r="G26" s="342"/>
      <c r="H26" s="342"/>
      <c r="I26" s="342"/>
      <c r="J26" s="342"/>
      <c r="M26" s="371" t="s">
        <v>355</v>
      </c>
      <c r="N26" s="371"/>
      <c r="O26" s="371"/>
      <c r="P26" s="371"/>
      <c r="Q26" s="371"/>
      <c r="R26" s="371"/>
      <c r="S26" s="79"/>
    </row>
    <row r="27" spans="2:19" x14ac:dyDescent="0.3">
      <c r="B27" s="342"/>
      <c r="C27" s="342"/>
      <c r="D27" s="342"/>
      <c r="E27" s="342"/>
      <c r="F27" s="342"/>
      <c r="G27" s="342"/>
      <c r="H27" s="342"/>
      <c r="I27" s="342"/>
      <c r="J27" s="342"/>
      <c r="M27" s="371"/>
      <c r="N27" s="371"/>
      <c r="O27" s="371"/>
      <c r="P27" s="371"/>
      <c r="Q27" s="371"/>
      <c r="R27" s="371"/>
    </row>
    <row r="28" spans="2:19" x14ac:dyDescent="0.3">
      <c r="B28" s="342"/>
      <c r="C28" s="342"/>
      <c r="D28" s="342"/>
      <c r="E28" s="342"/>
      <c r="F28" s="342"/>
      <c r="G28" s="342"/>
      <c r="H28" s="342"/>
      <c r="I28" s="342"/>
      <c r="J28" s="342"/>
    </row>
    <row r="29" spans="2:19" x14ac:dyDescent="0.3">
      <c r="B29" s="342"/>
      <c r="C29" s="342"/>
      <c r="D29" s="342"/>
      <c r="E29" s="342"/>
      <c r="F29" s="342"/>
      <c r="G29" s="342"/>
      <c r="H29" s="342"/>
      <c r="I29" s="342"/>
      <c r="J29" s="342"/>
    </row>
    <row r="30" spans="2:19" ht="14.4" customHeight="1" x14ac:dyDescent="0.3">
      <c r="B30" s="342"/>
      <c r="C30" s="342"/>
      <c r="D30" s="342"/>
      <c r="E30" s="342"/>
      <c r="F30" s="342"/>
      <c r="G30" s="342"/>
      <c r="H30" s="342"/>
      <c r="I30" s="342"/>
      <c r="J30" s="342"/>
      <c r="K30" s="79"/>
      <c r="L30" s="79"/>
      <c r="M30" s="79"/>
      <c r="N30" s="79"/>
      <c r="O30" s="79"/>
    </row>
    <row r="31" spans="2:19" x14ac:dyDescent="0.3">
      <c r="B31" s="342"/>
      <c r="C31" s="342"/>
      <c r="D31" s="342"/>
      <c r="E31" s="342"/>
      <c r="F31" s="342"/>
      <c r="G31" s="342"/>
      <c r="H31" s="342"/>
      <c r="I31" s="342"/>
      <c r="J31" s="342"/>
      <c r="K31" s="79"/>
      <c r="L31" s="79"/>
      <c r="M31" s="79"/>
      <c r="N31" s="79"/>
      <c r="O31" s="79"/>
    </row>
    <row r="32" spans="2:19" x14ac:dyDescent="0.3">
      <c r="B32" s="79"/>
      <c r="C32" s="79"/>
      <c r="D32" s="79"/>
      <c r="E32" s="79"/>
      <c r="F32" s="79"/>
      <c r="G32" s="79"/>
      <c r="H32" s="79"/>
      <c r="I32" s="79"/>
      <c r="J32" s="79"/>
      <c r="K32" s="79"/>
      <c r="L32" s="79"/>
      <c r="M32" s="79"/>
      <c r="N32" s="79"/>
      <c r="O32" s="79"/>
    </row>
    <row r="33" spans="2:15" x14ac:dyDescent="0.3">
      <c r="B33" s="79"/>
      <c r="C33" s="79"/>
      <c r="D33" s="79"/>
      <c r="E33" s="79"/>
      <c r="F33" s="79"/>
      <c r="G33" s="79"/>
      <c r="H33" s="79"/>
      <c r="I33" s="79"/>
      <c r="J33" s="79"/>
      <c r="K33" s="79"/>
      <c r="L33" s="79"/>
      <c r="M33" s="79"/>
      <c r="N33" s="79"/>
      <c r="O33" s="79"/>
    </row>
    <row r="34" spans="2:15" x14ac:dyDescent="0.3">
      <c r="B34" s="79"/>
      <c r="C34" s="79"/>
      <c r="D34" s="79"/>
      <c r="E34" s="79"/>
      <c r="F34" s="79"/>
      <c r="G34" s="79"/>
      <c r="H34" s="79"/>
      <c r="I34" s="79"/>
      <c r="J34" s="79"/>
      <c r="K34" s="79"/>
      <c r="L34" s="79"/>
      <c r="M34" s="79"/>
      <c r="N34" s="79"/>
      <c r="O34" s="79"/>
    </row>
    <row r="35" spans="2:15" x14ac:dyDescent="0.3">
      <c r="B35" s="79"/>
      <c r="C35" s="79"/>
      <c r="D35" s="79"/>
      <c r="E35" s="79"/>
      <c r="F35" s="79"/>
      <c r="G35" s="79"/>
      <c r="H35" s="79"/>
      <c r="I35" s="79"/>
      <c r="J35" s="79"/>
      <c r="K35" s="79"/>
      <c r="L35" s="79"/>
      <c r="M35" s="79"/>
      <c r="N35" s="79"/>
      <c r="O35" s="79"/>
    </row>
    <row r="36" spans="2:15" x14ac:dyDescent="0.3">
      <c r="B36" s="79"/>
      <c r="C36" s="79"/>
      <c r="D36" s="79"/>
      <c r="E36" s="79"/>
      <c r="F36" s="79"/>
      <c r="G36" s="79"/>
      <c r="H36" s="79"/>
      <c r="I36" s="79"/>
      <c r="J36" s="79"/>
      <c r="K36" s="79"/>
      <c r="L36" s="79"/>
      <c r="M36" s="79"/>
      <c r="N36" s="79"/>
      <c r="O36" s="79"/>
    </row>
    <row r="37" spans="2:15" x14ac:dyDescent="0.3">
      <c r="B37" s="79"/>
      <c r="C37" s="79"/>
      <c r="D37" s="79"/>
      <c r="E37" s="79"/>
      <c r="F37" s="79"/>
      <c r="G37" s="79"/>
      <c r="H37" s="79"/>
      <c r="I37" s="79"/>
      <c r="J37" s="79"/>
      <c r="K37" s="79"/>
      <c r="L37" s="79"/>
      <c r="M37" s="79"/>
      <c r="N37" s="79"/>
      <c r="O37" s="79"/>
    </row>
    <row r="38" spans="2:15" x14ac:dyDescent="0.3">
      <c r="B38" s="79"/>
      <c r="C38" s="79"/>
      <c r="D38" s="79"/>
      <c r="E38" s="79"/>
      <c r="F38" s="79"/>
      <c r="G38" s="79"/>
      <c r="H38" s="79"/>
      <c r="I38" s="79"/>
      <c r="J38" s="79"/>
      <c r="K38" s="79"/>
      <c r="L38" s="79"/>
      <c r="M38" s="79"/>
      <c r="N38" s="79"/>
      <c r="O38" s="79"/>
    </row>
    <row r="39" spans="2:15" x14ac:dyDescent="0.3">
      <c r="B39" s="186"/>
      <c r="C39" s="186"/>
      <c r="D39" s="186"/>
      <c r="E39" s="186"/>
      <c r="F39" s="186"/>
      <c r="G39" s="186"/>
      <c r="H39" s="186"/>
      <c r="I39" s="186"/>
      <c r="J39" s="186"/>
      <c r="K39" s="186"/>
      <c r="L39" s="186"/>
      <c r="M39" s="186"/>
      <c r="N39" s="186"/>
      <c r="O39" s="186"/>
    </row>
  </sheetData>
  <mergeCells count="5">
    <mergeCell ref="B21:J31"/>
    <mergeCell ref="B2:I2"/>
    <mergeCell ref="N2:R2"/>
    <mergeCell ref="M12:R13"/>
    <mergeCell ref="M26:R27"/>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8B6C-7E1C-4C97-844F-DBE73C9FE7F8}">
  <dimension ref="B2:M54"/>
  <sheetViews>
    <sheetView showGridLines="0" workbookViewId="0">
      <selection activeCell="B15" sqref="B15:M17"/>
    </sheetView>
  </sheetViews>
  <sheetFormatPr defaultRowHeight="14.4" x14ac:dyDescent="0.3"/>
  <cols>
    <col min="6" max="6" width="16.77734375" customWidth="1"/>
  </cols>
  <sheetData>
    <row r="2" spans="2:13" x14ac:dyDescent="0.3">
      <c r="B2" s="334" t="str">
        <f>"Valuation Summary"&amp;" - "&amp;WACC!B12</f>
        <v>Valuation Summary - Twitter Inc.</v>
      </c>
      <c r="C2" s="334"/>
      <c r="D2" s="334"/>
      <c r="E2" s="334"/>
      <c r="F2" s="334"/>
      <c r="G2" s="334"/>
      <c r="H2" s="334"/>
      <c r="I2" s="334"/>
    </row>
    <row r="4" spans="2:13" x14ac:dyDescent="0.3">
      <c r="B4" s="280" t="s">
        <v>356</v>
      </c>
      <c r="C4" s="281"/>
      <c r="D4" s="281"/>
      <c r="E4" s="281"/>
      <c r="F4" s="281"/>
    </row>
    <row r="5" spans="2:13" x14ac:dyDescent="0.3">
      <c r="B5" s="135"/>
    </row>
    <row r="6" spans="2:13" x14ac:dyDescent="0.3">
      <c r="B6" s="280" t="s">
        <v>357</v>
      </c>
      <c r="C6" s="281"/>
      <c r="D6" s="281"/>
      <c r="E6" s="281"/>
      <c r="F6" s="281"/>
    </row>
    <row r="7" spans="2:13" x14ac:dyDescent="0.3">
      <c r="B7" s="62"/>
      <c r="C7" s="94"/>
      <c r="D7" s="94"/>
      <c r="E7" s="94"/>
      <c r="F7" s="94"/>
    </row>
    <row r="8" spans="2:13" x14ac:dyDescent="0.3">
      <c r="B8" s="280" t="s">
        <v>358</v>
      </c>
      <c r="C8" s="281"/>
      <c r="D8" s="281"/>
      <c r="E8" s="281"/>
      <c r="F8" s="281"/>
    </row>
    <row r="9" spans="2:13" x14ac:dyDescent="0.3">
      <c r="B9" s="62"/>
      <c r="C9" s="94"/>
      <c r="D9" s="94"/>
      <c r="E9" s="94"/>
      <c r="F9" s="94"/>
    </row>
    <row r="10" spans="2:13" x14ac:dyDescent="0.3">
      <c r="B10" s="280" t="s">
        <v>359</v>
      </c>
      <c r="C10" s="281"/>
      <c r="D10" s="281"/>
      <c r="E10" s="281"/>
      <c r="F10" s="281"/>
    </row>
    <row r="11" spans="2:13" x14ac:dyDescent="0.3">
      <c r="B11" s="62"/>
      <c r="C11" s="94"/>
      <c r="D11" s="94"/>
      <c r="E11" s="94"/>
      <c r="F11" s="94"/>
    </row>
    <row r="12" spans="2:13" x14ac:dyDescent="0.3">
      <c r="B12" s="189" t="s">
        <v>360</v>
      </c>
      <c r="C12" s="180"/>
      <c r="D12" s="180"/>
      <c r="E12" s="180"/>
      <c r="F12" s="180"/>
    </row>
    <row r="14" spans="2:13" x14ac:dyDescent="0.3">
      <c r="B14" s="16" t="s">
        <v>361</v>
      </c>
    </row>
    <row r="15" spans="2:13" x14ac:dyDescent="0.3">
      <c r="B15" s="371" t="s">
        <v>363</v>
      </c>
      <c r="C15" s="371"/>
      <c r="D15" s="371"/>
      <c r="E15" s="371"/>
      <c r="F15" s="371"/>
      <c r="G15" s="371"/>
      <c r="H15" s="371"/>
      <c r="I15" s="371"/>
      <c r="J15" s="371"/>
      <c r="K15" s="371"/>
      <c r="L15" s="371"/>
      <c r="M15" s="371"/>
    </row>
    <row r="16" spans="2:13" x14ac:dyDescent="0.3">
      <c r="B16" s="371"/>
      <c r="C16" s="371"/>
      <c r="D16" s="371"/>
      <c r="E16" s="371"/>
      <c r="F16" s="371"/>
      <c r="G16" s="371"/>
      <c r="H16" s="371"/>
      <c r="I16" s="371"/>
      <c r="J16" s="371"/>
      <c r="K16" s="371"/>
      <c r="L16" s="371"/>
      <c r="M16" s="371"/>
    </row>
    <row r="17" spans="2:13" x14ac:dyDescent="0.3">
      <c r="B17" s="371"/>
      <c r="C17" s="371"/>
      <c r="D17" s="371"/>
      <c r="E17" s="371"/>
      <c r="F17" s="371"/>
      <c r="G17" s="371"/>
      <c r="H17" s="371"/>
      <c r="I17" s="371"/>
      <c r="J17" s="371"/>
      <c r="K17" s="371"/>
      <c r="L17" s="371"/>
      <c r="M17" s="371"/>
    </row>
    <row r="19" spans="2:13" x14ac:dyDescent="0.3">
      <c r="B19" s="16" t="s">
        <v>362</v>
      </c>
    </row>
    <row r="20" spans="2:13" x14ac:dyDescent="0.3">
      <c r="B20" s="76"/>
    </row>
    <row r="21" spans="2:13" x14ac:dyDescent="0.3">
      <c r="B21" s="342" t="s">
        <v>383</v>
      </c>
      <c r="C21" s="342"/>
      <c r="D21" s="342"/>
      <c r="E21" s="342"/>
      <c r="F21" s="342"/>
      <c r="G21" s="342"/>
      <c r="H21" s="342"/>
      <c r="I21" s="342"/>
      <c r="J21" s="342"/>
      <c r="K21" s="342"/>
      <c r="L21" s="342"/>
      <c r="M21" s="342"/>
    </row>
    <row r="22" spans="2:13" x14ac:dyDescent="0.3">
      <c r="B22" s="342"/>
      <c r="C22" s="342"/>
      <c r="D22" s="342"/>
      <c r="E22" s="342"/>
      <c r="F22" s="342"/>
      <c r="G22" s="342"/>
      <c r="H22" s="342"/>
      <c r="I22" s="342"/>
      <c r="J22" s="342"/>
      <c r="K22" s="342"/>
      <c r="L22" s="342"/>
      <c r="M22" s="342"/>
    </row>
    <row r="23" spans="2:13" x14ac:dyDescent="0.3">
      <c r="B23" s="342"/>
      <c r="C23" s="342"/>
      <c r="D23" s="342"/>
      <c r="E23" s="342"/>
      <c r="F23" s="342"/>
      <c r="G23" s="342"/>
      <c r="H23" s="342"/>
      <c r="I23" s="342"/>
      <c r="J23" s="342"/>
      <c r="K23" s="342"/>
      <c r="L23" s="342"/>
      <c r="M23" s="342"/>
    </row>
    <row r="24" spans="2:13" x14ac:dyDescent="0.3">
      <c r="B24" s="342"/>
      <c r="C24" s="342"/>
      <c r="D24" s="342"/>
      <c r="E24" s="342"/>
      <c r="F24" s="342"/>
      <c r="G24" s="342"/>
      <c r="H24" s="342"/>
      <c r="I24" s="342"/>
      <c r="J24" s="342"/>
      <c r="K24" s="342"/>
      <c r="L24" s="342"/>
      <c r="M24" s="342"/>
    </row>
    <row r="25" spans="2:13" x14ac:dyDescent="0.3">
      <c r="B25" s="342"/>
      <c r="C25" s="342"/>
      <c r="D25" s="342"/>
      <c r="E25" s="342"/>
      <c r="F25" s="342"/>
      <c r="G25" s="342"/>
      <c r="H25" s="342"/>
      <c r="I25" s="342"/>
      <c r="J25" s="342"/>
      <c r="K25" s="342"/>
      <c r="L25" s="342"/>
      <c r="M25" s="342"/>
    </row>
    <row r="27" spans="2:13" x14ac:dyDescent="0.3">
      <c r="B27" s="342" t="s">
        <v>368</v>
      </c>
      <c r="C27" s="342"/>
      <c r="D27" s="342"/>
      <c r="E27" s="342"/>
      <c r="F27" s="342"/>
      <c r="G27" s="342"/>
      <c r="H27" s="342"/>
      <c r="I27" s="342"/>
      <c r="J27" s="342"/>
      <c r="K27" s="342"/>
      <c r="L27" s="342"/>
      <c r="M27" s="342"/>
    </row>
    <row r="28" spans="2:13" x14ac:dyDescent="0.3">
      <c r="B28" s="342"/>
      <c r="C28" s="342"/>
      <c r="D28" s="342"/>
      <c r="E28" s="342"/>
      <c r="F28" s="342"/>
      <c r="G28" s="342"/>
      <c r="H28" s="342"/>
      <c r="I28" s="342"/>
      <c r="J28" s="342"/>
      <c r="K28" s="342"/>
      <c r="L28" s="342"/>
      <c r="M28" s="342"/>
    </row>
    <row r="30" spans="2:13" x14ac:dyDescent="0.3">
      <c r="B30" s="342" t="s">
        <v>369</v>
      </c>
      <c r="C30" s="342"/>
      <c r="D30" s="342"/>
      <c r="E30" s="342"/>
      <c r="F30" s="342"/>
      <c r="G30" s="342"/>
      <c r="H30" s="342"/>
      <c r="I30" s="342"/>
      <c r="J30" s="342"/>
      <c r="K30" s="342"/>
      <c r="L30" s="342"/>
      <c r="M30" s="342"/>
    </row>
    <row r="31" spans="2:13" x14ac:dyDescent="0.3">
      <c r="B31" s="342"/>
      <c r="C31" s="342"/>
      <c r="D31" s="342"/>
      <c r="E31" s="342"/>
      <c r="F31" s="342"/>
      <c r="G31" s="342"/>
      <c r="H31" s="342"/>
      <c r="I31" s="342"/>
      <c r="J31" s="342"/>
      <c r="K31" s="342"/>
      <c r="L31" s="342"/>
      <c r="M31" s="342"/>
    </row>
    <row r="33" spans="2:13" x14ac:dyDescent="0.3">
      <c r="B33" s="342" t="s">
        <v>364</v>
      </c>
      <c r="C33" s="342"/>
      <c r="D33" s="342"/>
      <c r="E33" s="342"/>
      <c r="F33" s="342"/>
      <c r="G33" s="342"/>
      <c r="H33" s="342"/>
      <c r="I33" s="342"/>
      <c r="J33" s="342"/>
      <c r="K33" s="342"/>
      <c r="L33" s="342"/>
      <c r="M33" s="342"/>
    </row>
    <row r="34" spans="2:13" x14ac:dyDescent="0.3">
      <c r="B34" s="342"/>
      <c r="C34" s="342"/>
      <c r="D34" s="342"/>
      <c r="E34" s="342"/>
      <c r="F34" s="342"/>
      <c r="G34" s="342"/>
      <c r="H34" s="342"/>
      <c r="I34" s="342"/>
      <c r="J34" s="342"/>
      <c r="K34" s="342"/>
      <c r="L34" s="342"/>
      <c r="M34" s="342"/>
    </row>
    <row r="36" spans="2:13" x14ac:dyDescent="0.3">
      <c r="B36" s="342" t="s">
        <v>365</v>
      </c>
      <c r="C36" s="342"/>
      <c r="D36" s="342"/>
      <c r="E36" s="342"/>
      <c r="F36" s="342"/>
      <c r="G36" s="342"/>
      <c r="H36" s="342"/>
      <c r="I36" s="342"/>
      <c r="J36" s="342"/>
      <c r="K36" s="342"/>
      <c r="L36" s="342"/>
      <c r="M36" s="342"/>
    </row>
    <row r="37" spans="2:13" x14ac:dyDescent="0.3">
      <c r="B37" s="342"/>
      <c r="C37" s="342"/>
      <c r="D37" s="342"/>
      <c r="E37" s="342"/>
      <c r="F37" s="342"/>
      <c r="G37" s="342"/>
      <c r="H37" s="342"/>
      <c r="I37" s="342"/>
      <c r="J37" s="342"/>
      <c r="K37" s="342"/>
      <c r="L37" s="342"/>
      <c r="M37" s="342"/>
    </row>
    <row r="39" spans="2:13" x14ac:dyDescent="0.3">
      <c r="B39" s="342" t="s">
        <v>366</v>
      </c>
      <c r="C39" s="342"/>
      <c r="D39" s="342"/>
      <c r="E39" s="342"/>
      <c r="F39" s="342"/>
      <c r="G39" s="342"/>
      <c r="H39" s="342"/>
      <c r="I39" s="342"/>
      <c r="J39" s="342"/>
      <c r="K39" s="342"/>
      <c r="L39" s="342"/>
      <c r="M39" s="342"/>
    </row>
    <row r="40" spans="2:13" x14ac:dyDescent="0.3">
      <c r="B40" s="342"/>
      <c r="C40" s="342"/>
      <c r="D40" s="342"/>
      <c r="E40" s="342"/>
      <c r="F40" s="342"/>
      <c r="G40" s="342"/>
      <c r="H40" s="342"/>
      <c r="I40" s="342"/>
      <c r="J40" s="342"/>
      <c r="K40" s="342"/>
      <c r="L40" s="342"/>
      <c r="M40" s="342"/>
    </row>
    <row r="42" spans="2:13" x14ac:dyDescent="0.3">
      <c r="B42" s="342" t="s">
        <v>367</v>
      </c>
      <c r="C42" s="342"/>
      <c r="D42" s="342"/>
      <c r="E42" s="342"/>
      <c r="F42" s="342"/>
      <c r="G42" s="342"/>
      <c r="H42" s="342"/>
      <c r="I42" s="342"/>
      <c r="J42" s="342"/>
      <c r="K42" s="342"/>
      <c r="L42" s="342"/>
      <c r="M42" s="342"/>
    </row>
    <row r="43" spans="2:13" x14ac:dyDescent="0.3">
      <c r="B43" s="342"/>
      <c r="C43" s="342"/>
      <c r="D43" s="342"/>
      <c r="E43" s="342"/>
      <c r="F43" s="342"/>
      <c r="G43" s="342"/>
      <c r="H43" s="342"/>
      <c r="I43" s="342"/>
      <c r="J43" s="342"/>
      <c r="K43" s="342"/>
      <c r="L43" s="342"/>
      <c r="M43" s="342"/>
    </row>
    <row r="45" spans="2:13" x14ac:dyDescent="0.3">
      <c r="B45" s="342" t="s">
        <v>370</v>
      </c>
      <c r="C45" s="342"/>
      <c r="D45" s="342"/>
      <c r="E45" s="342"/>
      <c r="F45" s="342"/>
      <c r="G45" s="342"/>
      <c r="H45" s="342"/>
      <c r="I45" s="342"/>
      <c r="J45" s="342"/>
      <c r="K45" s="342"/>
      <c r="L45" s="342"/>
      <c r="M45" s="342"/>
    </row>
    <row r="46" spans="2:13" x14ac:dyDescent="0.3">
      <c r="B46" s="342"/>
      <c r="C46" s="342"/>
      <c r="D46" s="342"/>
      <c r="E46" s="342"/>
      <c r="F46" s="342"/>
      <c r="G46" s="342"/>
      <c r="H46" s="342"/>
      <c r="I46" s="342"/>
      <c r="J46" s="342"/>
      <c r="K46" s="342"/>
      <c r="L46" s="342"/>
      <c r="M46" s="342"/>
    </row>
    <row r="48" spans="2:13" ht="14.4" customHeight="1" x14ac:dyDescent="0.3">
      <c r="B48" s="371" t="s">
        <v>371</v>
      </c>
      <c r="C48" s="371"/>
      <c r="D48" s="371"/>
      <c r="E48" s="371"/>
      <c r="F48" s="371"/>
      <c r="G48" s="371"/>
      <c r="H48" s="371"/>
      <c r="I48" s="371"/>
      <c r="J48" s="371"/>
      <c r="K48" s="371"/>
      <c r="L48" s="371"/>
      <c r="M48" s="371"/>
    </row>
    <row r="49" spans="2:13" x14ac:dyDescent="0.3">
      <c r="B49" s="371"/>
      <c r="C49" s="371"/>
      <c r="D49" s="371"/>
      <c r="E49" s="371"/>
      <c r="F49" s="371"/>
      <c r="G49" s="371"/>
      <c r="H49" s="371"/>
      <c r="I49" s="371"/>
      <c r="J49" s="371"/>
      <c r="K49" s="371"/>
      <c r="L49" s="371"/>
      <c r="M49" s="371"/>
    </row>
    <row r="50" spans="2:13" x14ac:dyDescent="0.3">
      <c r="B50" s="371"/>
      <c r="C50" s="371"/>
      <c r="D50" s="371"/>
      <c r="E50" s="371"/>
      <c r="F50" s="371"/>
      <c r="G50" s="371"/>
      <c r="H50" s="371"/>
      <c r="I50" s="371"/>
      <c r="J50" s="371"/>
      <c r="K50" s="371"/>
      <c r="L50" s="371"/>
      <c r="M50" s="371"/>
    </row>
    <row r="51" spans="2:13" x14ac:dyDescent="0.3">
      <c r="B51" s="134"/>
      <c r="C51" s="134"/>
      <c r="D51" s="134"/>
      <c r="E51" s="134"/>
      <c r="F51" s="134"/>
      <c r="G51" s="134"/>
      <c r="H51" s="134"/>
      <c r="I51" s="134"/>
      <c r="J51" s="134"/>
      <c r="K51" s="134"/>
      <c r="L51" s="134"/>
      <c r="M51" s="134"/>
    </row>
    <row r="52" spans="2:13" x14ac:dyDescent="0.3">
      <c r="B52" s="342" t="s">
        <v>372</v>
      </c>
      <c r="C52" s="342"/>
      <c r="D52" s="342"/>
      <c r="E52" s="342"/>
      <c r="F52" s="342"/>
      <c r="G52" s="342"/>
      <c r="H52" s="342"/>
      <c r="I52" s="342"/>
      <c r="J52" s="342"/>
      <c r="K52" s="342"/>
      <c r="L52" s="342"/>
      <c r="M52" s="342"/>
    </row>
    <row r="53" spans="2:13" x14ac:dyDescent="0.3">
      <c r="B53" s="342"/>
      <c r="C53" s="342"/>
      <c r="D53" s="342"/>
      <c r="E53" s="342"/>
      <c r="F53" s="342"/>
      <c r="G53" s="342"/>
      <c r="H53" s="342"/>
      <c r="I53" s="342"/>
      <c r="J53" s="342"/>
      <c r="K53" s="342"/>
      <c r="L53" s="342"/>
      <c r="M53" s="342"/>
    </row>
    <row r="54" spans="2:13" x14ac:dyDescent="0.3">
      <c r="B54" s="342"/>
      <c r="C54" s="342"/>
      <c r="D54" s="342"/>
      <c r="E54" s="342"/>
      <c r="F54" s="342"/>
      <c r="G54" s="342"/>
      <c r="H54" s="342"/>
      <c r="I54" s="342"/>
      <c r="J54" s="342"/>
      <c r="K54" s="342"/>
      <c r="L54" s="342"/>
      <c r="M54" s="342"/>
    </row>
  </sheetData>
  <mergeCells count="12">
    <mergeCell ref="B52:M54"/>
    <mergeCell ref="B36:M37"/>
    <mergeCell ref="B39:M40"/>
    <mergeCell ref="B42:M43"/>
    <mergeCell ref="B27:M28"/>
    <mergeCell ref="B45:M46"/>
    <mergeCell ref="B48:M50"/>
    <mergeCell ref="B2:I2"/>
    <mergeCell ref="B15:M17"/>
    <mergeCell ref="B30:M31"/>
    <mergeCell ref="B33:M34"/>
    <mergeCell ref="B21:M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9357C-C2B7-4995-B75C-A5B5EE9FA87D}">
  <dimension ref="B2:M52"/>
  <sheetViews>
    <sheetView showGridLines="0" tabSelected="1" workbookViewId="0">
      <selection activeCell="C1" sqref="C1"/>
    </sheetView>
  </sheetViews>
  <sheetFormatPr defaultRowHeight="14.4" x14ac:dyDescent="0.3"/>
  <cols>
    <col min="2" max="2" width="40.88671875" bestFit="1" customWidth="1"/>
  </cols>
  <sheetData>
    <row r="2" spans="2:13" x14ac:dyDescent="0.3">
      <c r="B2" s="334" t="str">
        <f>"Gain/loss for Elon Musk"&amp;" - "&amp;WACC!B12</f>
        <v>Gain/loss for Elon Musk - Twitter Inc.</v>
      </c>
      <c r="C2" s="334"/>
      <c r="D2" s="334"/>
      <c r="E2" s="334"/>
      <c r="F2" s="334"/>
      <c r="G2" s="334"/>
      <c r="H2" s="334"/>
      <c r="I2" s="334"/>
    </row>
    <row r="4" spans="2:13" x14ac:dyDescent="0.3">
      <c r="C4" s="184" t="s">
        <v>401</v>
      </c>
    </row>
    <row r="5" spans="2:13" x14ac:dyDescent="0.3">
      <c r="B5" s="45" t="s">
        <v>399</v>
      </c>
      <c r="C5" s="386">
        <v>44</v>
      </c>
    </row>
    <row r="6" spans="2:13" x14ac:dyDescent="0.3">
      <c r="C6" s="74"/>
    </row>
    <row r="7" spans="2:13" x14ac:dyDescent="0.3">
      <c r="B7" t="s">
        <v>400</v>
      </c>
      <c r="C7" s="386">
        <v>9.4</v>
      </c>
    </row>
    <row r="8" spans="2:13" x14ac:dyDescent="0.3">
      <c r="C8" s="74"/>
    </row>
    <row r="9" spans="2:13" x14ac:dyDescent="0.3">
      <c r="B9" s="76" t="s">
        <v>402</v>
      </c>
      <c r="C9" s="386">
        <f>C7-C5</f>
        <v>-34.6</v>
      </c>
    </row>
    <row r="10" spans="2:13" x14ac:dyDescent="0.3">
      <c r="C10" s="8"/>
    </row>
    <row r="11" spans="2:13" x14ac:dyDescent="0.3">
      <c r="B11" s="384" t="s">
        <v>403</v>
      </c>
      <c r="C11" s="385">
        <f>C9/C5</f>
        <v>-0.78636363636363638</v>
      </c>
      <c r="D11" s="135" t="str">
        <f>B13</f>
        <v>Note 1</v>
      </c>
    </row>
    <row r="13" spans="2:13" ht="15" thickBot="1" x14ac:dyDescent="0.35">
      <c r="B13" s="387" t="s">
        <v>43</v>
      </c>
    </row>
    <row r="14" spans="2:13" ht="14.4" customHeight="1" x14ac:dyDescent="0.3">
      <c r="B14" s="389" t="s">
        <v>404</v>
      </c>
      <c r="C14" s="390"/>
      <c r="D14" s="390"/>
      <c r="E14" s="390"/>
      <c r="F14" s="390"/>
      <c r="G14" s="390"/>
      <c r="H14" s="390"/>
      <c r="I14" s="390"/>
      <c r="J14" s="390"/>
      <c r="K14" s="390"/>
      <c r="L14" s="390"/>
      <c r="M14" s="391"/>
    </row>
    <row r="15" spans="2:13" x14ac:dyDescent="0.3">
      <c r="B15" s="392"/>
      <c r="C15" s="388"/>
      <c r="D15" s="388"/>
      <c r="E15" s="388"/>
      <c r="F15" s="388"/>
      <c r="G15" s="388"/>
      <c r="H15" s="388"/>
      <c r="I15" s="388"/>
      <c r="J15" s="388"/>
      <c r="K15" s="388"/>
      <c r="L15" s="388"/>
      <c r="M15" s="393"/>
    </row>
    <row r="16" spans="2:13" x14ac:dyDescent="0.3">
      <c r="B16" s="392"/>
      <c r="C16" s="388"/>
      <c r="D16" s="388"/>
      <c r="E16" s="388"/>
      <c r="F16" s="388"/>
      <c r="G16" s="388"/>
      <c r="H16" s="388"/>
      <c r="I16" s="388"/>
      <c r="J16" s="388"/>
      <c r="K16" s="388"/>
      <c r="L16" s="388"/>
      <c r="M16" s="393"/>
    </row>
    <row r="17" spans="2:13" x14ac:dyDescent="0.3">
      <c r="B17" s="392"/>
      <c r="C17" s="388"/>
      <c r="D17" s="388"/>
      <c r="E17" s="388"/>
      <c r="F17" s="388"/>
      <c r="G17" s="388"/>
      <c r="H17" s="388"/>
      <c r="I17" s="388"/>
      <c r="J17" s="388"/>
      <c r="K17" s="388"/>
      <c r="L17" s="388"/>
      <c r="M17" s="393"/>
    </row>
    <row r="18" spans="2:13" x14ac:dyDescent="0.3">
      <c r="B18" s="392"/>
      <c r="C18" s="388"/>
      <c r="D18" s="388"/>
      <c r="E18" s="388"/>
      <c r="F18" s="388"/>
      <c r="G18" s="388"/>
      <c r="H18" s="388"/>
      <c r="I18" s="388"/>
      <c r="J18" s="388"/>
      <c r="K18" s="388"/>
      <c r="L18" s="388"/>
      <c r="M18" s="393"/>
    </row>
    <row r="19" spans="2:13" x14ac:dyDescent="0.3">
      <c r="B19" s="392"/>
      <c r="C19" s="388"/>
      <c r="D19" s="388"/>
      <c r="E19" s="388"/>
      <c r="F19" s="388"/>
      <c r="G19" s="388"/>
      <c r="H19" s="388"/>
      <c r="I19" s="388"/>
      <c r="J19" s="388"/>
      <c r="K19" s="388"/>
      <c r="L19" s="388"/>
      <c r="M19" s="393"/>
    </row>
    <row r="20" spans="2:13" x14ac:dyDescent="0.3">
      <c r="B20" s="392"/>
      <c r="C20" s="388"/>
      <c r="D20" s="388"/>
      <c r="E20" s="388"/>
      <c r="F20" s="388"/>
      <c r="G20" s="388"/>
      <c r="H20" s="388"/>
      <c r="I20" s="388"/>
      <c r="J20" s="388"/>
      <c r="K20" s="388"/>
      <c r="L20" s="388"/>
      <c r="M20" s="393"/>
    </row>
    <row r="21" spans="2:13" x14ac:dyDescent="0.3">
      <c r="B21" s="392"/>
      <c r="C21" s="388"/>
      <c r="D21" s="388"/>
      <c r="E21" s="388"/>
      <c r="F21" s="388"/>
      <c r="G21" s="388"/>
      <c r="H21" s="388"/>
      <c r="I21" s="388"/>
      <c r="J21" s="388"/>
      <c r="K21" s="388"/>
      <c r="L21" s="388"/>
      <c r="M21" s="393"/>
    </row>
    <row r="22" spans="2:13" x14ac:dyDescent="0.3">
      <c r="B22" s="392"/>
      <c r="C22" s="388"/>
      <c r="D22" s="388"/>
      <c r="E22" s="388"/>
      <c r="F22" s="388"/>
      <c r="G22" s="388"/>
      <c r="H22" s="388"/>
      <c r="I22" s="388"/>
      <c r="J22" s="388"/>
      <c r="K22" s="388"/>
      <c r="L22" s="388"/>
      <c r="M22" s="393"/>
    </row>
    <row r="23" spans="2:13" x14ac:dyDescent="0.3">
      <c r="B23" s="392"/>
      <c r="C23" s="388"/>
      <c r="D23" s="388"/>
      <c r="E23" s="388"/>
      <c r="F23" s="388"/>
      <c r="G23" s="388"/>
      <c r="H23" s="388"/>
      <c r="I23" s="388"/>
      <c r="J23" s="388"/>
      <c r="K23" s="388"/>
      <c r="L23" s="388"/>
      <c r="M23" s="393"/>
    </row>
    <row r="24" spans="2:13" x14ac:dyDescent="0.3">
      <c r="B24" s="392"/>
      <c r="C24" s="388"/>
      <c r="D24" s="388"/>
      <c r="E24" s="388"/>
      <c r="F24" s="388"/>
      <c r="G24" s="388"/>
      <c r="H24" s="388"/>
      <c r="I24" s="388"/>
      <c r="J24" s="388"/>
      <c r="K24" s="388"/>
      <c r="L24" s="388"/>
      <c r="M24" s="393"/>
    </row>
    <row r="25" spans="2:13" x14ac:dyDescent="0.3">
      <c r="B25" s="392"/>
      <c r="C25" s="388"/>
      <c r="D25" s="388"/>
      <c r="E25" s="388"/>
      <c r="F25" s="388"/>
      <c r="G25" s="388"/>
      <c r="H25" s="388"/>
      <c r="I25" s="388"/>
      <c r="J25" s="388"/>
      <c r="K25" s="388"/>
      <c r="L25" s="388"/>
      <c r="M25" s="393"/>
    </row>
    <row r="26" spans="2:13" x14ac:dyDescent="0.3">
      <c r="B26" s="392"/>
      <c r="C26" s="388"/>
      <c r="D26" s="388"/>
      <c r="E26" s="388"/>
      <c r="F26" s="388"/>
      <c r="G26" s="388"/>
      <c r="H26" s="388"/>
      <c r="I26" s="388"/>
      <c r="J26" s="388"/>
      <c r="K26" s="388"/>
      <c r="L26" s="388"/>
      <c r="M26" s="393"/>
    </row>
    <row r="27" spans="2:13" x14ac:dyDescent="0.3">
      <c r="B27" s="392"/>
      <c r="C27" s="388"/>
      <c r="D27" s="388"/>
      <c r="E27" s="388"/>
      <c r="F27" s="388"/>
      <c r="G27" s="388"/>
      <c r="H27" s="388"/>
      <c r="I27" s="388"/>
      <c r="J27" s="388"/>
      <c r="K27" s="388"/>
      <c r="L27" s="388"/>
      <c r="M27" s="393"/>
    </row>
    <row r="28" spans="2:13" x14ac:dyDescent="0.3">
      <c r="B28" s="392"/>
      <c r="C28" s="388"/>
      <c r="D28" s="388"/>
      <c r="E28" s="388"/>
      <c r="F28" s="388"/>
      <c r="G28" s="388"/>
      <c r="H28" s="388"/>
      <c r="I28" s="388"/>
      <c r="J28" s="388"/>
      <c r="K28" s="388"/>
      <c r="L28" s="388"/>
      <c r="M28" s="393"/>
    </row>
    <row r="29" spans="2:13" ht="15" thickBot="1" x14ac:dyDescent="0.35">
      <c r="B29" s="394"/>
      <c r="C29" s="395"/>
      <c r="D29" s="395"/>
      <c r="E29" s="395"/>
      <c r="F29" s="395"/>
      <c r="G29" s="395"/>
      <c r="H29" s="395"/>
      <c r="I29" s="395"/>
      <c r="J29" s="395"/>
      <c r="K29" s="395"/>
      <c r="L29" s="395"/>
      <c r="M29" s="396"/>
    </row>
    <row r="30" spans="2:13" x14ac:dyDescent="0.3">
      <c r="B30" s="134"/>
      <c r="C30" s="134"/>
      <c r="D30" s="134"/>
      <c r="E30" s="134"/>
      <c r="F30" s="134"/>
      <c r="G30" s="134"/>
      <c r="H30" s="134"/>
      <c r="I30" s="134"/>
      <c r="J30" s="134"/>
      <c r="K30" s="134"/>
      <c r="L30" s="134"/>
      <c r="M30" s="134"/>
    </row>
    <row r="31" spans="2:13" x14ac:dyDescent="0.3">
      <c r="B31" s="134"/>
      <c r="C31" s="134"/>
      <c r="D31" s="134"/>
      <c r="E31" s="134"/>
      <c r="F31" s="134"/>
      <c r="G31" s="134"/>
      <c r="H31" s="134"/>
      <c r="I31" s="134"/>
      <c r="J31" s="134"/>
      <c r="K31" s="134"/>
      <c r="L31" s="134"/>
      <c r="M31" s="134"/>
    </row>
    <row r="32" spans="2:13" ht="15" thickBot="1" x14ac:dyDescent="0.35">
      <c r="B32" s="387" t="s">
        <v>405</v>
      </c>
    </row>
    <row r="33" spans="2:13" x14ac:dyDescent="0.3">
      <c r="B33" s="389" t="s">
        <v>406</v>
      </c>
      <c r="C33" s="390"/>
      <c r="D33" s="390"/>
      <c r="E33" s="390"/>
      <c r="F33" s="390"/>
      <c r="G33" s="390"/>
      <c r="H33" s="390"/>
      <c r="I33" s="390"/>
      <c r="J33" s="390"/>
      <c r="K33" s="390"/>
      <c r="L33" s="390"/>
      <c r="M33" s="391"/>
    </row>
    <row r="34" spans="2:13" x14ac:dyDescent="0.3">
      <c r="B34" s="392"/>
      <c r="C34" s="388"/>
      <c r="D34" s="388"/>
      <c r="E34" s="388"/>
      <c r="F34" s="388"/>
      <c r="G34" s="388"/>
      <c r="H34" s="388"/>
      <c r="I34" s="388"/>
      <c r="J34" s="388"/>
      <c r="K34" s="388"/>
      <c r="L34" s="388"/>
      <c r="M34" s="393"/>
    </row>
    <row r="35" spans="2:13" x14ac:dyDescent="0.3">
      <c r="B35" s="392"/>
      <c r="C35" s="388"/>
      <c r="D35" s="388"/>
      <c r="E35" s="388"/>
      <c r="F35" s="388"/>
      <c r="G35" s="388"/>
      <c r="H35" s="388"/>
      <c r="I35" s="388"/>
      <c r="J35" s="388"/>
      <c r="K35" s="388"/>
      <c r="L35" s="388"/>
      <c r="M35" s="393"/>
    </row>
    <row r="36" spans="2:13" x14ac:dyDescent="0.3">
      <c r="B36" s="392"/>
      <c r="C36" s="388"/>
      <c r="D36" s="388"/>
      <c r="E36" s="388"/>
      <c r="F36" s="388"/>
      <c r="G36" s="388"/>
      <c r="H36" s="388"/>
      <c r="I36" s="388"/>
      <c r="J36" s="388"/>
      <c r="K36" s="388"/>
      <c r="L36" s="388"/>
      <c r="M36" s="393"/>
    </row>
    <row r="37" spans="2:13" x14ac:dyDescent="0.3">
      <c r="B37" s="392"/>
      <c r="C37" s="388"/>
      <c r="D37" s="388"/>
      <c r="E37" s="388"/>
      <c r="F37" s="388"/>
      <c r="G37" s="388"/>
      <c r="H37" s="388"/>
      <c r="I37" s="388"/>
      <c r="J37" s="388"/>
      <c r="K37" s="388"/>
      <c r="L37" s="388"/>
      <c r="M37" s="393"/>
    </row>
    <row r="38" spans="2:13" x14ac:dyDescent="0.3">
      <c r="B38" s="392"/>
      <c r="C38" s="388"/>
      <c r="D38" s="388"/>
      <c r="E38" s="388"/>
      <c r="F38" s="388"/>
      <c r="G38" s="388"/>
      <c r="H38" s="388"/>
      <c r="I38" s="388"/>
      <c r="J38" s="388"/>
      <c r="K38" s="388"/>
      <c r="L38" s="388"/>
      <c r="M38" s="393"/>
    </row>
    <row r="39" spans="2:13" x14ac:dyDescent="0.3">
      <c r="B39" s="392"/>
      <c r="C39" s="388"/>
      <c r="D39" s="388"/>
      <c r="E39" s="388"/>
      <c r="F39" s="388"/>
      <c r="G39" s="388"/>
      <c r="H39" s="388"/>
      <c r="I39" s="388"/>
      <c r="J39" s="388"/>
      <c r="K39" s="388"/>
      <c r="L39" s="388"/>
      <c r="M39" s="393"/>
    </row>
    <row r="40" spans="2:13" x14ac:dyDescent="0.3">
      <c r="B40" s="392"/>
      <c r="C40" s="388"/>
      <c r="D40" s="388"/>
      <c r="E40" s="388"/>
      <c r="F40" s="388"/>
      <c r="G40" s="388"/>
      <c r="H40" s="388"/>
      <c r="I40" s="388"/>
      <c r="J40" s="388"/>
      <c r="K40" s="388"/>
      <c r="L40" s="388"/>
      <c r="M40" s="393"/>
    </row>
    <row r="41" spans="2:13" x14ac:dyDescent="0.3">
      <c r="B41" s="392"/>
      <c r="C41" s="388"/>
      <c r="D41" s="388"/>
      <c r="E41" s="388"/>
      <c r="F41" s="388"/>
      <c r="G41" s="388"/>
      <c r="H41" s="388"/>
      <c r="I41" s="388"/>
      <c r="J41" s="388"/>
      <c r="K41" s="388"/>
      <c r="L41" s="388"/>
      <c r="M41" s="393"/>
    </row>
    <row r="42" spans="2:13" x14ac:dyDescent="0.3">
      <c r="B42" s="392"/>
      <c r="C42" s="388"/>
      <c r="D42" s="388"/>
      <c r="E42" s="388"/>
      <c r="F42" s="388"/>
      <c r="G42" s="388"/>
      <c r="H42" s="388"/>
      <c r="I42" s="388"/>
      <c r="J42" s="388"/>
      <c r="K42" s="388"/>
      <c r="L42" s="388"/>
      <c r="M42" s="393"/>
    </row>
    <row r="43" spans="2:13" x14ac:dyDescent="0.3">
      <c r="B43" s="392"/>
      <c r="C43" s="388"/>
      <c r="D43" s="388"/>
      <c r="E43" s="388"/>
      <c r="F43" s="388"/>
      <c r="G43" s="388"/>
      <c r="H43" s="388"/>
      <c r="I43" s="388"/>
      <c r="J43" s="388"/>
      <c r="K43" s="388"/>
      <c r="L43" s="388"/>
      <c r="M43" s="393"/>
    </row>
    <row r="44" spans="2:13" x14ac:dyDescent="0.3">
      <c r="B44" s="392"/>
      <c r="C44" s="388"/>
      <c r="D44" s="388"/>
      <c r="E44" s="388"/>
      <c r="F44" s="388"/>
      <c r="G44" s="388"/>
      <c r="H44" s="388"/>
      <c r="I44" s="388"/>
      <c r="J44" s="388"/>
      <c r="K44" s="388"/>
      <c r="L44" s="388"/>
      <c r="M44" s="393"/>
    </row>
    <row r="45" spans="2:13" x14ac:dyDescent="0.3">
      <c r="B45" s="392"/>
      <c r="C45" s="388"/>
      <c r="D45" s="388"/>
      <c r="E45" s="388"/>
      <c r="F45" s="388"/>
      <c r="G45" s="388"/>
      <c r="H45" s="388"/>
      <c r="I45" s="388"/>
      <c r="J45" s="388"/>
      <c r="K45" s="388"/>
      <c r="L45" s="388"/>
      <c r="M45" s="393"/>
    </row>
    <row r="46" spans="2:13" x14ac:dyDescent="0.3">
      <c r="B46" s="392"/>
      <c r="C46" s="388"/>
      <c r="D46" s="388"/>
      <c r="E46" s="388"/>
      <c r="F46" s="388"/>
      <c r="G46" s="388"/>
      <c r="H46" s="388"/>
      <c r="I46" s="388"/>
      <c r="J46" s="388"/>
      <c r="K46" s="388"/>
      <c r="L46" s="388"/>
      <c r="M46" s="393"/>
    </row>
    <row r="47" spans="2:13" x14ac:dyDescent="0.3">
      <c r="B47" s="392"/>
      <c r="C47" s="388"/>
      <c r="D47" s="388"/>
      <c r="E47" s="388"/>
      <c r="F47" s="388"/>
      <c r="G47" s="388"/>
      <c r="H47" s="388"/>
      <c r="I47" s="388"/>
      <c r="J47" s="388"/>
      <c r="K47" s="388"/>
      <c r="L47" s="388"/>
      <c r="M47" s="393"/>
    </row>
    <row r="48" spans="2:13" x14ac:dyDescent="0.3">
      <c r="B48" s="392"/>
      <c r="C48" s="388"/>
      <c r="D48" s="388"/>
      <c r="E48" s="388"/>
      <c r="F48" s="388"/>
      <c r="G48" s="388"/>
      <c r="H48" s="388"/>
      <c r="I48" s="388"/>
      <c r="J48" s="388"/>
      <c r="K48" s="388"/>
      <c r="L48" s="388"/>
      <c r="M48" s="393"/>
    </row>
    <row r="49" spans="2:13" x14ac:dyDescent="0.3">
      <c r="B49" s="392"/>
      <c r="C49" s="388"/>
      <c r="D49" s="388"/>
      <c r="E49" s="388"/>
      <c r="F49" s="388"/>
      <c r="G49" s="388"/>
      <c r="H49" s="388"/>
      <c r="I49" s="388"/>
      <c r="J49" s="388"/>
      <c r="K49" s="388"/>
      <c r="L49" s="388"/>
      <c r="M49" s="393"/>
    </row>
    <row r="50" spans="2:13" x14ac:dyDescent="0.3">
      <c r="B50" s="392"/>
      <c r="C50" s="388"/>
      <c r="D50" s="388"/>
      <c r="E50" s="388"/>
      <c r="F50" s="388"/>
      <c r="G50" s="388"/>
      <c r="H50" s="388"/>
      <c r="I50" s="388"/>
      <c r="J50" s="388"/>
      <c r="K50" s="388"/>
      <c r="L50" s="388"/>
      <c r="M50" s="393"/>
    </row>
    <row r="51" spans="2:13" x14ac:dyDescent="0.3">
      <c r="B51" s="392"/>
      <c r="C51" s="388"/>
      <c r="D51" s="388"/>
      <c r="E51" s="388"/>
      <c r="F51" s="388"/>
      <c r="G51" s="388"/>
      <c r="H51" s="388"/>
      <c r="I51" s="388"/>
      <c r="J51" s="388"/>
      <c r="K51" s="388"/>
      <c r="L51" s="388"/>
      <c r="M51" s="393"/>
    </row>
    <row r="52" spans="2:13" ht="15" thickBot="1" x14ac:dyDescent="0.35">
      <c r="B52" s="394"/>
      <c r="C52" s="395"/>
      <c r="D52" s="395"/>
      <c r="E52" s="395"/>
      <c r="F52" s="395"/>
      <c r="G52" s="395"/>
      <c r="H52" s="395"/>
      <c r="I52" s="395"/>
      <c r="J52" s="395"/>
      <c r="K52" s="395"/>
      <c r="L52" s="395"/>
      <c r="M52" s="396"/>
    </row>
  </sheetData>
  <mergeCells count="3">
    <mergeCell ref="B2:I2"/>
    <mergeCell ref="B14:M29"/>
    <mergeCell ref="B33:M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Assumptions</vt:lpstr>
      <vt:lpstr>WACC</vt:lpstr>
      <vt:lpstr>Data-competitors</vt:lpstr>
      <vt:lpstr>WACC Scenario Analysis</vt:lpstr>
      <vt:lpstr>Kd Calculation</vt:lpstr>
      <vt:lpstr>Rm (S&amp;P-500 Returns)</vt:lpstr>
      <vt:lpstr>Beta-Twitter Inc</vt:lpstr>
      <vt:lpstr>Beta-Meta</vt:lpstr>
      <vt:lpstr>Beta-Alphabet Inc (Class A)</vt:lpstr>
      <vt:lpstr>Beta-SNAP Inc</vt:lpstr>
      <vt:lpstr>Beta-Pinterest</vt:lpstr>
      <vt:lpstr>Beta-Microsoft Corp</vt:lpstr>
      <vt:lpstr>Raw CF and Pnl Stm</vt:lpstr>
      <vt:lpstr>Intrinsic Growth Rate</vt:lpstr>
      <vt:lpstr>DCF &amp; Sensitivity Analysis</vt:lpstr>
      <vt:lpstr>Further Sensitivity Analysis</vt:lpstr>
      <vt:lpstr>Compr Scenario Analysis-DCF</vt:lpstr>
      <vt:lpstr>Raw Data for Relative Valuation</vt:lpstr>
      <vt:lpstr>Forecasting-EPS of Twitter</vt:lpstr>
      <vt:lpstr>Twitter-Comp company Valuation</vt:lpstr>
      <vt:lpstr>Raw data for precedent analysis</vt:lpstr>
      <vt:lpstr>Precedent Transaction Valuation</vt:lpstr>
      <vt:lpstr>Football Field Analysis</vt:lpstr>
      <vt:lpstr>Valuation Sumamry-Twitter Inc.</vt:lpstr>
      <vt:lpstr>Gain or loss for Musk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Muhammad</dc:creator>
  <cp:lastModifiedBy>Hussain Muhammad</cp:lastModifiedBy>
  <dcterms:created xsi:type="dcterms:W3CDTF">2024-10-27T16:05:22Z</dcterms:created>
  <dcterms:modified xsi:type="dcterms:W3CDTF">2025-01-10T21:22:35Z</dcterms:modified>
</cp:coreProperties>
</file>