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rofessional\Downloads\"/>
    </mc:Choice>
  </mc:AlternateContent>
  <xr:revisionPtr revIDLastSave="0" documentId="13_ncr:1_{C53152FC-9AF3-45BC-8C02-7AF4C5E15402}" xr6:coauthVersionLast="45" xr6:coauthVersionMax="45" xr10:uidLastSave="{00000000-0000-0000-0000-000000000000}"/>
  <bookViews>
    <workbookView xWindow="-120" yWindow="-120" windowWidth="29040" windowHeight="16440" activeTab="5" xr2:uid="{00000000-000D-0000-FFFF-FFFF00000000}"/>
  </bookViews>
  <sheets>
    <sheet name="Ручной расчет" sheetId="1" r:id="rId1"/>
    <sheet name="Лист1" sheetId="4" r:id="rId2"/>
    <sheet name="Лист2" sheetId="5" r:id="rId3"/>
    <sheet name="Лист3" sheetId="6" r:id="rId4"/>
    <sheet name="Лист4" sheetId="7" r:id="rId5"/>
    <sheet name="Автоматизированный расчет" sheetId="3" r:id="rId6"/>
    <sheet name="Соответствие профилю (old)" sheetId="2" r:id="rId7"/>
  </sheets>
  <calcPr calcId="191029"/>
  <pivotCaches>
    <pivotCache cacheId="18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3" l="1"/>
  <c r="E18" i="3"/>
  <c r="F18" i="3"/>
  <c r="G18" i="3"/>
  <c r="D5" i="3"/>
  <c r="E5" i="3"/>
  <c r="F5" i="3"/>
  <c r="H5" i="3" s="1"/>
  <c r="G5" i="3"/>
  <c r="P5" i="3"/>
  <c r="S5" i="3"/>
  <c r="U5" i="3" s="1"/>
  <c r="V5" i="3"/>
  <c r="G2" i="3"/>
  <c r="H18" i="3" l="1"/>
  <c r="P3" i="3" l="1"/>
  <c r="P4" i="3"/>
  <c r="P6" i="3"/>
  <c r="F14" i="3"/>
  <c r="G3" i="3"/>
  <c r="G4" i="3"/>
  <c r="G6" i="3"/>
  <c r="G7" i="3"/>
  <c r="G8" i="3"/>
  <c r="G9" i="3"/>
  <c r="G10" i="3"/>
  <c r="G11" i="3"/>
  <c r="G12" i="3"/>
  <c r="G13" i="3"/>
  <c r="G14" i="3"/>
  <c r="G15" i="3"/>
  <c r="G16" i="3"/>
  <c r="G17" i="3"/>
  <c r="I28" i="1" l="1"/>
  <c r="P2" i="3"/>
  <c r="P22" i="1"/>
  <c r="L10" i="1"/>
  <c r="L11" i="1"/>
  <c r="L12" i="1"/>
  <c r="L13" i="1"/>
  <c r="L14" i="1"/>
  <c r="L15" i="1"/>
  <c r="L9" i="1"/>
  <c r="K15" i="1"/>
  <c r="K14" i="1"/>
  <c r="K13" i="1"/>
  <c r="K12" i="1"/>
  <c r="K11" i="1"/>
  <c r="K10" i="1"/>
  <c r="K9" i="1"/>
  <c r="D13" i="3"/>
  <c r="D14" i="3"/>
  <c r="D2" i="3"/>
  <c r="W2" i="3"/>
  <c r="V2" i="3" s="1"/>
  <c r="S2" i="3"/>
  <c r="S6" i="3"/>
  <c r="S4" i="3"/>
  <c r="S3" i="3"/>
  <c r="C21" i="3"/>
  <c r="C24" i="3"/>
  <c r="C22" i="3"/>
  <c r="C25" i="3"/>
  <c r="C26" i="3"/>
  <c r="C23" i="3"/>
  <c r="G23" i="3" l="1"/>
  <c r="G26" i="3"/>
  <c r="I27" i="3" s="1"/>
  <c r="G25" i="3"/>
  <c r="G22" i="3"/>
  <c r="I23" i="3" s="1"/>
  <c r="G24" i="3"/>
  <c r="I25" i="3" s="1"/>
  <c r="G21" i="3"/>
  <c r="G27" i="3"/>
  <c r="I28" i="3" s="1"/>
  <c r="I22" i="3"/>
  <c r="F15" i="3"/>
  <c r="F16" i="3"/>
  <c r="F17" i="3"/>
  <c r="D4" i="3"/>
  <c r="F13" i="3"/>
  <c r="U6" i="3"/>
  <c r="D15" i="3" s="1"/>
  <c r="F8" i="3"/>
  <c r="F7" i="3"/>
  <c r="F9" i="3"/>
  <c r="F6" i="3"/>
  <c r="U4" i="3"/>
  <c r="D11" i="3" s="1"/>
  <c r="F3" i="3"/>
  <c r="F2" i="3"/>
  <c r="F4" i="3"/>
  <c r="U3" i="3"/>
  <c r="D7" i="3" s="1"/>
  <c r="F12" i="3"/>
  <c r="F11" i="3"/>
  <c r="F10" i="3"/>
  <c r="U2" i="3"/>
  <c r="I24" i="3"/>
  <c r="I26" i="3"/>
  <c r="E17" i="3"/>
  <c r="E12" i="3"/>
  <c r="D10" i="3"/>
  <c r="D3" i="3"/>
  <c r="D17" i="3"/>
  <c r="D12" i="3"/>
  <c r="D9" i="3"/>
  <c r="D6" i="3"/>
  <c r="D16" i="3"/>
  <c r="D8" i="3"/>
  <c r="E9" i="3"/>
  <c r="E16" i="3"/>
  <c r="E8" i="3"/>
  <c r="E15" i="3"/>
  <c r="E11" i="3"/>
  <c r="E7" i="3"/>
  <c r="H7" i="3" s="1"/>
  <c r="E4" i="3"/>
  <c r="E2" i="3"/>
  <c r="H2" i="3" s="1"/>
  <c r="E14" i="3"/>
  <c r="H14" i="3" s="1"/>
  <c r="E13" i="3"/>
  <c r="E10" i="3"/>
  <c r="E6" i="3"/>
  <c r="E3" i="3"/>
  <c r="D24" i="3"/>
  <c r="D25" i="3"/>
  <c r="D22" i="3"/>
  <c r="D27" i="3"/>
  <c r="D23" i="3"/>
  <c r="D26" i="3"/>
  <c r="V4" i="3"/>
  <c r="V3" i="3"/>
  <c r="V6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/>
  <c r="H15" i="3" l="1"/>
  <c r="H13" i="3"/>
  <c r="H4" i="3"/>
  <c r="U7" i="3"/>
  <c r="I29" i="3"/>
  <c r="H11" i="3"/>
  <c r="H3" i="3"/>
  <c r="H17" i="3"/>
  <c r="H9" i="3"/>
  <c r="H12" i="3"/>
  <c r="H16" i="3"/>
  <c r="H8" i="3"/>
  <c r="H6" i="3"/>
  <c r="H10" i="3"/>
  <c r="V7" i="3"/>
  <c r="I40" i="2"/>
  <c r="I44" i="2"/>
  <c r="I41" i="2"/>
  <c r="I32" i="2"/>
  <c r="I31" i="2"/>
  <c r="I30" i="2"/>
  <c r="I29" i="2"/>
  <c r="I28" i="2"/>
  <c r="I27" i="2"/>
  <c r="I26" i="2"/>
  <c r="J28" i="1" l="1"/>
  <c r="K28" i="1"/>
  <c r="L28" i="1"/>
  <c r="M28" i="1"/>
  <c r="N28" i="1"/>
  <c r="O28" i="1"/>
  <c r="L39" i="1" l="1"/>
  <c r="L40" i="1"/>
  <c r="L41" i="1"/>
  <c r="L42" i="1"/>
  <c r="L38" i="1"/>
  <c r="P24" i="1" l="1"/>
  <c r="P23" i="1"/>
  <c r="P26" i="1" l="1"/>
  <c r="P27" i="1"/>
  <c r="P25" i="1" l="1"/>
  <c r="P28" i="1" l="1"/>
  <c r="C28" i="3" l="1"/>
  <c r="D28" i="3" s="1"/>
  <c r="D21" i="3"/>
</calcChain>
</file>

<file path=xl/sharedStrings.xml><?xml version="1.0" encoding="utf-8"?>
<sst xmlns="http://schemas.openxmlformats.org/spreadsheetml/2006/main" count="257" uniqueCount="83">
  <si>
    <t>N</t>
  </si>
  <si>
    <t>Операция</t>
  </si>
  <si>
    <t>Кол-во/час пиковой нагрузки</t>
  </si>
  <si>
    <t>Процент в профиле</t>
  </si>
  <si>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</si>
  <si>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</si>
  <si>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</si>
  <si>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</si>
  <si>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</si>
  <si>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</si>
  <si>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</si>
  <si>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</si>
  <si>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Операции и статистика</t>
  </si>
  <si>
    <t>Название сценария</t>
  </si>
  <si>
    <t>Покупка билета</t>
  </si>
  <si>
    <t xml:space="preserve">Удаление бронирования </t>
  </si>
  <si>
    <t>Покупка билета (без просмотра квитанции)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</si>
  <si>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</si>
  <si>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</si>
  <si>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</si>
  <si>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</si>
  <si>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Название операции</t>
  </si>
  <si>
    <t>Итого:</t>
  </si>
  <si>
    <t>Время между итерациями, с</t>
  </si>
  <si>
    <t>Количество ВП</t>
  </si>
  <si>
    <t>Интенсивность, оп/ч Необходимая</t>
  </si>
  <si>
    <t>Интенсивность рассчет</t>
  </si>
  <si>
    <t>Поиск билета без оплаты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</si>
  <si>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</si>
  <si>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</si>
  <si>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</si>
  <si>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</si>
  <si>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</si>
  <si>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</si>
  <si>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</si>
  <si>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</si>
  <si>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</si>
  <si>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</si>
  <si>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</si>
  <si>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</si>
  <si>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</si>
  <si>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</si>
  <si>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</si>
  <si>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</si>
  <si>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</si>
  <si>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</si>
  <si>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</si>
  <si>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</si>
  <si>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</si>
  <si>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</si>
  <si>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</si>
  <si>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</si>
  <si>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</si>
  <si>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</si>
  <si>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</si>
  <si>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</si>
  <si>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Статистика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</si>
  <si>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</si>
  <si>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</si>
  <si>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</si>
  <si>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</si>
  <si>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</si>
  <si>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</si>
  <si>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</si>
  <si>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</si>
  <si>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</si>
  <si>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</si>
  <si>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</si>
  <si>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Запросов в час</t>
  </si>
  <si>
    <t>pacing</t>
  </si>
  <si>
    <t>одним пользователем в минуту</t>
  </si>
  <si>
    <t>Длительность ступени</t>
  </si>
  <si>
    <t>Duration + Thin_time</t>
  </si>
  <si>
    <t>Апрель</t>
  </si>
  <si>
    <t>% отклонения от исх. Статистики</t>
  </si>
  <si>
    <t>Фактическая интенсивность по запросам</t>
  </si>
  <si>
    <t>% отклонения от профиля</t>
  </si>
  <si>
    <r>
      <t>Профильь запросов/</t>
    </r>
    <r>
      <rPr>
        <b/>
        <i/>
        <u/>
        <sz val="14"/>
        <rFont val="Times New Roman"/>
        <family val="1"/>
      </rPr>
      <t>10 мин</t>
    </r>
  </si>
  <si>
    <t>После внесения изменений в таблице справа не забывайте обновлять сводную таблицу</t>
  </si>
  <si>
    <t>Логин</t>
  </si>
  <si>
    <t>Проверка купленных билетов</t>
  </si>
  <si>
    <t>Удаление билета</t>
  </si>
  <si>
    <t>Не знаю как добавить строчку, выделенную красным в сводную таблицу, чтобы атоматически подсчитало, поэтому изменил вручную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</si>
</sst>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1"/>
      <name val="Calibri"/>
      <family val="2"/>
      <scheme val="minor"/>
    </font>
    <font>
      <sz val="14"/>
      <name val="Times New Roman"/>
      <family val="1"/>
    </font>
    <font>
      <b/>
      <i/>
      <u/>
      <sz val="14"/>
      <name val="Times New Roman"/>
      <family val="1"/>
    </font>
    <font>
      <sz val="14"/>
      <color theme="1"/>
      <name val="Times New Roman"/>
      <family val="1"/>
      <charset val="20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12" applyNumberFormat="0" applyAlignment="0" applyProtection="0"/>
    <xf numFmtId="0" fontId="18" fillId="7" borderId="13" applyNumberFormat="0" applyAlignment="0" applyProtection="0"/>
    <xf numFmtId="0" fontId="19" fillId="7" borderId="12" applyNumberFormat="0" applyAlignment="0" applyProtection="0"/>
    <xf numFmtId="0" fontId="20" fillId="0" borderId="14" applyNumberFormat="0" applyFill="0" applyAlignment="0" applyProtection="0"/>
    <xf numFmtId="0" fontId="21" fillId="8" borderId="15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0" borderId="17" applyNumberFormat="0" applyFill="0" applyAlignment="0" applyProtection="0"/>
    <xf numFmtId="0" fontId="2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6" applyNumberFormat="0" applyFont="0" applyAlignment="0" applyProtection="0"/>
    <xf numFmtId="9" fontId="25" fillId="0" borderId="0" applyFont="0" applyFill="0" applyBorder="0" applyAlignment="0" applyProtection="0"/>
  </cellStyleXfs>
  <cellXfs count="1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9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6" xfId="0" applyBorder="1"/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8" fillId="4" borderId="4" xfId="3" applyBorder="1" applyAlignment="1">
      <alignment horizontal="center" vertical="center" wrapText="1"/>
    </xf>
    <xf numFmtId="0" fontId="7" fillId="3" borderId="4" xfId="2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top" wrapText="1"/>
    </xf>
    <xf numFmtId="0" fontId="11" fillId="0" borderId="8" xfId="0" applyFont="1" applyBorder="1" applyAlignment="1">
      <alignment horizontal="left" vertical="top" wrapText="1"/>
    </xf>
    <xf numFmtId="0" fontId="9" fillId="0" borderId="8" xfId="4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10" fontId="10" fillId="0" borderId="8" xfId="0" applyNumberFormat="1" applyFont="1" applyBorder="1" applyAlignment="1">
      <alignment horizontal="center" vertical="top"/>
    </xf>
    <xf numFmtId="10" fontId="12" fillId="0" borderId="8" xfId="0" applyNumberFormat="1" applyFont="1" applyBorder="1" applyAlignment="1">
      <alignment horizontal="center" vertical="top"/>
    </xf>
    <xf numFmtId="10" fontId="12" fillId="0" borderId="8" xfId="0" applyNumberFormat="1" applyFont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0" fontId="1" fillId="0" borderId="8" xfId="42" applyBorder="1"/>
    <xf numFmtId="0" fontId="10" fillId="0" borderId="8" xfId="0" applyFont="1" applyBorder="1" applyAlignment="1">
      <alignment horizontal="left" vertical="top"/>
    </xf>
    <xf numFmtId="10" fontId="10" fillId="0" borderId="8" xfId="0" applyNumberFormat="1" applyFont="1" applyBorder="1" applyAlignment="1">
      <alignment horizontal="left" vertical="top"/>
    </xf>
    <xf numFmtId="0" fontId="9" fillId="0" borderId="8" xfId="4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1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9" fontId="0" fillId="0" borderId="0" xfId="44" applyFont="1"/>
    <xf numFmtId="0" fontId="6" fillId="0" borderId="0" xfId="1" applyFill="1"/>
    <xf numFmtId="0" fontId="0" fillId="0" borderId="0" xfId="0" applyFill="1"/>
    <xf numFmtId="0" fontId="3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8" xfId="0" applyFont="1" applyBorder="1"/>
    <xf numFmtId="0" fontId="0" fillId="0" borderId="8" xfId="0" applyBorder="1"/>
    <xf numFmtId="9" fontId="3" fillId="0" borderId="8" xfId="44" applyFont="1" applyBorder="1" applyAlignment="1">
      <alignment horizontal="left" vertical="center" wrapText="1"/>
    </xf>
    <xf numFmtId="1" fontId="3" fillId="0" borderId="8" xfId="0" applyNumberFormat="1" applyFont="1" applyBorder="1" applyAlignment="1">
      <alignment horizontal="left" vertical="center" wrapText="1"/>
    </xf>
    <xf numFmtId="1" fontId="26" fillId="35" borderId="8" xfId="0" applyNumberFormat="1" applyFont="1" applyFill="1" applyBorder="1" applyAlignment="1">
      <alignment horizontal="left" vertical="center" wrapText="1"/>
    </xf>
    <xf numFmtId="0" fontId="0" fillId="36" borderId="8" xfId="0" applyFill="1" applyBorder="1"/>
    <xf numFmtId="0" fontId="27" fillId="0" borderId="0" xfId="0" applyFont="1"/>
    <xf numFmtId="1" fontId="27" fillId="0" borderId="0" xfId="0" applyNumberFormat="1" applyFont="1"/>
    <xf numFmtId="9" fontId="27" fillId="0" borderId="0" xfId="0" applyNumberFormat="1" applyFont="1"/>
    <xf numFmtId="0" fontId="27" fillId="0" borderId="8" xfId="0" applyFont="1" applyFill="1" applyBorder="1"/>
    <xf numFmtId="0" fontId="28" fillId="35" borderId="8" xfId="0" applyFont="1" applyFill="1" applyBorder="1" applyAlignment="1">
      <alignment horizontal="left" vertical="center" wrapText="1"/>
    </xf>
    <xf numFmtId="9" fontId="0" fillId="0" borderId="0" xfId="0" applyNumberFormat="1"/>
    <xf numFmtId="0" fontId="0" fillId="36" borderId="24" xfId="0" applyFill="1" applyBorder="1"/>
    <xf numFmtId="0" fontId="0" fillId="36" borderId="25" xfId="0" applyFill="1" applyBorder="1"/>
    <xf numFmtId="0" fontId="27" fillId="36" borderId="25" xfId="0" applyFont="1" applyFill="1" applyBorder="1"/>
    <xf numFmtId="0" fontId="27" fillId="36" borderId="26" xfId="0" applyFont="1" applyFill="1" applyBorder="1"/>
    <xf numFmtId="2" fontId="0" fillId="0" borderId="0" xfId="0" applyNumberFormat="1" applyBorder="1"/>
    <xf numFmtId="1" fontId="27" fillId="0" borderId="0" xfId="0" applyNumberFormat="1" applyFont="1" applyBorder="1"/>
    <xf numFmtId="9" fontId="27" fillId="0" borderId="0" xfId="0" applyNumberFormat="1" applyFont="1" applyBorder="1"/>
    <xf numFmtId="0" fontId="27" fillId="0" borderId="6" xfId="0" applyFont="1" applyBorder="1"/>
    <xf numFmtId="0" fontId="0" fillId="0" borderId="29" xfId="0" applyBorder="1"/>
    <xf numFmtId="2" fontId="0" fillId="0" borderId="5" xfId="0" applyNumberFormat="1" applyBorder="1"/>
    <xf numFmtId="1" fontId="27" fillId="0" borderId="5" xfId="0" applyNumberFormat="1" applyFont="1" applyBorder="1"/>
    <xf numFmtId="9" fontId="27" fillId="0" borderId="5" xfId="0" applyNumberFormat="1" applyFont="1" applyBorder="1"/>
    <xf numFmtId="0" fontId="27" fillId="0" borderId="4" xfId="0" applyFont="1" applyBorder="1"/>
    <xf numFmtId="0" fontId="5" fillId="0" borderId="5" xfId="0" applyFont="1" applyBorder="1" applyAlignment="1">
      <alignment horizontal="left"/>
    </xf>
    <xf numFmtId="0" fontId="5" fillId="37" borderId="24" xfId="0" applyFont="1" applyFill="1" applyBorder="1" applyAlignment="1">
      <alignment horizontal="center" wrapText="1"/>
    </xf>
    <xf numFmtId="0" fontId="5" fillId="37" borderId="26" xfId="0" applyFont="1" applyFill="1" applyBorder="1" applyAlignment="1">
      <alignment horizontal="center" wrapText="1"/>
    </xf>
    <xf numFmtId="0" fontId="5" fillId="37" borderId="27" xfId="0" applyFont="1" applyFill="1" applyBorder="1" applyAlignment="1">
      <alignment horizontal="center" wrapText="1"/>
    </xf>
    <xf numFmtId="0" fontId="5" fillId="37" borderId="6" xfId="0" applyFont="1" applyFill="1" applyBorder="1" applyAlignment="1">
      <alignment horizontal="center" wrapText="1"/>
    </xf>
    <xf numFmtId="0" fontId="5" fillId="37" borderId="28" xfId="0" applyFont="1" applyFill="1" applyBorder="1" applyAlignment="1">
      <alignment horizontal="center" wrapText="1"/>
    </xf>
    <xf numFmtId="0" fontId="5" fillId="37" borderId="4" xfId="0" applyFont="1" applyFill="1" applyBorder="1" applyAlignment="1">
      <alignment horizontal="center" wrapText="1"/>
    </xf>
    <xf numFmtId="0" fontId="0" fillId="34" borderId="0" xfId="0" applyFill="1" applyAlignment="1">
      <alignment horizontal="center"/>
    </xf>
    <xf numFmtId="0" fontId="0" fillId="38" borderId="8" xfId="0" applyFill="1" applyBorder="1"/>
    <xf numFmtId="0" fontId="0" fillId="39" borderId="8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31" xfId="0" applyFill="1" applyBorder="1"/>
    <xf numFmtId="0" fontId="0" fillId="0" borderId="26" xfId="0" applyBorder="1"/>
    <xf numFmtId="0" fontId="0" fillId="0" borderId="4" xfId="0" applyBorder="1"/>
    <xf numFmtId="0" fontId="0" fillId="5" borderId="8" xfId="0" applyFill="1" applyBorder="1"/>
    <xf numFmtId="0" fontId="0" fillId="5" borderId="7" xfId="0" applyFill="1" applyBorder="1"/>
    <xf numFmtId="0" fontId="0" fillId="5" borderId="30" xfId="0" applyFill="1" applyBorder="1"/>
    <xf numFmtId="0" fontId="0" fillId="5" borderId="0" xfId="0" applyFill="1" applyBorder="1"/>
    <xf numFmtId="0" fontId="0" fillId="5" borderId="32" xfId="0" applyFill="1" applyBorder="1"/>
    <xf numFmtId="0" fontId="30" fillId="5" borderId="8" xfId="0" applyFont="1" applyFill="1" applyBorder="1" applyAlignment="1">
      <alignment horizontal="left" vertical="center" wrapText="1"/>
    </xf>
    <xf numFmtId="1" fontId="30" fillId="5" borderId="8" xfId="0" applyNumberFormat="1" applyFont="1" applyFill="1" applyBorder="1" applyAlignment="1">
      <alignment horizontal="left" vertical="center" wrapText="1"/>
    </xf>
    <xf numFmtId="9" fontId="30" fillId="5" borderId="8" xfId="44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1" fontId="3" fillId="5" borderId="8" xfId="0" applyNumberFormat="1" applyFont="1" applyFill="1" applyBorder="1" applyAlignment="1">
      <alignment horizontal="left" vertical="center" wrapText="1"/>
    </xf>
    <xf numFmtId="9" fontId="3" fillId="5" borderId="8" xfId="44" applyFont="1" applyFill="1" applyBorder="1" applyAlignment="1">
      <alignment horizontal="left" vertical="center" wrapText="1"/>
    </xf>
    <xf numFmtId="0" fontId="0" fillId="40" borderId="0" xfId="0" applyFill="1" applyBorder="1"/>
    <xf numFmtId="0" fontId="0" fillId="40" borderId="32" xfId="0" applyFill="1" applyBorder="1"/>
    <xf numFmtId="0" fontId="0" fillId="40" borderId="6" xfId="0" applyFill="1" applyBorder="1"/>
    <xf numFmtId="0" fontId="0" fillId="40" borderId="0" xfId="0" applyFill="1"/>
    <xf numFmtId="2" fontId="0" fillId="40" borderId="0" xfId="0" applyNumberFormat="1" applyFill="1"/>
    <xf numFmtId="1" fontId="0" fillId="40" borderId="0" xfId="0" applyNumberFormat="1" applyFill="1"/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 xr:uid="{D0B2F1B7-AACC-435D-9754-3ABECF1F1E3C}"/>
    <cellStyle name="Обычный 3" xfId="42" xr:uid="{38AB8912-B8DB-4975-BF95-24BAE8E9314A}"/>
    <cellStyle name="Плохой" xfId="2" builtinId="27" customBuiltin="1"/>
    <cellStyle name="Пояснение" xfId="16" builtinId="53" customBuiltin="1"/>
    <cellStyle name="Примечание 2" xfId="43" xr:uid="{5DB8A108-6C29-4BDB-BF02-7C9BE96B190C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4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right style="thin">
          <color indexed="64"/>
        </right>
      </border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essional" refreshedDate="44040.758058680556" createdVersion="6" refreshedVersion="6" minRefreshableVersion="3" recordCount="16" xr:uid="{849ED774-79A0-8640-B03A-801DA7FF34DA}">
  <cacheSource type="worksheet">
    <worksheetSource ref="A1:H17" sheet="Автоматизированный расчет"/>
  </cacheSource>
  <cacheFields count="8">
    <cacheField name="Script name" numFmtId="0">
      <sharedItems/>
    </cacheField>
    <cacheField name="transaction rq" numFmtId="0">
      <sharedItems count="7">
        <s v="Вход в систему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22" maxValue="64"/>
    </cacheField>
    <cacheField name="одним пользователем в минуту" numFmtId="2">
      <sharedItems containsSemiMixedTypes="0" containsString="0" containsNumber="1" minValue="0.9375" maxValue="2.7272727272727271"/>
    </cacheField>
    <cacheField name="Длительность ступени" numFmtId="0">
      <sharedItems containsSemiMixedTypes="0" containsString="0" containsNumber="1" containsInteger="1" minValue="60" maxValue="60"/>
    </cacheField>
    <cacheField name="Итого" numFmtId="1">
      <sharedItems containsSemiMixedTypes="0" containsString="0" containsNumber="1" minValue="109.09090909090909" maxValue="327.272727272727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Покупка билета"/>
    <x v="0"/>
    <n v="1"/>
    <n v="2"/>
    <n v="64"/>
    <n v="0.9375"/>
    <n v="60"/>
    <n v="112.5"/>
  </r>
  <r>
    <s v="Покупка билета"/>
    <x v="1"/>
    <n v="1"/>
    <n v="2"/>
    <n v="64"/>
    <n v="0.9375"/>
    <n v="60"/>
    <n v="112.5"/>
  </r>
  <r>
    <s v="Покупка билета"/>
    <x v="2"/>
    <n v="1"/>
    <n v="2"/>
    <n v="64"/>
    <n v="0.9375"/>
    <n v="60"/>
    <n v="112.5"/>
  </r>
  <r>
    <s v="Покупка билета"/>
    <x v="3"/>
    <n v="1"/>
    <n v="2"/>
    <n v="64"/>
    <n v="0.9375"/>
    <n v="60"/>
    <n v="112.5"/>
  </r>
  <r>
    <s v="Удаление билета"/>
    <x v="0"/>
    <n v="1"/>
    <n v="2"/>
    <n v="43"/>
    <n v="1.3953488372093024"/>
    <n v="60"/>
    <n v="167.44186046511629"/>
  </r>
  <r>
    <s v="Удаление билета"/>
    <x v="4"/>
    <n v="1"/>
    <n v="2"/>
    <n v="43"/>
    <n v="1.3953488372093024"/>
    <n v="60"/>
    <n v="167.44186046511629"/>
  </r>
  <r>
    <s v="Удаление билета"/>
    <x v="5"/>
    <n v="1"/>
    <n v="2"/>
    <n v="43"/>
    <n v="1.3953488372093024"/>
    <n v="60"/>
    <n v="167.44186046511629"/>
  </r>
  <r>
    <s v="Удаление билета"/>
    <x v="6"/>
    <n v="1"/>
    <n v="2"/>
    <n v="43"/>
    <n v="1.3953488372093024"/>
    <n v="60"/>
    <n v="167.44186046511629"/>
  </r>
  <r>
    <s v="Поиск билета без оплаты"/>
    <x v="0"/>
    <n v="1"/>
    <n v="3"/>
    <n v="43"/>
    <n v="1.3953488372093024"/>
    <n v="60"/>
    <n v="251.16279069767444"/>
  </r>
  <r>
    <s v="Поиск билета без оплаты"/>
    <x v="1"/>
    <n v="1"/>
    <n v="3"/>
    <n v="43"/>
    <n v="1.3953488372093024"/>
    <n v="60"/>
    <n v="251.16279069767444"/>
  </r>
  <r>
    <s v="Поиск билета без оплаты"/>
    <x v="6"/>
    <n v="1"/>
    <n v="3"/>
    <n v="43"/>
    <n v="1.3953488372093024"/>
    <n v="60"/>
    <n v="251.16279069767444"/>
  </r>
  <r>
    <s v="Логин"/>
    <x v="0"/>
    <n v="1"/>
    <n v="2"/>
    <n v="22"/>
    <n v="2.7272727272727271"/>
    <n v="60"/>
    <n v="327.27272727272725"/>
  </r>
  <r>
    <s v="Логин"/>
    <x v="6"/>
    <n v="1"/>
    <n v="2"/>
    <n v="22"/>
    <n v="2.7272727272727271"/>
    <n v="60"/>
    <n v="327.27272727272725"/>
  </r>
  <r>
    <s v="Проверка купленных билетов"/>
    <x v="0"/>
    <n v="1"/>
    <n v="1"/>
    <n v="33"/>
    <n v="1.8181818181818181"/>
    <n v="60"/>
    <n v="109.09090909090909"/>
  </r>
  <r>
    <s v="Проверка купленных билетов"/>
    <x v="4"/>
    <n v="1"/>
    <n v="1"/>
    <n v="33"/>
    <n v="1.8181818181818181"/>
    <n v="60"/>
    <n v="109.09090909090909"/>
  </r>
  <r>
    <s v="Проверка купленных билетов"/>
    <x v="6"/>
    <n v="1"/>
    <n v="1"/>
    <n v="33"/>
    <n v="1.8181818181818181"/>
    <n v="60"/>
    <n v="109.090909090909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1B8241-71E6-3F4A-ACE2-C3E8BA417ED7}" name="Сводная таблица2" cacheId="18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9" firstHeaderRow="1" firstDataRow="1" firstDataCol="1"/>
  <pivotFields count="8">
    <pivotField showAll="0"/>
    <pivotField axis="axisRow" showAll="0">
      <items count="8">
        <item x="0"/>
        <item x="2"/>
        <item x="6"/>
        <item x="1"/>
        <item x="3"/>
        <item x="5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F7674-73B0-4A78-A8DB-3787267DA34D}" name="Таблица1" displayName="Таблица1" ref="A1:H6" totalsRowShown="0">
  <autoFilter ref="A1:H6" xr:uid="{B1AC2ABE-1BB9-4556-A05D-573B1EFF2782}"/>
  <tableColumns count="8">
    <tableColumn id="1" xr3:uid="{01A7AC68-6F90-4DB3-A40C-BC68524FF0A0}" name="Script name"/>
    <tableColumn id="2" xr3:uid="{CEC2D305-C88B-4F67-88BD-AD5179849487}" name="transaction rq"/>
    <tableColumn id="3" xr3:uid="{9B16814C-A23A-4562-BE74-044A6966B068}" name="count" dataDxfId="2"/>
    <tableColumn id="4" xr3:uid="{EFAD72D8-365C-43DB-8557-A48449323FC2}" name="VU" dataDxfId="0"/>
    <tableColumn id="5" xr3:uid="{D7E22E4C-2521-499F-B06A-457CDCE2A3AF}" name="pacing" dataDxfId="1"/>
    <tableColumn id="6" xr3:uid="{5475C0E4-A388-4DEE-AA31-43D13A902303}" name="одним пользователем в минуту"/>
    <tableColumn id="7" xr3:uid="{2D51A5EF-9B83-404D-9E44-4B9F0B5B20AC}" name="Длительность ступени"/>
    <tableColumn id="8" xr3:uid="{81AC7675-CC45-4A8C-A3F2-A9C099BE9F99}" name="Итого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8ABAEC-EFFF-470F-A81B-26C04953E831}" name="Таблица2" displayName="Таблица2" ref="A1:H2" totalsRowShown="0">
  <autoFilter ref="A1:H2" xr:uid="{C719492A-2389-4B8C-8B97-A2EF6EEBC4F1}"/>
  <tableColumns count="8">
    <tableColumn id="1" xr3:uid="{A60BF539-48D7-42D8-85A8-8BCD8BBE081B}" name="Script name"/>
    <tableColumn id="2" xr3:uid="{F14F9319-584D-4A44-9980-5E0EEFC83BA4}" name="transaction rq"/>
    <tableColumn id="3" xr3:uid="{478C73BB-3498-43BF-9247-5D3264D1AC7D}" name="count"/>
    <tableColumn id="4" xr3:uid="{0F81524F-1771-4D93-99F9-B858460167DA}" name="VU"/>
    <tableColumn id="5" xr3:uid="{F2BE8777-4B8B-4930-A758-B8AEC2D67DCD}" name="pacing"/>
    <tableColumn id="6" xr3:uid="{DCCF0409-5C19-4CBB-BEC4-A7EFDC9F11E7}" name="одним пользователем в минуту"/>
    <tableColumn id="7" xr3:uid="{F8B95BCC-910B-41A0-8FF3-F6A8F431D272}" name="Длительность ступени"/>
    <tableColumn id="8" xr3:uid="{DBC581D1-CBDB-47C3-9B79-21D6392EF573}" name="Итого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5B7328-9ECD-40D4-AF98-5B57FED9CDDC}" name="Таблица3" displayName="Таблица3" ref="A1:H6" totalsRowShown="0">
  <autoFilter ref="A1:H6" xr:uid="{88FE845D-7457-475B-AE56-C365836C1FC6}"/>
  <tableColumns count="8">
    <tableColumn id="1" xr3:uid="{FFCE64B9-A858-4468-8186-5DC1E855FB5F}" name="Script name"/>
    <tableColumn id="2" xr3:uid="{D338E309-0274-474F-B9D0-818153C6132C}" name="transaction rq"/>
    <tableColumn id="3" xr3:uid="{5B686CC2-258B-4A9D-8108-A87BF07A958F}" name="count"/>
    <tableColumn id="4" xr3:uid="{BC976921-8CFF-48A3-90D9-EE3D8A0AED59}" name="VU"/>
    <tableColumn id="5" xr3:uid="{75C4A4EC-4F25-4E5A-BE38-909468EC97EF}" name="pacing"/>
    <tableColumn id="6" xr3:uid="{A9E85F1F-5AD4-44E0-A52D-B7FDB0027EC2}" name="одним пользователем в минуту"/>
    <tableColumn id="7" xr3:uid="{6D3BFD2B-076D-4444-B53B-3ACFEAD2D5AC}" name="Длительность ступени"/>
    <tableColumn id="8" xr3:uid="{448820D6-9688-4D5B-BC5E-4DDB9FCBD88F}" name="Итого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4B0F06-F98A-42CB-B8F6-0B3CA9BFC1FE}" name="Таблица4" displayName="Таблица4" ref="A1:H2" totalsRowShown="0">
  <autoFilter ref="A1:H2" xr:uid="{E2DF1C77-B779-4DBC-B603-CD04C25EDDFE}"/>
  <tableColumns count="8">
    <tableColumn id="1" xr3:uid="{5DFE5B77-E2ED-4644-9843-6270ACE028C3}" name="Script name"/>
    <tableColumn id="2" xr3:uid="{443EA1B4-E9B3-4E05-ABC4-374112B588A8}" name="transaction rq"/>
    <tableColumn id="3" xr3:uid="{5C313891-AAF1-45B7-9FD3-099F7431BD1E}" name="count"/>
    <tableColumn id="4" xr3:uid="{7B15CDC4-D065-45D5-B95B-1AB93812256F}" name="VU"/>
    <tableColumn id="5" xr3:uid="{D24867B9-22A8-4113-9F3C-AA7EB1480A1E}" name="pacing"/>
    <tableColumn id="6" xr3:uid="{6CC8ED94-4E62-4694-B3B3-27AEAB8F2215}" name="одним пользователем в минуту"/>
    <tableColumn id="7" xr3:uid="{65B9A64B-5F43-4E36-BBE6-AADFE59C1892}" name="Длительность ступени"/>
    <tableColumn id="8" xr3:uid="{F13C93E6-9DB5-4B7D-8038-046ACC17CD46}" name="Итог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S42"/>
  <sheetViews>
    <sheetView zoomScale="85" zoomScaleNormal="85" workbookViewId="0">
      <selection activeCell="P14" sqref="P14"/>
    </sheetView>
  </sheetViews>
  <sheetFormatPr defaultColWidth="8.85546875" defaultRowHeight="15" x14ac:dyDescent="0.25"/>
  <cols>
    <col min="5" max="5" width="7.28515625" customWidth="1"/>
    <col min="6" max="6" width="6.85546875" customWidth="1"/>
    <col min="7" max="7" width="3.140625" bestFit="1" customWidth="1"/>
    <col min="8" max="8" width="30.140625" bestFit="1" customWidth="1"/>
    <col min="9" max="9" width="18" bestFit="1" customWidth="1"/>
    <col min="10" max="10" width="19.42578125" customWidth="1"/>
    <col min="11" max="11" width="15.42578125" customWidth="1"/>
    <col min="12" max="12" width="19.42578125" customWidth="1"/>
    <col min="13" max="13" width="13.42578125" customWidth="1"/>
    <col min="14" max="15" width="12.140625" customWidth="1"/>
    <col min="17" max="17" width="13.42578125" bestFit="1" customWidth="1"/>
    <col min="18" max="18" width="24.42578125" bestFit="1" customWidth="1"/>
    <col min="20" max="20" width="4.42578125" bestFit="1" customWidth="1"/>
  </cols>
  <sheetData>
    <row r="6" spans="7:12" ht="15.75" thickBot="1" x14ac:dyDescent="0.3">
      <c r="H6" t="s">
        <v>73</v>
      </c>
    </row>
    <row r="7" spans="7:12" ht="19.5" hidden="1" thickBot="1" x14ac:dyDescent="0.35">
      <c r="G7" s="72" t="s">
        <v>12</v>
      </c>
      <c r="H7" s="72"/>
      <c r="I7" s="72"/>
      <c r="J7" s="72"/>
    </row>
    <row r="8" spans="7:12" ht="57" thickBot="1" x14ac:dyDescent="0.3">
      <c r="G8" s="1" t="s">
        <v>0</v>
      </c>
      <c r="H8" s="2" t="s">
        <v>1</v>
      </c>
      <c r="I8" s="3" t="s">
        <v>2</v>
      </c>
      <c r="J8" s="3" t="s">
        <v>3</v>
      </c>
    </row>
    <row r="9" spans="7:12" ht="19.5" thickBot="1" x14ac:dyDescent="0.3">
      <c r="G9" s="4">
        <v>1</v>
      </c>
      <c r="H9" s="5" t="s">
        <v>4</v>
      </c>
      <c r="I9" s="6">
        <v>422</v>
      </c>
      <c r="J9" s="7">
        <v>0.25</v>
      </c>
      <c r="K9">
        <f>I28</f>
        <v>368</v>
      </c>
      <c r="L9" s="42">
        <f>1-I9/K9</f>
        <v>-0.14673913043478271</v>
      </c>
    </row>
    <row r="10" spans="7:12" ht="38.25" thickBot="1" x14ac:dyDescent="0.3">
      <c r="G10" s="4">
        <v>2</v>
      </c>
      <c r="H10" s="5" t="s">
        <v>5</v>
      </c>
      <c r="I10" s="6">
        <v>282</v>
      </c>
      <c r="J10" s="7">
        <v>0.17</v>
      </c>
      <c r="K10">
        <f>J28</f>
        <v>251</v>
      </c>
      <c r="L10" s="42">
        <f t="shared" ref="L10:L15" si="0">1-I10/K10</f>
        <v>-0.12350597609561742</v>
      </c>
    </row>
    <row r="11" spans="7:12" ht="38.25" thickBot="1" x14ac:dyDescent="0.3">
      <c r="G11" s="4">
        <v>3</v>
      </c>
      <c r="H11" s="5" t="s">
        <v>6</v>
      </c>
      <c r="I11" s="6">
        <v>251</v>
      </c>
      <c r="J11" s="7">
        <v>0.15</v>
      </c>
      <c r="K11">
        <f>K28</f>
        <v>251</v>
      </c>
      <c r="L11" s="42">
        <f t="shared" si="0"/>
        <v>0</v>
      </c>
    </row>
    <row r="12" spans="7:12" ht="19.5" thickBot="1" x14ac:dyDescent="0.3">
      <c r="G12" s="4">
        <v>4</v>
      </c>
      <c r="H12" s="5" t="s">
        <v>7</v>
      </c>
      <c r="I12" s="6">
        <v>175</v>
      </c>
      <c r="J12" s="7">
        <v>0.1</v>
      </c>
      <c r="K12">
        <f>L28</f>
        <v>175</v>
      </c>
      <c r="L12" s="42">
        <f t="shared" si="0"/>
        <v>0</v>
      </c>
    </row>
    <row r="13" spans="7:12" ht="19.5" thickBot="1" x14ac:dyDescent="0.3">
      <c r="G13" s="4">
        <v>5</v>
      </c>
      <c r="H13" s="5" t="s">
        <v>8</v>
      </c>
      <c r="I13" s="6">
        <v>159</v>
      </c>
      <c r="J13" s="7">
        <v>0.09</v>
      </c>
      <c r="K13">
        <f>M28</f>
        <v>159</v>
      </c>
      <c r="L13" s="42">
        <f t="shared" si="0"/>
        <v>0</v>
      </c>
    </row>
    <row r="14" spans="7:12" ht="38.25" thickBot="1" x14ac:dyDescent="0.3">
      <c r="G14" s="4">
        <v>6</v>
      </c>
      <c r="H14" s="5" t="s">
        <v>9</v>
      </c>
      <c r="I14" s="6">
        <v>73</v>
      </c>
      <c r="J14" s="7">
        <v>0.04</v>
      </c>
      <c r="K14">
        <f>N28</f>
        <v>73</v>
      </c>
      <c r="L14" s="42">
        <f t="shared" si="0"/>
        <v>0</v>
      </c>
    </row>
    <row r="15" spans="7:12" ht="19.5" thickBot="1" x14ac:dyDescent="0.3">
      <c r="G15" s="4">
        <v>7</v>
      </c>
      <c r="H15" s="5" t="s">
        <v>10</v>
      </c>
      <c r="I15" s="6">
        <v>326</v>
      </c>
      <c r="J15" s="7">
        <v>0.2</v>
      </c>
      <c r="K15">
        <f>O28</f>
        <v>326</v>
      </c>
      <c r="L15" s="42">
        <f t="shared" si="0"/>
        <v>0</v>
      </c>
    </row>
    <row r="16" spans="7:12" ht="19.5" thickBot="1" x14ac:dyDescent="0.3">
      <c r="G16" s="4"/>
      <c r="H16" s="8" t="s">
        <v>11</v>
      </c>
      <c r="I16" s="6">
        <v>1688</v>
      </c>
      <c r="J16" s="7">
        <v>1</v>
      </c>
    </row>
    <row r="20" spans="6:19" ht="15.75" thickBot="1" x14ac:dyDescent="0.3"/>
    <row r="21" spans="6:19" ht="57" thickBot="1" x14ac:dyDescent="0.3">
      <c r="F21" s="15"/>
      <c r="G21" s="1"/>
      <c r="H21" s="16" t="s">
        <v>21</v>
      </c>
      <c r="I21" s="3" t="s">
        <v>4</v>
      </c>
      <c r="J21" s="3" t="s">
        <v>18</v>
      </c>
      <c r="K21" s="3" t="s">
        <v>19</v>
      </c>
      <c r="L21" s="3" t="s">
        <v>7</v>
      </c>
      <c r="M21" s="3" t="s">
        <v>8</v>
      </c>
      <c r="N21" s="3" t="s">
        <v>20</v>
      </c>
      <c r="O21" s="3" t="s">
        <v>10</v>
      </c>
      <c r="P21" s="13" t="s">
        <v>11</v>
      </c>
      <c r="R21" s="18"/>
    </row>
    <row r="22" spans="6:19" ht="19.5" thickBot="1" x14ac:dyDescent="0.3">
      <c r="F22" s="15"/>
      <c r="G22" s="6" t="s">
        <v>0</v>
      </c>
      <c r="H22" s="14" t="s">
        <v>13</v>
      </c>
      <c r="I22" s="6"/>
      <c r="J22" s="6"/>
      <c r="K22" s="6"/>
      <c r="L22" s="6"/>
      <c r="M22" s="6"/>
      <c r="N22" s="6"/>
      <c r="O22" s="6"/>
      <c r="P22" s="19">
        <f>SUM(I22:O22)</f>
        <v>0</v>
      </c>
      <c r="R22" s="43"/>
      <c r="S22" s="43"/>
    </row>
    <row r="23" spans="6:19" ht="19.5" thickBot="1" x14ac:dyDescent="0.3">
      <c r="F23" s="15"/>
      <c r="G23" s="6">
        <v>1</v>
      </c>
      <c r="H23" s="6" t="s">
        <v>14</v>
      </c>
      <c r="I23" s="6">
        <v>42</v>
      </c>
      <c r="J23" s="6">
        <v>42</v>
      </c>
      <c r="K23" s="6">
        <v>42</v>
      </c>
      <c r="L23" s="6">
        <v>42</v>
      </c>
      <c r="M23" s="6">
        <v>42</v>
      </c>
      <c r="N23" s="6"/>
      <c r="O23" s="6"/>
      <c r="P23" s="19">
        <f t="shared" ref="P23:P28" si="1">SUM(I23:O23)</f>
        <v>210</v>
      </c>
      <c r="R23" s="43"/>
      <c r="S23" s="44"/>
    </row>
    <row r="24" spans="6:19" ht="38.25" thickBot="1" x14ac:dyDescent="0.3">
      <c r="F24" s="15"/>
      <c r="G24" s="6">
        <v>2</v>
      </c>
      <c r="H24" s="6" t="s">
        <v>15</v>
      </c>
      <c r="I24" s="6">
        <v>73</v>
      </c>
      <c r="J24" s="6"/>
      <c r="K24" s="6"/>
      <c r="L24" s="6"/>
      <c r="M24" s="6">
        <v>73</v>
      </c>
      <c r="N24" s="6">
        <v>73</v>
      </c>
      <c r="O24" s="6">
        <v>73</v>
      </c>
      <c r="P24" s="19">
        <f t="shared" si="1"/>
        <v>292</v>
      </c>
      <c r="R24" s="43"/>
      <c r="S24" s="44"/>
    </row>
    <row r="25" spans="6:19" ht="38.25" thickBot="1" x14ac:dyDescent="0.3">
      <c r="F25" s="15"/>
      <c r="G25" s="6">
        <v>3</v>
      </c>
      <c r="H25" s="6" t="s">
        <v>27</v>
      </c>
      <c r="I25" s="6">
        <v>76</v>
      </c>
      <c r="J25" s="6">
        <v>76</v>
      </c>
      <c r="K25" s="6">
        <v>76</v>
      </c>
      <c r="L25" s="6"/>
      <c r="M25" s="6"/>
      <c r="N25" s="6"/>
      <c r="O25" s="6">
        <v>76</v>
      </c>
      <c r="P25" s="19">
        <f t="shared" si="1"/>
        <v>304</v>
      </c>
      <c r="R25" s="43"/>
      <c r="S25" s="44"/>
    </row>
    <row r="26" spans="6:19" ht="38.25" thickBot="1" x14ac:dyDescent="0.3">
      <c r="F26" s="15"/>
      <c r="G26" s="6">
        <v>4</v>
      </c>
      <c r="H26" s="6" t="s">
        <v>16</v>
      </c>
      <c r="I26" s="6">
        <v>133</v>
      </c>
      <c r="J26" s="6">
        <v>133</v>
      </c>
      <c r="K26" s="6">
        <v>133</v>
      </c>
      <c r="L26" s="6">
        <v>133</v>
      </c>
      <c r="M26" s="6"/>
      <c r="N26" s="6"/>
      <c r="O26" s="6">
        <v>133</v>
      </c>
      <c r="P26" s="19">
        <f t="shared" si="1"/>
        <v>665</v>
      </c>
      <c r="R26" s="43"/>
      <c r="S26" s="44"/>
    </row>
    <row r="27" spans="6:19" ht="38.25" thickBot="1" x14ac:dyDescent="0.3">
      <c r="F27" s="15"/>
      <c r="G27" s="6">
        <v>5</v>
      </c>
      <c r="H27" s="6" t="s">
        <v>17</v>
      </c>
      <c r="I27" s="6">
        <v>44</v>
      </c>
      <c r="J27" s="6"/>
      <c r="K27" s="6"/>
      <c r="L27" s="6"/>
      <c r="M27" s="6">
        <v>44</v>
      </c>
      <c r="N27" s="6"/>
      <c r="O27" s="6">
        <v>44</v>
      </c>
      <c r="P27" s="19">
        <f t="shared" si="1"/>
        <v>132</v>
      </c>
      <c r="R27" s="43"/>
      <c r="S27" s="44"/>
    </row>
    <row r="28" spans="6:19" ht="19.5" thickBot="1" x14ac:dyDescent="0.3">
      <c r="F28" s="15"/>
      <c r="G28" s="14"/>
      <c r="H28" s="14" t="s">
        <v>22</v>
      </c>
      <c r="I28" s="20">
        <f>SUM(I23:I27)</f>
        <v>368</v>
      </c>
      <c r="J28" s="20">
        <f t="shared" ref="J28:O28" si="2">SUM(J23:J27)</f>
        <v>251</v>
      </c>
      <c r="K28" s="20">
        <f t="shared" si="2"/>
        <v>251</v>
      </c>
      <c r="L28" s="20">
        <f t="shared" si="2"/>
        <v>175</v>
      </c>
      <c r="M28" s="20">
        <f t="shared" si="2"/>
        <v>159</v>
      </c>
      <c r="N28" s="20">
        <f t="shared" si="2"/>
        <v>73</v>
      </c>
      <c r="O28" s="20">
        <f t="shared" si="2"/>
        <v>326</v>
      </c>
      <c r="P28" s="19">
        <f t="shared" si="1"/>
        <v>1603</v>
      </c>
    </row>
    <row r="29" spans="6:19" ht="18.75" x14ac:dyDescent="0.25">
      <c r="G29" s="9"/>
      <c r="H29" s="10"/>
      <c r="I29" s="9"/>
      <c r="J29" s="11"/>
    </row>
    <row r="30" spans="6:19" ht="18.75" x14ac:dyDescent="0.25">
      <c r="G30" s="9"/>
      <c r="H30" s="12"/>
      <c r="I30" s="9"/>
      <c r="J30" s="11"/>
    </row>
    <row r="33" spans="7:13" x14ac:dyDescent="0.25">
      <c r="J33" s="17"/>
    </row>
    <row r="36" spans="7:13" ht="19.5" thickBot="1" x14ac:dyDescent="0.3">
      <c r="G36" s="14"/>
      <c r="H36" s="14"/>
      <c r="I36" s="14"/>
      <c r="J36" s="14"/>
      <c r="K36" s="14"/>
    </row>
    <row r="37" spans="7:13" ht="57" thickBot="1" x14ac:dyDescent="0.3">
      <c r="G37" s="14" t="s">
        <v>0</v>
      </c>
      <c r="H37" s="14" t="s">
        <v>13</v>
      </c>
      <c r="I37" s="14" t="s">
        <v>23</v>
      </c>
      <c r="J37" s="14" t="s">
        <v>25</v>
      </c>
      <c r="K37" s="14" t="s">
        <v>24</v>
      </c>
      <c r="L37" s="21" t="s">
        <v>26</v>
      </c>
      <c r="M37" s="22"/>
    </row>
    <row r="38" spans="7:13" ht="19.5" thickBot="1" x14ac:dyDescent="0.3">
      <c r="G38" s="14">
        <v>1</v>
      </c>
      <c r="H38" s="14" t="s">
        <v>14</v>
      </c>
      <c r="I38" s="14">
        <v>70</v>
      </c>
      <c r="J38" s="14">
        <v>42</v>
      </c>
      <c r="K38" s="14">
        <v>1</v>
      </c>
      <c r="L38" s="21">
        <f>(3600*K38)/I38</f>
        <v>51.428571428571431</v>
      </c>
      <c r="M38" s="22"/>
    </row>
    <row r="39" spans="7:13" ht="38.25" thickBot="1" x14ac:dyDescent="0.3">
      <c r="G39" s="14">
        <v>2</v>
      </c>
      <c r="H39" s="14" t="s">
        <v>15</v>
      </c>
      <c r="I39" s="14">
        <v>49</v>
      </c>
      <c r="J39" s="14">
        <v>73</v>
      </c>
      <c r="K39" s="14">
        <v>1</v>
      </c>
      <c r="L39" s="21">
        <f t="shared" ref="L39:L42" si="3">(3600*K39)/I39</f>
        <v>73.469387755102048</v>
      </c>
      <c r="M39" s="22"/>
    </row>
    <row r="40" spans="7:13" ht="38.25" thickBot="1" x14ac:dyDescent="0.3">
      <c r="G40" s="14">
        <v>3</v>
      </c>
      <c r="H40" s="14" t="s">
        <v>27</v>
      </c>
      <c r="I40" s="14">
        <v>47</v>
      </c>
      <c r="J40" s="14">
        <v>76</v>
      </c>
      <c r="K40" s="14">
        <v>1</v>
      </c>
      <c r="L40" s="21">
        <f t="shared" si="3"/>
        <v>76.59574468085107</v>
      </c>
      <c r="M40" s="22"/>
    </row>
    <row r="41" spans="7:13" ht="57" thickBot="1" x14ac:dyDescent="0.3">
      <c r="G41" s="14">
        <v>4</v>
      </c>
      <c r="H41" s="14" t="s">
        <v>16</v>
      </c>
      <c r="I41" s="14">
        <v>27</v>
      </c>
      <c r="J41" s="14">
        <v>133</v>
      </c>
      <c r="K41" s="14">
        <v>1</v>
      </c>
      <c r="L41" s="21">
        <f t="shared" si="3"/>
        <v>133.33333333333334</v>
      </c>
      <c r="M41" s="22"/>
    </row>
    <row r="42" spans="7:13" ht="38.25" thickBot="1" x14ac:dyDescent="0.3">
      <c r="G42" s="14">
        <v>5</v>
      </c>
      <c r="H42" s="14" t="s">
        <v>17</v>
      </c>
      <c r="I42" s="14">
        <v>82</v>
      </c>
      <c r="J42" s="14">
        <v>44</v>
      </c>
      <c r="K42" s="14">
        <v>1</v>
      </c>
      <c r="L42" s="21">
        <f t="shared" si="3"/>
        <v>43.902439024390247</v>
      </c>
      <c r="M42" s="22"/>
    </row>
  </sheetData>
  <mergeCells count="1">
    <mergeCell ref="G7:J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C957-3F3A-47AF-994C-E167ABB8DF6D}">
  <dimension ref="A1:H6"/>
  <sheetViews>
    <sheetView workbookViewId="0">
      <selection activeCell="F13" sqref="F13"/>
    </sheetView>
  </sheetViews>
  <sheetFormatPr defaultRowHeight="15" x14ac:dyDescent="0.25"/>
  <cols>
    <col min="1" max="1" width="13.5703125" customWidth="1"/>
    <col min="2" max="2" width="15.28515625" customWidth="1"/>
    <col min="6" max="6" width="32.7109375" customWidth="1"/>
    <col min="7" max="7" width="23.7109375" customWidth="1"/>
  </cols>
  <sheetData>
    <row r="1" spans="1:8" x14ac:dyDescent="0.25">
      <c r="A1" t="s">
        <v>51</v>
      </c>
      <c r="B1" t="s">
        <v>52</v>
      </c>
      <c r="C1" t="s">
        <v>53</v>
      </c>
      <c r="D1" t="s">
        <v>58</v>
      </c>
      <c r="E1" t="s">
        <v>69</v>
      </c>
      <c r="F1" t="s">
        <v>70</v>
      </c>
      <c r="G1" t="s">
        <v>71</v>
      </c>
      <c r="H1" t="s">
        <v>11</v>
      </c>
    </row>
    <row r="2" spans="1:8" x14ac:dyDescent="0.25">
      <c r="A2" t="s">
        <v>79</v>
      </c>
      <c r="B2" t="s">
        <v>4</v>
      </c>
      <c r="C2">
        <v>1</v>
      </c>
      <c r="D2" s="93">
        <v>2</v>
      </c>
      <c r="E2">
        <v>64</v>
      </c>
      <c r="F2" s="41">
        <v>0.9375</v>
      </c>
      <c r="G2">
        <v>60</v>
      </c>
      <c r="H2" s="40">
        <v>112.5</v>
      </c>
    </row>
    <row r="3" spans="1:8" x14ac:dyDescent="0.25">
      <c r="A3" t="s">
        <v>27</v>
      </c>
      <c r="B3" t="s">
        <v>4</v>
      </c>
      <c r="C3">
        <v>1</v>
      </c>
      <c r="D3" s="93">
        <v>3</v>
      </c>
      <c r="E3">
        <v>43</v>
      </c>
      <c r="F3" s="41">
        <v>1.3953488372093024</v>
      </c>
      <c r="G3">
        <v>60</v>
      </c>
      <c r="H3" s="40">
        <v>167.44186046511629</v>
      </c>
    </row>
    <row r="4" spans="1:8" x14ac:dyDescent="0.25">
      <c r="A4" s="82" t="s">
        <v>14</v>
      </c>
      <c r="B4" t="s">
        <v>4</v>
      </c>
      <c r="C4">
        <v>1</v>
      </c>
      <c r="D4" s="93">
        <v>2</v>
      </c>
      <c r="E4">
        <v>43</v>
      </c>
      <c r="F4" s="41">
        <v>1.3953488372093024</v>
      </c>
      <c r="G4">
        <v>60</v>
      </c>
      <c r="H4" s="40">
        <v>251.16279069767444</v>
      </c>
    </row>
    <row r="5" spans="1:8" x14ac:dyDescent="0.25">
      <c r="A5" s="82" t="s">
        <v>80</v>
      </c>
      <c r="B5" t="s">
        <v>4</v>
      </c>
      <c r="C5">
        <v>1</v>
      </c>
      <c r="D5" s="93">
        <v>1</v>
      </c>
      <c r="E5">
        <v>22</v>
      </c>
      <c r="F5" s="41">
        <v>2.7272727272727271</v>
      </c>
      <c r="G5">
        <v>60</v>
      </c>
      <c r="H5" s="40">
        <v>327.27272727272725</v>
      </c>
    </row>
    <row r="6" spans="1:8" ht="15.75" thickBot="1" x14ac:dyDescent="0.3">
      <c r="A6" s="83" t="s">
        <v>81</v>
      </c>
      <c r="B6" t="s">
        <v>4</v>
      </c>
      <c r="C6">
        <v>1</v>
      </c>
      <c r="D6" s="93">
        <v>2</v>
      </c>
      <c r="E6">
        <v>33</v>
      </c>
      <c r="F6" s="41">
        <v>1.8181818181818181</v>
      </c>
      <c r="G6">
        <v>60</v>
      </c>
      <c r="H6" s="40">
        <v>109.09090909090909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C766-4C2F-4E42-980C-E6B4CD1DA507}">
  <dimension ref="A1:H2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15.28515625" customWidth="1"/>
    <col min="6" max="6" width="32.7109375" customWidth="1"/>
    <col min="7" max="7" width="23.7109375" customWidth="1"/>
  </cols>
  <sheetData>
    <row r="1" spans="1:8" x14ac:dyDescent="0.25">
      <c r="A1" t="s">
        <v>51</v>
      </c>
      <c r="B1" t="s">
        <v>52</v>
      </c>
      <c r="C1" t="s">
        <v>53</v>
      </c>
      <c r="D1" t="s">
        <v>58</v>
      </c>
      <c r="E1" t="s">
        <v>69</v>
      </c>
      <c r="F1" t="s">
        <v>70</v>
      </c>
      <c r="G1" t="s">
        <v>71</v>
      </c>
      <c r="H1" t="s">
        <v>11</v>
      </c>
    </row>
    <row r="2" spans="1:8" x14ac:dyDescent="0.25">
      <c r="A2" t="s">
        <v>14</v>
      </c>
      <c r="B2" t="s">
        <v>19</v>
      </c>
      <c r="C2">
        <v>1</v>
      </c>
      <c r="D2">
        <v>2</v>
      </c>
      <c r="E2">
        <v>64</v>
      </c>
      <c r="F2">
        <v>0.9375</v>
      </c>
      <c r="G2">
        <v>60</v>
      </c>
      <c r="H2">
        <v>112.5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B1DE-2945-44AA-BC27-077C1189DC12}">
  <dimension ref="A1:H6"/>
  <sheetViews>
    <sheetView workbookViewId="0">
      <selection activeCell="H2" sqref="H2:H6"/>
    </sheetView>
  </sheetViews>
  <sheetFormatPr defaultRowHeight="15" x14ac:dyDescent="0.25"/>
  <cols>
    <col min="1" max="1" width="13.5703125" customWidth="1"/>
    <col min="2" max="2" width="15.28515625" customWidth="1"/>
    <col min="6" max="6" width="32.7109375" customWidth="1"/>
    <col min="7" max="7" width="23.7109375" customWidth="1"/>
  </cols>
  <sheetData>
    <row r="1" spans="1:8" x14ac:dyDescent="0.25">
      <c r="A1" t="s">
        <v>51</v>
      </c>
      <c r="B1" t="s">
        <v>52</v>
      </c>
      <c r="C1" t="s">
        <v>53</v>
      </c>
      <c r="D1" t="s">
        <v>58</v>
      </c>
      <c r="E1" t="s">
        <v>69</v>
      </c>
      <c r="F1" t="s">
        <v>70</v>
      </c>
      <c r="G1" t="s">
        <v>71</v>
      </c>
      <c r="H1" t="s">
        <v>11</v>
      </c>
    </row>
    <row r="2" spans="1:8" x14ac:dyDescent="0.25">
      <c r="A2" t="s">
        <v>14</v>
      </c>
      <c r="B2" t="s">
        <v>4</v>
      </c>
      <c r="C2">
        <v>1</v>
      </c>
      <c r="D2">
        <v>2</v>
      </c>
      <c r="E2">
        <v>64</v>
      </c>
      <c r="F2">
        <v>0.9375</v>
      </c>
      <c r="G2">
        <v>60</v>
      </c>
      <c r="H2">
        <v>112.5</v>
      </c>
    </row>
    <row r="3" spans="1:8" x14ac:dyDescent="0.25">
      <c r="A3" t="s">
        <v>80</v>
      </c>
      <c r="B3" t="s">
        <v>4</v>
      </c>
      <c r="C3">
        <v>1</v>
      </c>
      <c r="D3">
        <v>1</v>
      </c>
      <c r="E3">
        <v>33</v>
      </c>
      <c r="F3">
        <v>1.8181818181818181</v>
      </c>
      <c r="G3">
        <v>60</v>
      </c>
      <c r="H3">
        <v>109.09090909090909</v>
      </c>
    </row>
    <row r="4" spans="1:8" x14ac:dyDescent="0.25">
      <c r="A4" t="s">
        <v>79</v>
      </c>
      <c r="B4" t="s">
        <v>4</v>
      </c>
      <c r="C4">
        <v>1</v>
      </c>
      <c r="D4">
        <v>2</v>
      </c>
      <c r="E4">
        <v>22</v>
      </c>
      <c r="F4">
        <v>2.7272727272727271</v>
      </c>
      <c r="G4">
        <v>60</v>
      </c>
      <c r="H4">
        <v>327.27272727272725</v>
      </c>
    </row>
    <row r="5" spans="1:8" x14ac:dyDescent="0.25">
      <c r="A5" t="s">
        <v>27</v>
      </c>
      <c r="B5" t="s">
        <v>4</v>
      </c>
      <c r="C5">
        <v>1</v>
      </c>
      <c r="D5">
        <v>3</v>
      </c>
      <c r="E5">
        <v>43</v>
      </c>
      <c r="F5">
        <v>1.3953488372093024</v>
      </c>
      <c r="G5">
        <v>60</v>
      </c>
      <c r="H5">
        <v>251.16279069767444</v>
      </c>
    </row>
    <row r="6" spans="1:8" x14ac:dyDescent="0.25">
      <c r="A6" t="s">
        <v>81</v>
      </c>
      <c r="B6" t="s">
        <v>4</v>
      </c>
      <c r="C6">
        <v>1</v>
      </c>
      <c r="D6">
        <v>2</v>
      </c>
      <c r="E6">
        <v>43</v>
      </c>
      <c r="F6">
        <v>1.3953488372093024</v>
      </c>
      <c r="G6">
        <v>60</v>
      </c>
      <c r="H6">
        <v>167.44186046511629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CB21-F240-4F47-9CA7-351F086FDB24}">
  <dimension ref="A1:H2"/>
  <sheetViews>
    <sheetView workbookViewId="0">
      <selection sqref="A1:H2"/>
    </sheetView>
  </sheetViews>
  <sheetFormatPr defaultRowHeight="15" x14ac:dyDescent="0.25"/>
  <cols>
    <col min="1" max="1" width="13.5703125" customWidth="1"/>
    <col min="2" max="2" width="15.28515625" customWidth="1"/>
    <col min="6" max="6" width="32.7109375" customWidth="1"/>
    <col min="7" max="7" width="23.7109375" customWidth="1"/>
  </cols>
  <sheetData>
    <row r="1" spans="1:8" x14ac:dyDescent="0.25">
      <c r="A1" t="s">
        <v>51</v>
      </c>
      <c r="B1" t="s">
        <v>52</v>
      </c>
      <c r="C1" t="s">
        <v>53</v>
      </c>
      <c r="D1" t="s">
        <v>58</v>
      </c>
      <c r="E1" t="s">
        <v>69</v>
      </c>
      <c r="F1" t="s">
        <v>70</v>
      </c>
      <c r="G1" t="s">
        <v>71</v>
      </c>
      <c r="H1" t="s">
        <v>11</v>
      </c>
    </row>
    <row r="2" spans="1:8" x14ac:dyDescent="0.25">
      <c r="A2" t="s">
        <v>14</v>
      </c>
      <c r="B2" t="s">
        <v>19</v>
      </c>
      <c r="C2">
        <v>1</v>
      </c>
      <c r="D2">
        <v>2</v>
      </c>
      <c r="E2">
        <v>64</v>
      </c>
      <c r="F2">
        <v>0.9375</v>
      </c>
      <c r="G2">
        <v>20</v>
      </c>
      <c r="H2">
        <v>37.5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3EA1-9683-764A-B533-D46D1B03E170}">
  <dimension ref="A1:W30"/>
  <sheetViews>
    <sheetView tabSelected="1" zoomScale="85" workbookViewId="0">
      <selection activeCell="B34" sqref="B34"/>
    </sheetView>
  </sheetViews>
  <sheetFormatPr defaultColWidth="11.42578125" defaultRowHeight="15" x14ac:dyDescent="0.25"/>
  <cols>
    <col min="1" max="1" width="22.7109375" customWidth="1"/>
    <col min="2" max="2" width="31.42578125" bestFit="1" customWidth="1"/>
    <col min="9" max="9" width="36.85546875" bestFit="1" customWidth="1"/>
    <col min="10" max="10" width="21.5703125" bestFit="1" customWidth="1"/>
    <col min="11" max="11" width="18.7109375" customWidth="1"/>
    <col min="12" max="12" width="27.42578125" bestFit="1" customWidth="1"/>
    <col min="13" max="13" width="35.85546875" bestFit="1" customWidth="1"/>
    <col min="16" max="16" width="12.140625" customWidth="1"/>
    <col min="19" max="19" width="44" bestFit="1" customWidth="1"/>
  </cols>
  <sheetData>
    <row r="1" spans="1:23" ht="15" customHeight="1" x14ac:dyDescent="0.25">
      <c r="A1" s="52" t="s">
        <v>51</v>
      </c>
      <c r="B1" s="52" t="s">
        <v>52</v>
      </c>
      <c r="C1" s="52" t="s">
        <v>53</v>
      </c>
      <c r="D1" s="52" t="s">
        <v>58</v>
      </c>
      <c r="E1" s="52" t="s">
        <v>69</v>
      </c>
      <c r="F1" s="52" t="s">
        <v>70</v>
      </c>
      <c r="G1" s="52" t="s">
        <v>71</v>
      </c>
      <c r="H1" s="52" t="s">
        <v>11</v>
      </c>
      <c r="I1" s="38" t="s">
        <v>54</v>
      </c>
      <c r="J1" t="s">
        <v>67</v>
      </c>
      <c r="K1" s="73" t="s">
        <v>78</v>
      </c>
      <c r="L1" s="74"/>
      <c r="M1" s="59" t="s">
        <v>57</v>
      </c>
      <c r="N1" s="60" t="s">
        <v>59</v>
      </c>
      <c r="O1" s="60" t="s">
        <v>60</v>
      </c>
      <c r="P1" s="60" t="s">
        <v>72</v>
      </c>
      <c r="Q1" s="60" t="s">
        <v>61</v>
      </c>
      <c r="R1" s="60" t="s">
        <v>58</v>
      </c>
      <c r="S1" s="60" t="s">
        <v>62</v>
      </c>
      <c r="T1" s="61" t="s">
        <v>63</v>
      </c>
      <c r="U1" s="61" t="s">
        <v>64</v>
      </c>
      <c r="V1" s="61" t="s">
        <v>65</v>
      </c>
      <c r="W1" s="62" t="s">
        <v>66</v>
      </c>
    </row>
    <row r="2" spans="1:23" ht="15" customHeight="1" x14ac:dyDescent="0.25">
      <c r="A2" s="84" t="s">
        <v>14</v>
      </c>
      <c r="B2" s="85" t="s">
        <v>4</v>
      </c>
      <c r="C2" s="94">
        <v>1</v>
      </c>
      <c r="D2" s="15">
        <f t="shared" ref="D2:D18" si="0">VLOOKUP(A2,$M$1:$W$8,6,FALSE)</f>
        <v>2</v>
      </c>
      <c r="E2">
        <f t="shared" ref="E2:E18" si="1">VLOOKUP(A2,$M$1:$W$8,5,FALSE)</f>
        <v>64</v>
      </c>
      <c r="F2" s="41">
        <f>VLOOKUP(A2,$M$1:$W$8,7,FALSE)</f>
        <v>0.9375</v>
      </c>
      <c r="G2">
        <f>VLOOKUP(A2,$M$1:$W$8,8,FALSE)</f>
        <v>60</v>
      </c>
      <c r="H2" s="40">
        <f>D2*F2*G2</f>
        <v>112.5</v>
      </c>
      <c r="I2" s="39" t="s">
        <v>4</v>
      </c>
      <c r="J2" s="37">
        <v>967.46828752642716</v>
      </c>
      <c r="K2" s="75"/>
      <c r="L2" s="76"/>
      <c r="M2" s="82" t="s">
        <v>79</v>
      </c>
      <c r="N2" s="84">
        <v>1.214</v>
      </c>
      <c r="O2" s="85">
        <v>10.022</v>
      </c>
      <c r="P2" s="48">
        <f>N2+O2</f>
        <v>11.236000000000001</v>
      </c>
      <c r="Q2" s="81">
        <v>22</v>
      </c>
      <c r="R2" s="81">
        <v>2</v>
      </c>
      <c r="S2" s="63">
        <f>60/(Q2)</f>
        <v>2.7272727272727271</v>
      </c>
      <c r="T2" s="56">
        <v>60</v>
      </c>
      <c r="U2" s="64">
        <f>ROUND(R2*S2*T2,0)</f>
        <v>327</v>
      </c>
      <c r="V2" s="65">
        <f>R2/W$2</f>
        <v>0.2</v>
      </c>
      <c r="W2" s="66">
        <f>SUM(R2:R6)</f>
        <v>10</v>
      </c>
    </row>
    <row r="3" spans="1:23" ht="15.75" thickBot="1" x14ac:dyDescent="0.3">
      <c r="A3" s="86" t="s">
        <v>14</v>
      </c>
      <c r="B3" s="87" t="s">
        <v>18</v>
      </c>
      <c r="C3" s="97">
        <v>1</v>
      </c>
      <c r="D3" s="15">
        <f t="shared" si="0"/>
        <v>2</v>
      </c>
      <c r="E3">
        <f t="shared" si="1"/>
        <v>64</v>
      </c>
      <c r="F3" s="41">
        <f t="shared" ref="F3:F18" si="2">VLOOKUP(A3,$M$1:$W$8,7,FALSE)</f>
        <v>0.9375</v>
      </c>
      <c r="G3">
        <f t="shared" ref="G3:G18" si="3">VLOOKUP(A3,$M$1:$W$8,8,FALSE)</f>
        <v>60</v>
      </c>
      <c r="H3" s="40">
        <f t="shared" ref="H3:H18" si="4">D3*F3*G3</f>
        <v>112.5</v>
      </c>
      <c r="I3" s="39" t="s">
        <v>19</v>
      </c>
      <c r="J3" s="37">
        <v>112.5</v>
      </c>
      <c r="K3" s="77"/>
      <c r="L3" s="78"/>
      <c r="M3" s="82" t="s">
        <v>27</v>
      </c>
      <c r="N3" s="86">
        <v>1.548</v>
      </c>
      <c r="O3" s="87">
        <v>20.033999999999999</v>
      </c>
      <c r="P3" s="48">
        <f t="shared" ref="P3:P6" si="5">N3+O3</f>
        <v>21.582000000000001</v>
      </c>
      <c r="Q3" s="81">
        <v>43</v>
      </c>
      <c r="R3" s="81">
        <v>3</v>
      </c>
      <c r="S3" s="63">
        <f t="shared" ref="S3:S6" si="6">60/(Q3)</f>
        <v>1.3953488372093024</v>
      </c>
      <c r="T3" s="56">
        <v>60</v>
      </c>
      <c r="U3" s="64">
        <f t="shared" ref="U3:U6" si="7">ROUND(R3*S3*T3,0)</f>
        <v>251</v>
      </c>
      <c r="V3" s="65">
        <f t="shared" ref="V3:V6" si="8">R3/W$2</f>
        <v>0.3</v>
      </c>
      <c r="W3" s="66"/>
    </row>
    <row r="4" spans="1:23" x14ac:dyDescent="0.25">
      <c r="A4" s="86" t="s">
        <v>14</v>
      </c>
      <c r="B4" s="87" t="s">
        <v>19</v>
      </c>
      <c r="C4" s="97">
        <v>1</v>
      </c>
      <c r="D4" s="15">
        <f t="shared" si="0"/>
        <v>2</v>
      </c>
      <c r="E4">
        <f t="shared" si="1"/>
        <v>64</v>
      </c>
      <c r="F4" s="41">
        <f t="shared" si="2"/>
        <v>0.9375</v>
      </c>
      <c r="G4">
        <f t="shared" si="3"/>
        <v>60</v>
      </c>
      <c r="H4" s="40">
        <f t="shared" si="4"/>
        <v>112.5</v>
      </c>
      <c r="I4" s="39" t="s">
        <v>10</v>
      </c>
      <c r="J4" s="37">
        <v>854.96828752642716</v>
      </c>
      <c r="K4" s="37"/>
      <c r="M4" s="82" t="s">
        <v>14</v>
      </c>
      <c r="N4" s="86">
        <v>1.8819999999999999</v>
      </c>
      <c r="O4" s="87">
        <v>30.062000000000001</v>
      </c>
      <c r="P4" s="80">
        <f t="shared" si="5"/>
        <v>31.944000000000003</v>
      </c>
      <c r="Q4" s="81">
        <v>64</v>
      </c>
      <c r="R4" s="81">
        <v>2</v>
      </c>
      <c r="S4" s="63">
        <f t="shared" si="6"/>
        <v>0.9375</v>
      </c>
      <c r="T4" s="56">
        <v>60</v>
      </c>
      <c r="U4" s="64">
        <f t="shared" si="7"/>
        <v>113</v>
      </c>
      <c r="V4" s="65">
        <f t="shared" si="8"/>
        <v>0.2</v>
      </c>
      <c r="W4" s="66"/>
    </row>
    <row r="5" spans="1:23" ht="15.75" thickBot="1" x14ac:dyDescent="0.3">
      <c r="A5" s="86" t="s">
        <v>14</v>
      </c>
      <c r="B5" s="87" t="s">
        <v>7</v>
      </c>
      <c r="C5" s="95">
        <v>1</v>
      </c>
      <c r="D5" s="15">
        <f t="shared" si="0"/>
        <v>2</v>
      </c>
      <c r="E5">
        <f t="shared" si="1"/>
        <v>64</v>
      </c>
      <c r="F5" s="41">
        <f t="shared" si="2"/>
        <v>0.9375</v>
      </c>
      <c r="G5">
        <f t="shared" si="3"/>
        <v>60</v>
      </c>
      <c r="H5" s="40">
        <f t="shared" si="4"/>
        <v>112.5</v>
      </c>
      <c r="I5" s="39" t="s">
        <v>18</v>
      </c>
      <c r="J5" s="37">
        <v>363.66279069767444</v>
      </c>
      <c r="K5" s="37"/>
      <c r="M5" s="82" t="s">
        <v>80</v>
      </c>
      <c r="N5" s="86">
        <v>1.542</v>
      </c>
      <c r="O5" s="87">
        <v>15.03</v>
      </c>
      <c r="P5" s="48">
        <f t="shared" si="5"/>
        <v>16.571999999999999</v>
      </c>
      <c r="Q5" s="81">
        <v>33</v>
      </c>
      <c r="R5" s="81">
        <v>1</v>
      </c>
      <c r="S5" s="63">
        <f t="shared" si="6"/>
        <v>1.8181818181818181</v>
      </c>
      <c r="T5" s="56">
        <v>60</v>
      </c>
      <c r="U5" s="64">
        <f t="shared" si="7"/>
        <v>109</v>
      </c>
      <c r="V5" s="65">
        <f t="shared" si="8"/>
        <v>0.1</v>
      </c>
      <c r="W5" s="66"/>
    </row>
    <row r="6" spans="1:23" ht="15.75" thickBot="1" x14ac:dyDescent="0.3">
      <c r="A6" s="84" t="s">
        <v>81</v>
      </c>
      <c r="B6" s="85" t="s">
        <v>4</v>
      </c>
      <c r="C6" s="94">
        <v>1</v>
      </c>
      <c r="D6" s="91">
        <f t="shared" si="0"/>
        <v>2</v>
      </c>
      <c r="E6">
        <f t="shared" si="1"/>
        <v>43</v>
      </c>
      <c r="F6" s="41">
        <f t="shared" si="2"/>
        <v>1.3953488372093024</v>
      </c>
      <c r="G6">
        <f t="shared" si="3"/>
        <v>60</v>
      </c>
      <c r="H6" s="40">
        <f t="shared" si="4"/>
        <v>167.44186046511629</v>
      </c>
      <c r="I6" s="39" t="s">
        <v>7</v>
      </c>
      <c r="J6" s="37">
        <v>112.5</v>
      </c>
      <c r="K6" s="37"/>
      <c r="M6" s="83" t="s">
        <v>81</v>
      </c>
      <c r="N6" s="88">
        <v>1.6870000000000001</v>
      </c>
      <c r="O6" s="89">
        <v>20.038</v>
      </c>
      <c r="P6" s="67">
        <f t="shared" si="5"/>
        <v>21.725000000000001</v>
      </c>
      <c r="Q6" s="81">
        <v>43</v>
      </c>
      <c r="R6" s="81">
        <v>2</v>
      </c>
      <c r="S6" s="68">
        <f t="shared" si="6"/>
        <v>1.3953488372093024</v>
      </c>
      <c r="T6" s="56">
        <v>60</v>
      </c>
      <c r="U6" s="69">
        <f t="shared" si="7"/>
        <v>167</v>
      </c>
      <c r="V6" s="70">
        <f t="shared" si="8"/>
        <v>0.2</v>
      </c>
      <c r="W6" s="71"/>
    </row>
    <row r="7" spans="1:23" x14ac:dyDescent="0.25">
      <c r="A7" s="86" t="s">
        <v>81</v>
      </c>
      <c r="B7" s="87" t="s">
        <v>8</v>
      </c>
      <c r="C7" s="97">
        <v>1</v>
      </c>
      <c r="D7" s="15">
        <f t="shared" si="0"/>
        <v>2</v>
      </c>
      <c r="E7">
        <f t="shared" si="1"/>
        <v>43</v>
      </c>
      <c r="F7" s="41">
        <f t="shared" si="2"/>
        <v>1.3953488372093024</v>
      </c>
      <c r="G7">
        <f t="shared" si="3"/>
        <v>60</v>
      </c>
      <c r="H7" s="40">
        <f t="shared" si="4"/>
        <v>167.44186046511629</v>
      </c>
      <c r="I7" s="39" t="s">
        <v>20</v>
      </c>
      <c r="J7" s="37">
        <v>167.44186046511629</v>
      </c>
      <c r="K7" s="37"/>
      <c r="T7" s="53"/>
      <c r="U7" s="54">
        <f>SUM(U2:U6)</f>
        <v>967</v>
      </c>
      <c r="V7" s="55">
        <f>SUM(V2:V6)</f>
        <v>1</v>
      </c>
      <c r="W7" s="53"/>
    </row>
    <row r="8" spans="1:23" x14ac:dyDescent="0.25">
      <c r="A8" s="86" t="s">
        <v>81</v>
      </c>
      <c r="B8" s="87" t="s">
        <v>20</v>
      </c>
      <c r="C8" s="97">
        <v>1</v>
      </c>
      <c r="D8" s="15">
        <f t="shared" si="0"/>
        <v>2</v>
      </c>
      <c r="E8">
        <f t="shared" si="1"/>
        <v>43</v>
      </c>
      <c r="F8" s="41">
        <f t="shared" si="2"/>
        <v>1.3953488372093024</v>
      </c>
      <c r="G8">
        <f t="shared" si="3"/>
        <v>60</v>
      </c>
      <c r="H8" s="40">
        <f t="shared" si="4"/>
        <v>167.44186046511629</v>
      </c>
      <c r="I8" s="39" t="s">
        <v>8</v>
      </c>
      <c r="J8" s="37">
        <v>276.53276955602541</v>
      </c>
      <c r="K8" s="37"/>
    </row>
    <row r="9" spans="1:23" ht="15.75" thickBot="1" x14ac:dyDescent="0.3">
      <c r="A9" s="88" t="s">
        <v>81</v>
      </c>
      <c r="B9" s="89" t="s">
        <v>10</v>
      </c>
      <c r="C9" s="95">
        <v>1</v>
      </c>
      <c r="D9" s="92">
        <f t="shared" si="0"/>
        <v>2</v>
      </c>
      <c r="E9">
        <f t="shared" si="1"/>
        <v>43</v>
      </c>
      <c r="F9" s="41">
        <f t="shared" si="2"/>
        <v>1.3953488372093024</v>
      </c>
      <c r="G9">
        <f t="shared" si="3"/>
        <v>60</v>
      </c>
      <c r="H9" s="40">
        <f t="shared" si="4"/>
        <v>167.44186046511629</v>
      </c>
      <c r="I9" s="39" t="s">
        <v>55</v>
      </c>
      <c r="J9" s="37">
        <v>2855.0739957716705</v>
      </c>
      <c r="K9" s="37"/>
    </row>
    <row r="10" spans="1:23" x14ac:dyDescent="0.25">
      <c r="A10" s="84" t="s">
        <v>27</v>
      </c>
      <c r="B10" s="85" t="s">
        <v>4</v>
      </c>
      <c r="C10" s="94">
        <v>1</v>
      </c>
      <c r="D10" s="91">
        <f t="shared" si="0"/>
        <v>3</v>
      </c>
      <c r="E10">
        <f t="shared" si="1"/>
        <v>43</v>
      </c>
      <c r="F10" s="41">
        <f t="shared" si="2"/>
        <v>1.3953488372093024</v>
      </c>
      <c r="G10">
        <f t="shared" si="3"/>
        <v>60</v>
      </c>
      <c r="H10" s="40">
        <f t="shared" si="4"/>
        <v>251.16279069767444</v>
      </c>
    </row>
    <row r="11" spans="1:23" x14ac:dyDescent="0.25">
      <c r="A11" s="86" t="s">
        <v>27</v>
      </c>
      <c r="B11" s="87" t="s">
        <v>18</v>
      </c>
      <c r="C11" s="97">
        <v>1</v>
      </c>
      <c r="D11" s="15">
        <f t="shared" si="0"/>
        <v>3</v>
      </c>
      <c r="E11">
        <f t="shared" si="1"/>
        <v>43</v>
      </c>
      <c r="F11" s="41">
        <f t="shared" si="2"/>
        <v>1.3953488372093024</v>
      </c>
      <c r="G11">
        <f t="shared" si="3"/>
        <v>60</v>
      </c>
      <c r="H11" s="40">
        <f t="shared" si="4"/>
        <v>251.16279069767444</v>
      </c>
    </row>
    <row r="12" spans="1:23" ht="15.75" thickBot="1" x14ac:dyDescent="0.3">
      <c r="A12" s="88" t="s">
        <v>27</v>
      </c>
      <c r="B12" s="89" t="s">
        <v>10</v>
      </c>
      <c r="C12" s="95">
        <v>1</v>
      </c>
      <c r="D12" s="92">
        <f t="shared" si="0"/>
        <v>3</v>
      </c>
      <c r="E12">
        <f t="shared" si="1"/>
        <v>43</v>
      </c>
      <c r="F12" s="41">
        <f t="shared" si="2"/>
        <v>1.3953488372093024</v>
      </c>
      <c r="G12">
        <f t="shared" si="3"/>
        <v>60</v>
      </c>
      <c r="H12" s="40">
        <f t="shared" si="4"/>
        <v>251.16279069767444</v>
      </c>
    </row>
    <row r="13" spans="1:23" x14ac:dyDescent="0.25">
      <c r="A13" s="84" t="s">
        <v>79</v>
      </c>
      <c r="B13" s="85" t="s">
        <v>4</v>
      </c>
      <c r="C13" s="94">
        <v>1</v>
      </c>
      <c r="D13" s="91">
        <f t="shared" si="0"/>
        <v>2</v>
      </c>
      <c r="E13">
        <f t="shared" si="1"/>
        <v>22</v>
      </c>
      <c r="F13" s="41">
        <f t="shared" si="2"/>
        <v>2.7272727272727271</v>
      </c>
      <c r="G13">
        <f t="shared" si="3"/>
        <v>60</v>
      </c>
      <c r="H13" s="40">
        <f t="shared" si="4"/>
        <v>327.27272727272725</v>
      </c>
    </row>
    <row r="14" spans="1:23" ht="15.75" thickBot="1" x14ac:dyDescent="0.3">
      <c r="A14" s="90" t="s">
        <v>79</v>
      </c>
      <c r="B14" s="89" t="s">
        <v>10</v>
      </c>
      <c r="C14" s="97">
        <v>1</v>
      </c>
      <c r="D14" s="92">
        <f t="shared" si="0"/>
        <v>2</v>
      </c>
      <c r="E14">
        <f t="shared" si="1"/>
        <v>22</v>
      </c>
      <c r="F14" s="41">
        <f t="shared" si="2"/>
        <v>2.7272727272727271</v>
      </c>
      <c r="G14">
        <f t="shared" si="3"/>
        <v>60</v>
      </c>
      <c r="H14" s="40">
        <f t="shared" si="4"/>
        <v>327.27272727272725</v>
      </c>
    </row>
    <row r="15" spans="1:23" x14ac:dyDescent="0.25">
      <c r="A15" s="86" t="s">
        <v>80</v>
      </c>
      <c r="B15" s="96" t="s">
        <v>4</v>
      </c>
      <c r="C15" s="94">
        <v>1</v>
      </c>
      <c r="D15" s="91">
        <f t="shared" si="0"/>
        <v>1</v>
      </c>
      <c r="E15">
        <f t="shared" si="1"/>
        <v>33</v>
      </c>
      <c r="F15" s="41">
        <f t="shared" si="2"/>
        <v>1.8181818181818181</v>
      </c>
      <c r="G15">
        <f t="shared" si="3"/>
        <v>60</v>
      </c>
      <c r="H15" s="40">
        <f t="shared" si="4"/>
        <v>109.09090909090909</v>
      </c>
    </row>
    <row r="16" spans="1:23" x14ac:dyDescent="0.25">
      <c r="A16" s="86" t="s">
        <v>80</v>
      </c>
      <c r="B16" s="96" t="s">
        <v>8</v>
      </c>
      <c r="C16" s="97">
        <v>1</v>
      </c>
      <c r="D16" s="15">
        <f t="shared" si="0"/>
        <v>1</v>
      </c>
      <c r="E16">
        <f t="shared" si="1"/>
        <v>33</v>
      </c>
      <c r="F16" s="41">
        <f t="shared" si="2"/>
        <v>1.8181818181818181</v>
      </c>
      <c r="G16">
        <f t="shared" si="3"/>
        <v>60</v>
      </c>
      <c r="H16" s="40">
        <f t="shared" si="4"/>
        <v>109.09090909090909</v>
      </c>
    </row>
    <row r="17" spans="1:9" ht="15.75" thickBot="1" x14ac:dyDescent="0.3">
      <c r="A17" s="86" t="s">
        <v>80</v>
      </c>
      <c r="B17" s="90" t="s">
        <v>10</v>
      </c>
      <c r="C17" s="95">
        <v>1</v>
      </c>
      <c r="D17" s="92">
        <f t="shared" si="0"/>
        <v>1</v>
      </c>
      <c r="E17">
        <f t="shared" si="1"/>
        <v>33</v>
      </c>
      <c r="F17" s="41">
        <f t="shared" si="2"/>
        <v>1.8181818181818181</v>
      </c>
      <c r="G17">
        <f t="shared" si="3"/>
        <v>60</v>
      </c>
      <c r="H17" s="40">
        <f t="shared" si="4"/>
        <v>109.09090909090909</v>
      </c>
    </row>
    <row r="18" spans="1:9" x14ac:dyDescent="0.25">
      <c r="A18" s="104" t="s">
        <v>14</v>
      </c>
      <c r="B18" s="104" t="s">
        <v>10</v>
      </c>
      <c r="C18" s="105">
        <v>1</v>
      </c>
      <c r="D18" s="106">
        <f t="shared" si="0"/>
        <v>2</v>
      </c>
      <c r="E18" s="107">
        <f t="shared" si="1"/>
        <v>64</v>
      </c>
      <c r="F18" s="108">
        <f t="shared" si="2"/>
        <v>0.9375</v>
      </c>
      <c r="G18" s="107">
        <f t="shared" si="3"/>
        <v>60</v>
      </c>
      <c r="H18" s="109">
        <f t="shared" si="4"/>
        <v>112.5</v>
      </c>
    </row>
    <row r="20" spans="1:9" ht="131.25" x14ac:dyDescent="0.3">
      <c r="A20" s="47" t="s">
        <v>56</v>
      </c>
      <c r="B20" s="45"/>
      <c r="C20" s="45" t="s">
        <v>68</v>
      </c>
      <c r="D20" s="45" t="s">
        <v>74</v>
      </c>
      <c r="G20" s="57" t="s">
        <v>77</v>
      </c>
      <c r="H20" s="45" t="s">
        <v>75</v>
      </c>
    </row>
    <row r="21" spans="1:9" ht="18.75" x14ac:dyDescent="0.25">
      <c r="A21" s="98" t="s">
        <v>4</v>
      </c>
      <c r="B21" s="98">
        <v>965</v>
      </c>
      <c r="C21" s="99">
        <f>GETPIVOTDATA("Итого",$I$1,"transaction rq",A21)</f>
        <v>967.46828752642716</v>
      </c>
      <c r="D21" s="100">
        <f>1-B21/C21</f>
        <v>2.551285203092224E-3</v>
      </c>
      <c r="G21" s="50">
        <f>C21/6</f>
        <v>161.24471458773786</v>
      </c>
      <c r="H21" s="51"/>
      <c r="I21" s="45" t="s">
        <v>76</v>
      </c>
    </row>
    <row r="22" spans="1:9" ht="56.25" x14ac:dyDescent="0.25">
      <c r="A22" s="101" t="s">
        <v>18</v>
      </c>
      <c r="B22" s="101">
        <v>362</v>
      </c>
      <c r="C22" s="102">
        <f t="shared" ref="C22:C27" si="9">GETPIVOTDATA("Итого",$I$1,"transaction rq",A22)</f>
        <v>363.66279069767444</v>
      </c>
      <c r="D22" s="103">
        <f t="shared" ref="D22:D28" si="10">1-B22/C22</f>
        <v>4.5723421262989783E-3</v>
      </c>
      <c r="G22" s="50">
        <f t="shared" ref="G22:G27" si="11">C22/6</f>
        <v>60.610465116279073</v>
      </c>
      <c r="H22" s="51"/>
      <c r="I22" s="49" t="e">
        <f>1-G21/H21</f>
        <v>#DIV/0!</v>
      </c>
    </row>
    <row r="23" spans="1:9" ht="37.5" x14ac:dyDescent="0.25">
      <c r="A23" s="101" t="s">
        <v>19</v>
      </c>
      <c r="B23" s="101">
        <v>112</v>
      </c>
      <c r="C23" s="102">
        <f t="shared" si="9"/>
        <v>112.5</v>
      </c>
      <c r="D23" s="103">
        <f t="shared" si="10"/>
        <v>4.4444444444444731E-3</v>
      </c>
      <c r="G23" s="50">
        <f t="shared" si="11"/>
        <v>18.75</v>
      </c>
      <c r="H23" s="51"/>
      <c r="I23" s="49" t="e">
        <f t="shared" ref="I23:I27" si="12">1-G22/H22</f>
        <v>#DIV/0!</v>
      </c>
    </row>
    <row r="24" spans="1:9" ht="18.75" x14ac:dyDescent="0.25">
      <c r="A24" s="101" t="s">
        <v>7</v>
      </c>
      <c r="B24" s="101">
        <v>112</v>
      </c>
      <c r="C24" s="102">
        <f t="shared" si="9"/>
        <v>112.5</v>
      </c>
      <c r="D24" s="103">
        <f t="shared" si="10"/>
        <v>4.4444444444444731E-3</v>
      </c>
      <c r="G24" s="50">
        <f t="shared" si="11"/>
        <v>18.75</v>
      </c>
      <c r="H24" s="51"/>
      <c r="I24" s="49" t="e">
        <f t="shared" si="12"/>
        <v>#DIV/0!</v>
      </c>
    </row>
    <row r="25" spans="1:9" ht="37.5" x14ac:dyDescent="0.25">
      <c r="A25" s="101" t="s">
        <v>8</v>
      </c>
      <c r="B25" s="101">
        <v>277</v>
      </c>
      <c r="C25" s="102">
        <f t="shared" si="9"/>
        <v>276.53276955602541</v>
      </c>
      <c r="D25" s="103">
        <f t="shared" si="10"/>
        <v>-1.689602446482974E-3</v>
      </c>
      <c r="G25" s="50">
        <f t="shared" si="11"/>
        <v>46.088794926004233</v>
      </c>
      <c r="H25" s="51"/>
      <c r="I25" s="49" t="e">
        <f t="shared" si="12"/>
        <v>#DIV/0!</v>
      </c>
    </row>
    <row r="26" spans="1:9" ht="37.5" x14ac:dyDescent="0.25">
      <c r="A26" s="101" t="s">
        <v>20</v>
      </c>
      <c r="B26" s="101">
        <v>168</v>
      </c>
      <c r="C26" s="102">
        <f t="shared" si="9"/>
        <v>167.44186046511629</v>
      </c>
      <c r="D26" s="103">
        <f t="shared" si="10"/>
        <v>-3.3333333333331883E-3</v>
      </c>
      <c r="G26" s="50">
        <f>C26/6</f>
        <v>27.90697674418605</v>
      </c>
      <c r="H26" s="51"/>
      <c r="I26" s="49" t="e">
        <f t="shared" si="12"/>
        <v>#DIV/0!</v>
      </c>
    </row>
    <row r="27" spans="1:9" ht="37.5" x14ac:dyDescent="0.25">
      <c r="A27" s="45" t="s">
        <v>10</v>
      </c>
      <c r="B27" s="45">
        <v>967</v>
      </c>
      <c r="C27" s="50">
        <v>968</v>
      </c>
      <c r="D27" s="49">
        <f t="shared" si="10"/>
        <v>1.0330578512396382E-3</v>
      </c>
      <c r="G27" s="50">
        <f t="shared" si="11"/>
        <v>161.33333333333334</v>
      </c>
      <c r="H27" s="51"/>
      <c r="I27" s="49" t="e">
        <f t="shared" si="12"/>
        <v>#DIV/0!</v>
      </c>
    </row>
    <row r="28" spans="1:9" ht="18.75" x14ac:dyDescent="0.25">
      <c r="A28" s="46" t="s">
        <v>11</v>
      </c>
      <c r="B28" s="45">
        <v>1688</v>
      </c>
      <c r="C28" s="50">
        <f>SUM(C21:C27)</f>
        <v>2968.1057082452435</v>
      </c>
      <c r="D28" s="49">
        <f t="shared" si="10"/>
        <v>0.43128710163158146</v>
      </c>
      <c r="E28" s="9"/>
      <c r="I28" s="49" t="e">
        <f>1-G27/H27</f>
        <v>#DIV/0!</v>
      </c>
    </row>
    <row r="29" spans="1:9" x14ac:dyDescent="0.25">
      <c r="I29" s="58" t="e">
        <f>AVERAGE(I22:I28)</f>
        <v>#DIV/0!</v>
      </c>
    </row>
    <row r="30" spans="1:9" x14ac:dyDescent="0.25">
      <c r="B30" t="s">
        <v>82</v>
      </c>
    </row>
  </sheetData>
  <mergeCells count="1">
    <mergeCell ref="K1:L3"/>
  </mergeCells>
  <conditionalFormatting sqref="P2:P6">
    <cfRule type="colorScale" priority="2">
      <colorScale>
        <cfvo type="formula" val="&quot;ЕСЛИ(P2&gt;Q2)&quot;"/>
        <cfvo type="formula" val="&quot;ЕСЛИ(P2&lt;Q2)&quot;"/>
        <color rgb="FFFF0000"/>
        <color rgb="FF00B050"/>
      </colorScale>
    </cfRule>
  </conditionalFormatting>
  <conditionalFormatting sqref="P2:P6">
    <cfRule type="cellIs" dxfId="3" priority="1" operator="lessThan">
      <formula>$Q$2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B1FB-7751-441D-9516-C0058F4407BB}">
  <dimension ref="C9:O44"/>
  <sheetViews>
    <sheetView topLeftCell="A19" workbookViewId="0">
      <selection activeCell="J55" sqref="J55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79" t="s">
        <v>47</v>
      </c>
      <c r="F9" s="79"/>
      <c r="G9" s="79"/>
      <c r="H9" s="79"/>
      <c r="I9" s="79"/>
    </row>
    <row r="11" spans="5:9" ht="28.5" x14ac:dyDescent="0.25">
      <c r="E11" s="23" t="s">
        <v>28</v>
      </c>
      <c r="F11" s="23" t="s">
        <v>29</v>
      </c>
      <c r="G11" s="23" t="s">
        <v>30</v>
      </c>
      <c r="H11" s="23" t="s">
        <v>31</v>
      </c>
      <c r="I11" s="23" t="s">
        <v>32</v>
      </c>
    </row>
    <row r="12" spans="5:9" ht="15.75" x14ac:dyDescent="0.25">
      <c r="E12" s="24" t="s">
        <v>4</v>
      </c>
      <c r="F12" s="25" t="s">
        <v>38</v>
      </c>
      <c r="G12" s="26">
        <v>368</v>
      </c>
      <c r="H12" s="25">
        <f>121*3</f>
        <v>363</v>
      </c>
      <c r="I12" s="27">
        <f>1-G12/H12</f>
        <v>-1.377410468319562E-2</v>
      </c>
    </row>
    <row r="13" spans="5:9" ht="31.5" x14ac:dyDescent="0.25">
      <c r="E13" s="24" t="s">
        <v>5</v>
      </c>
      <c r="F13" s="25" t="s">
        <v>37</v>
      </c>
      <c r="G13" s="26">
        <v>251</v>
      </c>
      <c r="H13" s="25">
        <f>82*3</f>
        <v>246</v>
      </c>
      <c r="I13" s="27">
        <f t="shared" ref="I13:I18" si="0">1-G13/H13</f>
        <v>-2.0325203252032464E-2</v>
      </c>
    </row>
    <row r="14" spans="5:9" ht="31.5" x14ac:dyDescent="0.25">
      <c r="E14" s="24" t="s">
        <v>6</v>
      </c>
      <c r="F14" s="25" t="s">
        <v>40</v>
      </c>
      <c r="G14" s="26">
        <v>251</v>
      </c>
      <c r="H14" s="25">
        <f>82*3</f>
        <v>246</v>
      </c>
      <c r="I14" s="27">
        <f t="shared" si="0"/>
        <v>-2.0325203252032464E-2</v>
      </c>
    </row>
    <row r="15" spans="5:9" ht="15.75" x14ac:dyDescent="0.25">
      <c r="E15" s="24" t="s">
        <v>7</v>
      </c>
      <c r="F15" s="25" t="s">
        <v>33</v>
      </c>
      <c r="G15" s="26">
        <v>175</v>
      </c>
      <c r="H15" s="25">
        <f>56*3</f>
        <v>168</v>
      </c>
      <c r="I15" s="28">
        <f t="shared" si="0"/>
        <v>-4.1666666666666741E-2</v>
      </c>
    </row>
    <row r="16" spans="5:9" ht="31.5" x14ac:dyDescent="0.25">
      <c r="E16" s="24" t="s">
        <v>34</v>
      </c>
      <c r="F16" s="25" t="s">
        <v>36</v>
      </c>
      <c r="G16" s="26">
        <v>159</v>
      </c>
      <c r="H16" s="26">
        <f>56*3</f>
        <v>168</v>
      </c>
      <c r="I16" s="27">
        <f t="shared" si="0"/>
        <v>5.3571428571428603E-2</v>
      </c>
    </row>
    <row r="17" spans="5:9" ht="47.25" x14ac:dyDescent="0.25">
      <c r="E17" s="24" t="s">
        <v>9</v>
      </c>
      <c r="F17" s="25" t="s">
        <v>35</v>
      </c>
      <c r="G17" s="26">
        <v>73</v>
      </c>
      <c r="H17" s="25">
        <f>25*3</f>
        <v>75</v>
      </c>
      <c r="I17" s="27">
        <f t="shared" si="0"/>
        <v>2.6666666666666616E-2</v>
      </c>
    </row>
    <row r="18" spans="5:9" ht="15.75" x14ac:dyDescent="0.25">
      <c r="E18" s="24" t="s">
        <v>10</v>
      </c>
      <c r="F18" s="25" t="s">
        <v>39</v>
      </c>
      <c r="G18" s="26">
        <v>326</v>
      </c>
      <c r="H18" s="25">
        <f>104*3</f>
        <v>312</v>
      </c>
      <c r="I18" s="27">
        <f t="shared" si="0"/>
        <v>-4.4871794871794934E-2</v>
      </c>
    </row>
    <row r="23" spans="5:9" x14ac:dyDescent="0.25">
      <c r="E23" s="79" t="s">
        <v>45</v>
      </c>
      <c r="F23" s="79"/>
      <c r="G23" s="79"/>
      <c r="H23" s="79"/>
      <c r="I23" s="79"/>
    </row>
    <row r="25" spans="5:9" x14ac:dyDescent="0.25">
      <c r="E25" s="30" t="s">
        <v>28</v>
      </c>
      <c r="F25" s="30" t="s">
        <v>29</v>
      </c>
      <c r="G25" s="30" t="s">
        <v>30</v>
      </c>
      <c r="H25" s="30" t="s">
        <v>31</v>
      </c>
      <c r="I25" s="30" t="s">
        <v>32</v>
      </c>
    </row>
    <row r="26" spans="5:9" ht="15.75" x14ac:dyDescent="0.25">
      <c r="E26" s="35" t="s">
        <v>4</v>
      </c>
      <c r="F26" s="34" t="s">
        <v>38</v>
      </c>
      <c r="G26" s="32">
        <f>5*368</f>
        <v>1840</v>
      </c>
      <c r="H26" s="31">
        <f>721*3</f>
        <v>2163</v>
      </c>
      <c r="I26" s="33">
        <f>1-G26/H26</f>
        <v>0.14932963476652794</v>
      </c>
    </row>
    <row r="27" spans="5:9" ht="15.75" x14ac:dyDescent="0.25">
      <c r="E27" s="35" t="s">
        <v>5</v>
      </c>
      <c r="F27" s="34" t="s">
        <v>37</v>
      </c>
      <c r="G27" s="32">
        <f>5*251</f>
        <v>1255</v>
      </c>
      <c r="H27" s="31">
        <f>3*464</f>
        <v>1392</v>
      </c>
      <c r="I27" s="33">
        <f t="shared" ref="I27:I32" si="1">1-G27/H27</f>
        <v>9.8419540229885083E-2</v>
      </c>
    </row>
    <row r="28" spans="5:9" ht="15.75" x14ac:dyDescent="0.25">
      <c r="E28" s="35" t="s">
        <v>6</v>
      </c>
      <c r="F28" s="34" t="s">
        <v>40</v>
      </c>
      <c r="G28" s="32">
        <f>5*251</f>
        <v>1255</v>
      </c>
      <c r="H28" s="31">
        <f>3*462</f>
        <v>1386</v>
      </c>
      <c r="I28" s="33">
        <f t="shared" si="1"/>
        <v>9.4516594516594554E-2</v>
      </c>
    </row>
    <row r="29" spans="5:9" ht="15.75" x14ac:dyDescent="0.25">
      <c r="E29" s="35" t="s">
        <v>7</v>
      </c>
      <c r="F29" s="34" t="s">
        <v>33</v>
      </c>
      <c r="G29" s="32">
        <f>5*175</f>
        <v>875</v>
      </c>
      <c r="H29" s="31">
        <f>3*314</f>
        <v>942</v>
      </c>
      <c r="I29" s="29">
        <f t="shared" si="1"/>
        <v>7.1125265392781301E-2</v>
      </c>
    </row>
    <row r="30" spans="5:9" ht="15.75" x14ac:dyDescent="0.25">
      <c r="E30" s="35" t="s">
        <v>34</v>
      </c>
      <c r="F30" s="34" t="s">
        <v>36</v>
      </c>
      <c r="G30" s="32">
        <f>5*159</f>
        <v>795</v>
      </c>
      <c r="H30" s="31">
        <f>3*330</f>
        <v>990</v>
      </c>
      <c r="I30" s="33">
        <f t="shared" si="1"/>
        <v>0.19696969696969702</v>
      </c>
    </row>
    <row r="31" spans="5:9" ht="15.75" x14ac:dyDescent="0.25">
      <c r="E31" s="35" t="s">
        <v>9</v>
      </c>
      <c r="F31" s="34" t="s">
        <v>35</v>
      </c>
      <c r="G31" s="32">
        <f>5*73</f>
        <v>365</v>
      </c>
      <c r="H31" s="31">
        <f>3*141</f>
        <v>423</v>
      </c>
      <c r="I31" s="33">
        <f t="shared" si="1"/>
        <v>0.13711583924349879</v>
      </c>
    </row>
    <row r="32" spans="5:9" ht="15.75" x14ac:dyDescent="0.25">
      <c r="E32" s="35" t="s">
        <v>10</v>
      </c>
      <c r="F32" s="34" t="s">
        <v>39</v>
      </c>
      <c r="G32" s="32">
        <f>5*326</f>
        <v>1630</v>
      </c>
      <c r="H32" s="31">
        <f>3*599</f>
        <v>1797</v>
      </c>
      <c r="I32" s="33">
        <f t="shared" si="1"/>
        <v>9.2932665553700611E-2</v>
      </c>
    </row>
    <row r="35" spans="5:15" x14ac:dyDescent="0.25">
      <c r="E35" s="79" t="s">
        <v>46</v>
      </c>
      <c r="F35" s="79"/>
      <c r="G35" s="79"/>
      <c r="H35" s="79"/>
      <c r="I35" s="79"/>
    </row>
    <row r="37" spans="5:15" x14ac:dyDescent="0.25">
      <c r="E37" s="30" t="s">
        <v>28</v>
      </c>
      <c r="F37" s="30" t="s">
        <v>29</v>
      </c>
      <c r="G37" s="30" t="s">
        <v>30</v>
      </c>
      <c r="H37" s="30" t="s">
        <v>31</v>
      </c>
      <c r="I37" s="30" t="s">
        <v>32</v>
      </c>
      <c r="L37" s="36" t="s">
        <v>41</v>
      </c>
      <c r="M37" s="36" t="s">
        <v>42</v>
      </c>
      <c r="N37" s="36" t="s">
        <v>43</v>
      </c>
      <c r="O37" s="36" t="s">
        <v>44</v>
      </c>
    </row>
    <row r="38" spans="5:15" ht="15.75" x14ac:dyDescent="0.25">
      <c r="E38" s="35" t="s">
        <v>4</v>
      </c>
      <c r="F38" s="34" t="s">
        <v>38</v>
      </c>
      <c r="G38" s="32">
        <f>5*368</f>
        <v>1840</v>
      </c>
      <c r="H38" s="31">
        <v>2109</v>
      </c>
      <c r="I38" s="33">
        <f>1-G38/H38</f>
        <v>0.12754860123281175</v>
      </c>
      <c r="L38" s="36" t="s">
        <v>35</v>
      </c>
      <c r="M38" s="36">
        <v>377</v>
      </c>
      <c r="N38" s="36">
        <v>27</v>
      </c>
      <c r="O38" s="36">
        <v>0</v>
      </c>
    </row>
    <row r="39" spans="5:15" ht="15.75" x14ac:dyDescent="0.25">
      <c r="E39" s="35" t="s">
        <v>5</v>
      </c>
      <c r="F39" s="34" t="s">
        <v>37</v>
      </c>
      <c r="G39" s="32">
        <f>5*251</f>
        <v>1255</v>
      </c>
      <c r="H39" s="36">
        <v>1315</v>
      </c>
      <c r="I39" s="33">
        <f t="shared" ref="I39:I44" si="2">1-G39/H39</f>
        <v>4.5627376425855459E-2</v>
      </c>
      <c r="L39" s="36" t="s">
        <v>36</v>
      </c>
      <c r="M39" s="36">
        <v>998</v>
      </c>
      <c r="N39" s="36">
        <v>1</v>
      </c>
      <c r="O39" s="36">
        <v>0</v>
      </c>
    </row>
    <row r="40" spans="5:15" ht="15.75" x14ac:dyDescent="0.25">
      <c r="E40" s="35" t="s">
        <v>6</v>
      </c>
      <c r="F40" s="34" t="s">
        <v>40</v>
      </c>
      <c r="G40" s="32">
        <f>5*251</f>
        <v>1255</v>
      </c>
      <c r="H40" s="31">
        <v>1315</v>
      </c>
      <c r="I40" s="33">
        <f t="shared" si="2"/>
        <v>4.5627376425855459E-2</v>
      </c>
      <c r="L40" s="36" t="s">
        <v>37</v>
      </c>
      <c r="M40" s="36" t="s">
        <v>48</v>
      </c>
      <c r="N40" s="36">
        <v>0</v>
      </c>
      <c r="O40" s="36">
        <v>0</v>
      </c>
    </row>
    <row r="41" spans="5:15" ht="15.75" x14ac:dyDescent="0.25">
      <c r="E41" s="35" t="s">
        <v>7</v>
      </c>
      <c r="F41" s="34" t="s">
        <v>33</v>
      </c>
      <c r="G41" s="32">
        <f>5*175</f>
        <v>875</v>
      </c>
      <c r="H41" s="36">
        <v>924</v>
      </c>
      <c r="I41" s="29">
        <f t="shared" si="2"/>
        <v>5.3030303030302983E-2</v>
      </c>
      <c r="L41" s="36" t="s">
        <v>38</v>
      </c>
      <c r="M41" s="36" t="s">
        <v>49</v>
      </c>
      <c r="N41" s="36">
        <v>139</v>
      </c>
      <c r="O41" s="36">
        <v>0</v>
      </c>
    </row>
    <row r="42" spans="5:15" ht="15.75" x14ac:dyDescent="0.25">
      <c r="E42" s="35" t="s">
        <v>34</v>
      </c>
      <c r="F42" s="34" t="s">
        <v>36</v>
      </c>
      <c r="G42" s="32">
        <f>5*159</f>
        <v>795</v>
      </c>
      <c r="H42" s="36">
        <v>998</v>
      </c>
      <c r="I42" s="33">
        <f t="shared" si="2"/>
        <v>0.20340681362725455</v>
      </c>
      <c r="L42" s="36" t="s">
        <v>39</v>
      </c>
      <c r="M42" s="36" t="s">
        <v>50</v>
      </c>
      <c r="N42" s="36">
        <v>1</v>
      </c>
      <c r="O42" s="36">
        <v>0</v>
      </c>
    </row>
    <row r="43" spans="5:15" ht="15.75" x14ac:dyDescent="0.25">
      <c r="E43" s="35" t="s">
        <v>9</v>
      </c>
      <c r="F43" s="34" t="s">
        <v>35</v>
      </c>
      <c r="G43" s="32">
        <f>5*73</f>
        <v>365</v>
      </c>
      <c r="H43" s="36">
        <v>404</v>
      </c>
      <c r="I43" s="33">
        <f t="shared" si="2"/>
        <v>9.6534653465346509E-2</v>
      </c>
      <c r="L43" s="36" t="s">
        <v>33</v>
      </c>
      <c r="M43" s="36">
        <v>924</v>
      </c>
      <c r="N43" s="36">
        <v>0</v>
      </c>
      <c r="O43" s="36">
        <v>0</v>
      </c>
    </row>
    <row r="44" spans="5:15" ht="15.75" x14ac:dyDescent="0.25">
      <c r="E44" s="35" t="s">
        <v>10</v>
      </c>
      <c r="F44" s="34" t="s">
        <v>39</v>
      </c>
      <c r="G44" s="32">
        <f>5*326</f>
        <v>1630</v>
      </c>
      <c r="H44" s="31">
        <v>1675</v>
      </c>
      <c r="I44" s="33">
        <f t="shared" si="2"/>
        <v>2.68656716417911E-2</v>
      </c>
      <c r="L44" s="36" t="s">
        <v>40</v>
      </c>
      <c r="M44" s="36" t="s">
        <v>48</v>
      </c>
      <c r="N44" s="36">
        <v>0</v>
      </c>
      <c r="O44" s="36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Ручной расчет</vt:lpstr>
      <vt:lpstr>Лист1</vt:lpstr>
      <vt:lpstr>Лист2</vt:lpstr>
      <vt:lpstr>Лист3</vt:lpstr>
      <vt:lpstr>Лист4</vt:lpstr>
      <vt:lpstr>Автоматизированный расчет</vt:lpstr>
      <vt:lpstr>Соответствие профилю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Professional</cp:lastModifiedBy>
  <dcterms:created xsi:type="dcterms:W3CDTF">2015-06-05T18:19:34Z</dcterms:created>
  <dcterms:modified xsi:type="dcterms:W3CDTF">2020-07-28T15:13:07Z</dcterms:modified>
</cp:coreProperties>
</file>