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olders\Uni-Heidelberg\Praktika\PAP1\Protokolle\Messprotokolle\22\"/>
    </mc:Choice>
  </mc:AlternateContent>
  <xr:revisionPtr revIDLastSave="0" documentId="13_ncr:2001_{AEF6AA94-025E-4F89-983A-2EEF13004F37}" xr6:coauthVersionLast="47" xr6:coauthVersionMax="47" xr10:uidLastSave="{00000000-0000-0000-0000-000000000000}"/>
  <bookViews>
    <workbookView xWindow="25800" yWindow="0" windowWidth="25800" windowHeight="21150" xr2:uid="{53C60F1C-AFB6-45DA-A96B-13CC4EEB5CC4}"/>
  </bookViews>
  <sheets>
    <sheet name="Eigene Rechnung" sheetId="3" r:id="rId1"/>
    <sheet name="Tabelle1" sheetId="1" r:id="rId2"/>
    <sheet name="Tabelle2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3" l="1"/>
  <c r="P44" i="3"/>
  <c r="H65" i="3"/>
  <c r="R18" i="3"/>
  <c r="P16" i="3"/>
  <c r="R14" i="3"/>
  <c r="R29" i="3"/>
  <c r="P50" i="3"/>
  <c r="C65" i="3"/>
  <c r="B65" i="3"/>
  <c r="B21" i="1"/>
  <c r="Q47" i="1"/>
  <c r="P34" i="1"/>
  <c r="O35" i="1"/>
  <c r="N28" i="1"/>
  <c r="M28" i="1"/>
  <c r="M29" i="1"/>
  <c r="B17" i="1"/>
  <c r="L66" i="1"/>
  <c r="P22" i="3"/>
  <c r="J28" i="1"/>
  <c r="I8" i="1"/>
  <c r="K29" i="1" s="1"/>
  <c r="K28" i="1"/>
  <c r="I9" i="1"/>
  <c r="K30" i="1"/>
  <c r="J30" i="1"/>
  <c r="J37" i="1"/>
  <c r="P11" i="3"/>
  <c r="I29" i="1"/>
  <c r="H28" i="1"/>
  <c r="I28" i="1"/>
  <c r="F28" i="1"/>
  <c r="E28" i="1"/>
  <c r="R3" i="3"/>
  <c r="R5" i="3" s="1"/>
  <c r="P3" i="3"/>
  <c r="P5" i="3" s="1"/>
  <c r="H6" i="2"/>
  <c r="E29" i="1" s="1"/>
  <c r="F29" i="1" s="1"/>
  <c r="H7" i="2"/>
  <c r="H8" i="2"/>
  <c r="H9" i="2"/>
  <c r="H10" i="2"/>
  <c r="H11" i="2"/>
  <c r="H12" i="2"/>
  <c r="H13" i="2"/>
  <c r="E36" i="1" s="1"/>
  <c r="G36" i="1" s="1"/>
  <c r="H14" i="2"/>
  <c r="H15" i="2"/>
  <c r="H16" i="2"/>
  <c r="H17" i="2"/>
  <c r="H18" i="2"/>
  <c r="H19" i="2"/>
  <c r="H20" i="2"/>
  <c r="H21" i="2"/>
  <c r="H22" i="2"/>
  <c r="E45" i="1" s="1"/>
  <c r="F45" i="1" s="1"/>
  <c r="I45" i="1" s="1"/>
  <c r="J45" i="1" s="1"/>
  <c r="H23" i="2"/>
  <c r="H24" i="2"/>
  <c r="H25" i="2"/>
  <c r="H26" i="2"/>
  <c r="H27" i="2"/>
  <c r="H28" i="2"/>
  <c r="H29" i="2"/>
  <c r="E52" i="1" s="1"/>
  <c r="H30" i="2"/>
  <c r="H31" i="2"/>
  <c r="H32" i="2"/>
  <c r="H33" i="2"/>
  <c r="E56" i="1" s="1"/>
  <c r="G56" i="1" s="1"/>
  <c r="H34" i="2"/>
  <c r="E57" i="1" s="1"/>
  <c r="F57" i="1" s="1"/>
  <c r="I57" i="1" s="1"/>
  <c r="J57" i="1" s="1"/>
  <c r="H35" i="2"/>
  <c r="H36" i="2"/>
  <c r="H37" i="2"/>
  <c r="H38" i="2"/>
  <c r="E61" i="1" s="1"/>
  <c r="H39" i="2"/>
  <c r="H40" i="2"/>
  <c r="H41" i="2"/>
  <c r="H42" i="2"/>
  <c r="H43" i="2"/>
  <c r="H44" i="2"/>
  <c r="H45" i="2"/>
  <c r="E68" i="1" s="1"/>
  <c r="G68" i="1" s="1"/>
  <c r="H46" i="2"/>
  <c r="H47" i="2"/>
  <c r="H48" i="2"/>
  <c r="H49" i="2"/>
  <c r="H50" i="2"/>
  <c r="E73" i="1" s="1"/>
  <c r="F73" i="1" s="1"/>
  <c r="H51" i="2"/>
  <c r="H52" i="2"/>
  <c r="H53" i="2"/>
  <c r="H54" i="2"/>
  <c r="E77" i="1" s="1"/>
  <c r="F77" i="1" s="1"/>
  <c r="H55" i="2"/>
  <c r="H56" i="2"/>
  <c r="H57" i="2"/>
  <c r="H58" i="2"/>
  <c r="H59" i="2"/>
  <c r="E82" i="1" s="1"/>
  <c r="H60" i="2"/>
  <c r="H61" i="2"/>
  <c r="E84" i="1" s="1"/>
  <c r="H62" i="2"/>
  <c r="H63" i="2"/>
  <c r="E86" i="1" s="1"/>
  <c r="H64" i="2"/>
  <c r="H65" i="2"/>
  <c r="H66" i="2"/>
  <c r="E89" i="1" s="1"/>
  <c r="F89" i="1" s="1"/>
  <c r="H67" i="2"/>
  <c r="H68" i="2"/>
  <c r="H6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C46" i="1" s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C62" i="1" s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C78" i="1" s="1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E92" i="1"/>
  <c r="D92" i="1"/>
  <c r="B92" i="1"/>
  <c r="D91" i="1"/>
  <c r="C91" i="1"/>
  <c r="B91" i="1"/>
  <c r="D90" i="1"/>
  <c r="B90" i="1"/>
  <c r="D89" i="1"/>
  <c r="C89" i="1"/>
  <c r="B89" i="1"/>
  <c r="D88" i="1"/>
  <c r="B88" i="1"/>
  <c r="D87" i="1"/>
  <c r="B87" i="1"/>
  <c r="D86" i="1"/>
  <c r="C86" i="1"/>
  <c r="B86" i="1"/>
  <c r="E85" i="1"/>
  <c r="D85" i="1"/>
  <c r="C85" i="1"/>
  <c r="B85" i="1"/>
  <c r="D84" i="1"/>
  <c r="B84" i="1"/>
  <c r="D83" i="1"/>
  <c r="C83" i="1"/>
  <c r="B83" i="1"/>
  <c r="D82" i="1"/>
  <c r="B82" i="1"/>
  <c r="E81" i="1"/>
  <c r="D81" i="1"/>
  <c r="C81" i="1"/>
  <c r="B81" i="1"/>
  <c r="D80" i="1"/>
  <c r="B80" i="1"/>
  <c r="D79" i="1"/>
  <c r="B79" i="1"/>
  <c r="D78" i="1"/>
  <c r="B78" i="1"/>
  <c r="D77" i="1"/>
  <c r="C77" i="1"/>
  <c r="B77" i="1"/>
  <c r="E76" i="1"/>
  <c r="G76" i="1" s="1"/>
  <c r="D76" i="1"/>
  <c r="B76" i="1"/>
  <c r="D75" i="1"/>
  <c r="C75" i="1"/>
  <c r="B75" i="1"/>
  <c r="D74" i="1"/>
  <c r="B74" i="1"/>
  <c r="D73" i="1"/>
  <c r="C73" i="1"/>
  <c r="B73" i="1"/>
  <c r="D72" i="1"/>
  <c r="B72" i="1"/>
  <c r="D71" i="1"/>
  <c r="B71" i="1"/>
  <c r="D70" i="1"/>
  <c r="C70" i="1"/>
  <c r="B70" i="1"/>
  <c r="E69" i="1"/>
  <c r="D69" i="1"/>
  <c r="C69" i="1"/>
  <c r="B69" i="1"/>
  <c r="D68" i="1"/>
  <c r="B68" i="1"/>
  <c r="D67" i="1"/>
  <c r="C67" i="1"/>
  <c r="B67" i="1"/>
  <c r="D66" i="1"/>
  <c r="B66" i="1"/>
  <c r="E65" i="1"/>
  <c r="D65" i="1"/>
  <c r="C65" i="1"/>
  <c r="B65" i="1"/>
  <c r="D64" i="1"/>
  <c r="B64" i="1"/>
  <c r="D63" i="1"/>
  <c r="B63" i="1"/>
  <c r="D62" i="1"/>
  <c r="B62" i="1"/>
  <c r="D61" i="1"/>
  <c r="C61" i="1"/>
  <c r="B61" i="1"/>
  <c r="E60" i="1"/>
  <c r="D60" i="1"/>
  <c r="B60" i="1"/>
  <c r="D59" i="1"/>
  <c r="C59" i="1"/>
  <c r="B59" i="1"/>
  <c r="D58" i="1"/>
  <c r="B58" i="1"/>
  <c r="D57" i="1"/>
  <c r="C57" i="1"/>
  <c r="B57" i="1"/>
  <c r="D56" i="1"/>
  <c r="B56" i="1"/>
  <c r="D55" i="1"/>
  <c r="B55" i="1"/>
  <c r="D54" i="1"/>
  <c r="C54" i="1"/>
  <c r="B54" i="1"/>
  <c r="E53" i="1"/>
  <c r="D53" i="1"/>
  <c r="C53" i="1"/>
  <c r="B53" i="1"/>
  <c r="D52" i="1"/>
  <c r="B52" i="1"/>
  <c r="D51" i="1"/>
  <c r="C51" i="1"/>
  <c r="B51" i="1"/>
  <c r="D50" i="1"/>
  <c r="B50" i="1"/>
  <c r="E49" i="1"/>
  <c r="D49" i="1"/>
  <c r="C49" i="1"/>
  <c r="B49" i="1"/>
  <c r="D48" i="1"/>
  <c r="B48" i="1"/>
  <c r="D47" i="1"/>
  <c r="B47" i="1"/>
  <c r="D46" i="1"/>
  <c r="B46" i="1"/>
  <c r="D45" i="1"/>
  <c r="C45" i="1"/>
  <c r="B45" i="1"/>
  <c r="E44" i="1"/>
  <c r="D44" i="1"/>
  <c r="B44" i="1"/>
  <c r="D43" i="1"/>
  <c r="C43" i="1"/>
  <c r="B43" i="1"/>
  <c r="D42" i="1"/>
  <c r="B42" i="1"/>
  <c r="E41" i="1"/>
  <c r="D41" i="1"/>
  <c r="C41" i="1"/>
  <c r="B41" i="1"/>
  <c r="D40" i="1"/>
  <c r="B40" i="1"/>
  <c r="D39" i="1"/>
  <c r="B39" i="1"/>
  <c r="D38" i="1"/>
  <c r="C38" i="1"/>
  <c r="B38" i="1"/>
  <c r="E37" i="1"/>
  <c r="D37" i="1"/>
  <c r="C37" i="1"/>
  <c r="B37" i="1"/>
  <c r="D36" i="1"/>
  <c r="B36" i="1"/>
  <c r="D35" i="1"/>
  <c r="C35" i="1"/>
  <c r="B35" i="1"/>
  <c r="D34" i="1"/>
  <c r="B34" i="1"/>
  <c r="E33" i="1"/>
  <c r="D33" i="1"/>
  <c r="C33" i="1"/>
  <c r="B33" i="1"/>
  <c r="D32" i="1"/>
  <c r="B32" i="1"/>
  <c r="D31" i="1"/>
  <c r="B31" i="1"/>
  <c r="D30" i="1"/>
  <c r="C30" i="1"/>
  <c r="B30" i="1"/>
  <c r="D29" i="1"/>
  <c r="C29" i="1"/>
  <c r="B29" i="1"/>
  <c r="D28" i="1"/>
  <c r="B28" i="1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C92" i="1"/>
  <c r="F92" i="1" s="1"/>
  <c r="E91" i="1"/>
  <c r="E90" i="1"/>
  <c r="C90" i="1"/>
  <c r="E88" i="1"/>
  <c r="C88" i="1"/>
  <c r="E87" i="1"/>
  <c r="C87" i="1"/>
  <c r="C84" i="1"/>
  <c r="E83" i="1"/>
  <c r="G83" i="1" s="1"/>
  <c r="C82" i="1"/>
  <c r="E80" i="1"/>
  <c r="C80" i="1"/>
  <c r="E79" i="1"/>
  <c r="C79" i="1"/>
  <c r="E78" i="1"/>
  <c r="C76" i="1"/>
  <c r="E75" i="1"/>
  <c r="G75" i="1" s="1"/>
  <c r="E74" i="1"/>
  <c r="C74" i="1"/>
  <c r="E72" i="1"/>
  <c r="C72" i="1"/>
  <c r="E71" i="1"/>
  <c r="C71" i="1"/>
  <c r="E70" i="1"/>
  <c r="C68" i="1"/>
  <c r="E67" i="1"/>
  <c r="E66" i="1"/>
  <c r="C66" i="1"/>
  <c r="E64" i="1"/>
  <c r="C64" i="1"/>
  <c r="E63" i="1"/>
  <c r="C63" i="1"/>
  <c r="E62" i="1"/>
  <c r="C60" i="1"/>
  <c r="F60" i="1" s="1"/>
  <c r="E59" i="1"/>
  <c r="E58" i="1"/>
  <c r="C58" i="1"/>
  <c r="C56" i="1"/>
  <c r="E55" i="1"/>
  <c r="C55" i="1"/>
  <c r="E54" i="1"/>
  <c r="C52" i="1"/>
  <c r="E51" i="1"/>
  <c r="G51" i="1" s="1"/>
  <c r="E50" i="1"/>
  <c r="C50" i="1"/>
  <c r="E48" i="1"/>
  <c r="C48" i="1"/>
  <c r="E47" i="1"/>
  <c r="C47" i="1"/>
  <c r="E46" i="1"/>
  <c r="C44" i="1"/>
  <c r="F44" i="1" s="1"/>
  <c r="I44" i="1" s="1"/>
  <c r="J44" i="1" s="1"/>
  <c r="E43" i="1"/>
  <c r="G43" i="1" s="1"/>
  <c r="E42" i="1"/>
  <c r="C42" i="1"/>
  <c r="E40" i="1"/>
  <c r="G40" i="1" s="1"/>
  <c r="C40" i="1"/>
  <c r="E39" i="1"/>
  <c r="G39" i="1" s="1"/>
  <c r="C39" i="1"/>
  <c r="E38" i="1"/>
  <c r="C36" i="1"/>
  <c r="E35" i="1"/>
  <c r="E34" i="1"/>
  <c r="C34" i="1"/>
  <c r="E32" i="1"/>
  <c r="C32" i="1"/>
  <c r="E31" i="1"/>
  <c r="G31" i="1" s="1"/>
  <c r="C31" i="1"/>
  <c r="E30" i="1"/>
  <c r="H5" i="2"/>
  <c r="E5" i="2"/>
  <c r="C28" i="1" s="1"/>
  <c r="K127" i="1"/>
  <c r="J127" i="1"/>
  <c r="I127" i="1"/>
  <c r="H127" i="1"/>
  <c r="G127" i="1"/>
  <c r="F127" i="1"/>
  <c r="K126" i="1"/>
  <c r="J126" i="1"/>
  <c r="I126" i="1"/>
  <c r="H126" i="1"/>
  <c r="G126" i="1"/>
  <c r="F126" i="1"/>
  <c r="K125" i="1"/>
  <c r="J125" i="1"/>
  <c r="I125" i="1"/>
  <c r="H125" i="1"/>
  <c r="G125" i="1"/>
  <c r="F125" i="1"/>
  <c r="K124" i="1"/>
  <c r="L124" i="1" s="1"/>
  <c r="J124" i="1"/>
  <c r="I124" i="1"/>
  <c r="H124" i="1"/>
  <c r="G124" i="1"/>
  <c r="F124" i="1"/>
  <c r="K123" i="1"/>
  <c r="L123" i="1" s="1"/>
  <c r="J123" i="1"/>
  <c r="I123" i="1"/>
  <c r="H123" i="1"/>
  <c r="G123" i="1"/>
  <c r="F123" i="1"/>
  <c r="K122" i="1"/>
  <c r="J122" i="1"/>
  <c r="I122" i="1"/>
  <c r="H122" i="1"/>
  <c r="G122" i="1"/>
  <c r="F122" i="1"/>
  <c r="K121" i="1"/>
  <c r="J121" i="1"/>
  <c r="I121" i="1"/>
  <c r="H121" i="1"/>
  <c r="G121" i="1"/>
  <c r="F121" i="1"/>
  <c r="K120" i="1"/>
  <c r="L120" i="1" s="1"/>
  <c r="J120" i="1"/>
  <c r="I120" i="1"/>
  <c r="H120" i="1"/>
  <c r="G120" i="1"/>
  <c r="F120" i="1"/>
  <c r="K119" i="1"/>
  <c r="L119" i="1" s="1"/>
  <c r="J119" i="1"/>
  <c r="I119" i="1"/>
  <c r="H119" i="1"/>
  <c r="G119" i="1"/>
  <c r="F119" i="1"/>
  <c r="K118" i="1"/>
  <c r="J118" i="1"/>
  <c r="I118" i="1"/>
  <c r="H118" i="1"/>
  <c r="G118" i="1"/>
  <c r="F118" i="1"/>
  <c r="K117" i="1"/>
  <c r="J117" i="1"/>
  <c r="I117" i="1"/>
  <c r="H117" i="1"/>
  <c r="G117" i="1"/>
  <c r="F117" i="1"/>
  <c r="K116" i="1"/>
  <c r="L116" i="1" s="1"/>
  <c r="J116" i="1"/>
  <c r="I116" i="1"/>
  <c r="H116" i="1"/>
  <c r="G116" i="1"/>
  <c r="F116" i="1"/>
  <c r="K115" i="1"/>
  <c r="L115" i="1" s="1"/>
  <c r="J115" i="1"/>
  <c r="I115" i="1"/>
  <c r="H115" i="1"/>
  <c r="G115" i="1"/>
  <c r="F115" i="1"/>
  <c r="K114" i="1"/>
  <c r="J114" i="1"/>
  <c r="I114" i="1"/>
  <c r="H114" i="1"/>
  <c r="G114" i="1"/>
  <c r="F114" i="1"/>
  <c r="K113" i="1"/>
  <c r="J113" i="1"/>
  <c r="I113" i="1"/>
  <c r="H113" i="1"/>
  <c r="G113" i="1"/>
  <c r="F113" i="1"/>
  <c r="K112" i="1"/>
  <c r="L112" i="1" s="1"/>
  <c r="J112" i="1"/>
  <c r="I112" i="1"/>
  <c r="H112" i="1"/>
  <c r="G112" i="1"/>
  <c r="F112" i="1"/>
  <c r="K111" i="1"/>
  <c r="L111" i="1" s="1"/>
  <c r="J111" i="1"/>
  <c r="I111" i="1"/>
  <c r="H111" i="1"/>
  <c r="G111" i="1"/>
  <c r="F111" i="1"/>
  <c r="K110" i="1"/>
  <c r="J110" i="1"/>
  <c r="I110" i="1"/>
  <c r="H110" i="1"/>
  <c r="G110" i="1"/>
  <c r="F110" i="1"/>
  <c r="K109" i="1"/>
  <c r="J109" i="1"/>
  <c r="I109" i="1"/>
  <c r="H109" i="1"/>
  <c r="G109" i="1"/>
  <c r="F109" i="1"/>
  <c r="K108" i="1"/>
  <c r="L108" i="1" s="1"/>
  <c r="J108" i="1"/>
  <c r="I108" i="1"/>
  <c r="H108" i="1"/>
  <c r="G108" i="1"/>
  <c r="F108" i="1"/>
  <c r="K107" i="1"/>
  <c r="L107" i="1" s="1"/>
  <c r="J107" i="1"/>
  <c r="I107" i="1"/>
  <c r="H107" i="1"/>
  <c r="G107" i="1"/>
  <c r="F107" i="1"/>
  <c r="K106" i="1"/>
  <c r="J106" i="1"/>
  <c r="I106" i="1"/>
  <c r="H106" i="1"/>
  <c r="G106" i="1"/>
  <c r="F106" i="1"/>
  <c r="K105" i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K101" i="1"/>
  <c r="J101" i="1"/>
  <c r="I101" i="1"/>
  <c r="H101" i="1"/>
  <c r="G101" i="1"/>
  <c r="F101" i="1"/>
  <c r="K100" i="1"/>
  <c r="J100" i="1"/>
  <c r="I100" i="1"/>
  <c r="H100" i="1"/>
  <c r="G100" i="1"/>
  <c r="F100" i="1"/>
  <c r="K99" i="1"/>
  <c r="J99" i="1"/>
  <c r="I99" i="1"/>
  <c r="H99" i="1"/>
  <c r="G99" i="1"/>
  <c r="F99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G92" i="1"/>
  <c r="G91" i="1"/>
  <c r="G88" i="1"/>
  <c r="G87" i="1"/>
  <c r="F85" i="1"/>
  <c r="G80" i="1"/>
  <c r="G79" i="1"/>
  <c r="G72" i="1"/>
  <c r="G71" i="1"/>
  <c r="F69" i="1"/>
  <c r="I69" i="1" s="1"/>
  <c r="J69" i="1" s="1"/>
  <c r="F65" i="1"/>
  <c r="G64" i="1"/>
  <c r="G63" i="1"/>
  <c r="G60" i="1"/>
  <c r="G59" i="1"/>
  <c r="G55" i="1"/>
  <c r="F49" i="1"/>
  <c r="G48" i="1"/>
  <c r="G44" i="1"/>
  <c r="F41" i="1"/>
  <c r="F37" i="1"/>
  <c r="I37" i="1" s="1"/>
  <c r="G35" i="1"/>
  <c r="F33" i="1"/>
  <c r="I33" i="1" s="1"/>
  <c r="J33" i="1" s="1"/>
  <c r="G32" i="1"/>
  <c r="F32" i="1"/>
  <c r="I32" i="1" s="1"/>
  <c r="G28" i="1"/>
  <c r="B12" i="1"/>
  <c r="I10" i="1"/>
  <c r="I92" i="1"/>
  <c r="J92" i="1" s="1"/>
  <c r="E4" i="3" l="1"/>
  <c r="E26" i="3"/>
  <c r="D28" i="3"/>
  <c r="F28" i="3" s="1"/>
  <c r="H28" i="3" s="1"/>
  <c r="E30" i="3"/>
  <c r="E34" i="3"/>
  <c r="D36" i="3"/>
  <c r="E38" i="3"/>
  <c r="E42" i="3"/>
  <c r="D44" i="3"/>
  <c r="F44" i="3" s="1"/>
  <c r="H44" i="3" s="1"/>
  <c r="D4" i="3"/>
  <c r="G4" i="3" s="1"/>
  <c r="E46" i="3"/>
  <c r="E6" i="3"/>
  <c r="E50" i="3"/>
  <c r="E62" i="3"/>
  <c r="E10" i="3"/>
  <c r="D52" i="3"/>
  <c r="F52" i="3" s="1"/>
  <c r="H52" i="3" s="1"/>
  <c r="D12" i="3"/>
  <c r="E54" i="3"/>
  <c r="E14" i="3"/>
  <c r="D58" i="3"/>
  <c r="E18" i="3"/>
  <c r="E58" i="3"/>
  <c r="D20" i="3"/>
  <c r="F20" i="3" s="1"/>
  <c r="H20" i="3" s="1"/>
  <c r="D60" i="3"/>
  <c r="E22" i="3"/>
  <c r="E59" i="3"/>
  <c r="E51" i="3"/>
  <c r="E43" i="3"/>
  <c r="E35" i="3"/>
  <c r="E27" i="3"/>
  <c r="E19" i="3"/>
  <c r="E11" i="3"/>
  <c r="E3" i="3"/>
  <c r="D59" i="3"/>
  <c r="F59" i="3" s="1"/>
  <c r="H59" i="3" s="1"/>
  <c r="D51" i="3"/>
  <c r="D43" i="3"/>
  <c r="F43" i="3" s="1"/>
  <c r="H43" i="3" s="1"/>
  <c r="D35" i="3"/>
  <c r="D27" i="3"/>
  <c r="F27" i="3" s="1"/>
  <c r="H27" i="3" s="1"/>
  <c r="D19" i="3"/>
  <c r="F19" i="3" s="1"/>
  <c r="H19" i="3" s="1"/>
  <c r="D11" i="3"/>
  <c r="F11" i="3" s="1"/>
  <c r="H11" i="3" s="1"/>
  <c r="D3" i="3"/>
  <c r="F3" i="3" s="1"/>
  <c r="H3" i="3" s="1"/>
  <c r="D50" i="3"/>
  <c r="F50" i="3" s="1"/>
  <c r="H50" i="3" s="1"/>
  <c r="D42" i="3"/>
  <c r="D34" i="3"/>
  <c r="D26" i="3"/>
  <c r="D18" i="3"/>
  <c r="D10" i="3"/>
  <c r="D2" i="3"/>
  <c r="F2" i="3" s="1"/>
  <c r="H2" i="3" s="1"/>
  <c r="E57" i="3"/>
  <c r="E49" i="3"/>
  <c r="E41" i="3"/>
  <c r="E33" i="3"/>
  <c r="E25" i="3"/>
  <c r="E17" i="3"/>
  <c r="E9" i="3"/>
  <c r="E2" i="3"/>
  <c r="D57" i="3"/>
  <c r="D49" i="3"/>
  <c r="D41" i="3"/>
  <c r="D33" i="3"/>
  <c r="D25" i="3"/>
  <c r="D17" i="3"/>
  <c r="F17" i="3" s="1"/>
  <c r="H17" i="3" s="1"/>
  <c r="D9" i="3"/>
  <c r="F9" i="3" s="1"/>
  <c r="H9" i="3" s="1"/>
  <c r="E64" i="3"/>
  <c r="E56" i="3"/>
  <c r="E48" i="3"/>
  <c r="E40" i="3"/>
  <c r="E32" i="3"/>
  <c r="E24" i="3"/>
  <c r="E16" i="3"/>
  <c r="E8" i="3"/>
  <c r="D64" i="3"/>
  <c r="D56" i="3"/>
  <c r="D48" i="3"/>
  <c r="D40" i="3"/>
  <c r="D32" i="3"/>
  <c r="D24" i="3"/>
  <c r="F24" i="3" s="1"/>
  <c r="H24" i="3" s="1"/>
  <c r="D16" i="3"/>
  <c r="F16" i="3" s="1"/>
  <c r="H16" i="3" s="1"/>
  <c r="D8" i="3"/>
  <c r="E63" i="3"/>
  <c r="E55" i="3"/>
  <c r="E47" i="3"/>
  <c r="E39" i="3"/>
  <c r="E31" i="3"/>
  <c r="E23" i="3"/>
  <c r="E15" i="3"/>
  <c r="E7" i="3"/>
  <c r="D63" i="3"/>
  <c r="D55" i="3"/>
  <c r="D47" i="3"/>
  <c r="D39" i="3"/>
  <c r="D31" i="3"/>
  <c r="D23" i="3"/>
  <c r="F23" i="3" s="1"/>
  <c r="H23" i="3" s="1"/>
  <c r="D15" i="3"/>
  <c r="F15" i="3" s="1"/>
  <c r="H15" i="3" s="1"/>
  <c r="D7" i="3"/>
  <c r="F7" i="3" s="1"/>
  <c r="H7" i="3" s="1"/>
  <c r="D62" i="3"/>
  <c r="F62" i="3" s="1"/>
  <c r="H62" i="3" s="1"/>
  <c r="D54" i="3"/>
  <c r="D46" i="3"/>
  <c r="F46" i="3" s="1"/>
  <c r="H46" i="3" s="1"/>
  <c r="D38" i="3"/>
  <c r="F38" i="3" s="1"/>
  <c r="H38" i="3" s="1"/>
  <c r="D30" i="3"/>
  <c r="D22" i="3"/>
  <c r="D14" i="3"/>
  <c r="D6" i="3"/>
  <c r="E61" i="3"/>
  <c r="E53" i="3"/>
  <c r="E45" i="3"/>
  <c r="E37" i="3"/>
  <c r="E29" i="3"/>
  <c r="E21" i="3"/>
  <c r="E13" i="3"/>
  <c r="E5" i="3"/>
  <c r="D61" i="3"/>
  <c r="D53" i="3"/>
  <c r="D45" i="3"/>
  <c r="D37" i="3"/>
  <c r="D29" i="3"/>
  <c r="D21" i="3"/>
  <c r="D13" i="3"/>
  <c r="D5" i="3"/>
  <c r="E60" i="3"/>
  <c r="G60" i="3" s="1"/>
  <c r="E52" i="3"/>
  <c r="E44" i="3"/>
  <c r="E36" i="3"/>
  <c r="E28" i="3"/>
  <c r="G28" i="3" s="1"/>
  <c r="E20" i="3"/>
  <c r="E12" i="3"/>
  <c r="G12" i="3" s="1"/>
  <c r="F60" i="3"/>
  <c r="H60" i="3" s="1"/>
  <c r="F12" i="3"/>
  <c r="H12" i="3" s="1"/>
  <c r="F58" i="3"/>
  <c r="H58" i="3" s="1"/>
  <c r="F51" i="3"/>
  <c r="H51" i="3" s="1"/>
  <c r="F35" i="3"/>
  <c r="H35" i="3" s="1"/>
  <c r="G84" i="1"/>
  <c r="G52" i="1"/>
  <c r="H60" i="1"/>
  <c r="F76" i="1"/>
  <c r="H76" i="1" s="1"/>
  <c r="F61" i="1"/>
  <c r="F36" i="1"/>
  <c r="H36" i="1" s="1"/>
  <c r="F52" i="1"/>
  <c r="I52" i="1" s="1"/>
  <c r="J52" i="1" s="1"/>
  <c r="F68" i="1"/>
  <c r="H68" i="1" s="1"/>
  <c r="F81" i="1"/>
  <c r="I81" i="1" s="1"/>
  <c r="J81" i="1" s="1"/>
  <c r="F84" i="1"/>
  <c r="H84" i="1" s="1"/>
  <c r="F53" i="1"/>
  <c r="I53" i="1" s="1"/>
  <c r="J53" i="1" s="1"/>
  <c r="H92" i="1"/>
  <c r="K92" i="1" s="1"/>
  <c r="L92" i="1" s="1"/>
  <c r="H44" i="1"/>
  <c r="K44" i="1" s="1"/>
  <c r="L44" i="1" s="1"/>
  <c r="I65" i="1"/>
  <c r="J65" i="1" s="1"/>
  <c r="J29" i="1"/>
  <c r="I41" i="1"/>
  <c r="J41" i="1" s="1"/>
  <c r="L113" i="1"/>
  <c r="F35" i="1"/>
  <c r="F43" i="1"/>
  <c r="H43" i="1" s="1"/>
  <c r="F51" i="1"/>
  <c r="H51" i="1" s="1"/>
  <c r="F59" i="1"/>
  <c r="H59" i="1" s="1"/>
  <c r="F67" i="1"/>
  <c r="F75" i="1"/>
  <c r="H75" i="1" s="1"/>
  <c r="F83" i="1"/>
  <c r="H83" i="1" s="1"/>
  <c r="F91" i="1"/>
  <c r="H91" i="1" s="1"/>
  <c r="I89" i="1"/>
  <c r="J89" i="1" s="1"/>
  <c r="L109" i="1"/>
  <c r="I61" i="1"/>
  <c r="J61" i="1" s="1"/>
  <c r="I73" i="1"/>
  <c r="J73" i="1" s="1"/>
  <c r="L105" i="1"/>
  <c r="I76" i="1"/>
  <c r="J76" i="1" s="1"/>
  <c r="K76" i="1" s="1"/>
  <c r="G30" i="1"/>
  <c r="F30" i="1"/>
  <c r="G38" i="1"/>
  <c r="F38" i="1"/>
  <c r="G46" i="1"/>
  <c r="F46" i="1"/>
  <c r="G54" i="1"/>
  <c r="F54" i="1"/>
  <c r="G62" i="1"/>
  <c r="F62" i="1"/>
  <c r="H62" i="1" s="1"/>
  <c r="G70" i="1"/>
  <c r="F70" i="1"/>
  <c r="I70" i="1" s="1"/>
  <c r="J70" i="1" s="1"/>
  <c r="G78" i="1"/>
  <c r="F78" i="1"/>
  <c r="I78" i="1" s="1"/>
  <c r="J78" i="1" s="1"/>
  <c r="G86" i="1"/>
  <c r="F86" i="1"/>
  <c r="I86" i="1" s="1"/>
  <c r="J86" i="1" s="1"/>
  <c r="L121" i="1"/>
  <c r="F31" i="1"/>
  <c r="F39" i="1"/>
  <c r="F47" i="1"/>
  <c r="F55" i="1"/>
  <c r="F63" i="1"/>
  <c r="H63" i="1" s="1"/>
  <c r="F71" i="1"/>
  <c r="H71" i="1" s="1"/>
  <c r="F79" i="1"/>
  <c r="H79" i="1" s="1"/>
  <c r="F87" i="1"/>
  <c r="H87" i="1" s="1"/>
  <c r="I36" i="1"/>
  <c r="J36" i="1" s="1"/>
  <c r="K36" i="1" s="1"/>
  <c r="F40" i="1"/>
  <c r="F48" i="1"/>
  <c r="H48" i="1" s="1"/>
  <c r="F56" i="1"/>
  <c r="I56" i="1" s="1"/>
  <c r="J56" i="1" s="1"/>
  <c r="F72" i="1"/>
  <c r="H72" i="1" s="1"/>
  <c r="F80" i="1"/>
  <c r="H80" i="1" s="1"/>
  <c r="F88" i="1"/>
  <c r="H88" i="1" s="1"/>
  <c r="H32" i="1"/>
  <c r="J32" i="1"/>
  <c r="F64" i="1"/>
  <c r="G47" i="1"/>
  <c r="I49" i="1"/>
  <c r="J49" i="1" s="1"/>
  <c r="G67" i="1"/>
  <c r="I77" i="1"/>
  <c r="J77" i="1" s="1"/>
  <c r="I85" i="1"/>
  <c r="J85" i="1" s="1"/>
  <c r="L93" i="1"/>
  <c r="L106" i="1"/>
  <c r="L117" i="1"/>
  <c r="I60" i="1"/>
  <c r="J60" i="1" s="1"/>
  <c r="K60" i="1" s="1"/>
  <c r="H81" i="1"/>
  <c r="G34" i="1"/>
  <c r="F34" i="1"/>
  <c r="G42" i="1"/>
  <c r="F42" i="1"/>
  <c r="G50" i="1"/>
  <c r="F50" i="1"/>
  <c r="G58" i="1"/>
  <c r="F58" i="1"/>
  <c r="I58" i="1" s="1"/>
  <c r="J58" i="1" s="1"/>
  <c r="G66" i="1"/>
  <c r="F66" i="1"/>
  <c r="G74" i="1"/>
  <c r="F74" i="1"/>
  <c r="I74" i="1" s="1"/>
  <c r="J74" i="1" s="1"/>
  <c r="G82" i="1"/>
  <c r="F82" i="1"/>
  <c r="I82" i="1" s="1"/>
  <c r="J82" i="1" s="1"/>
  <c r="G90" i="1"/>
  <c r="F90" i="1"/>
  <c r="I90" i="1" s="1"/>
  <c r="J90" i="1" s="1"/>
  <c r="G29" i="1"/>
  <c r="H29" i="1" s="1"/>
  <c r="G33" i="1"/>
  <c r="H33" i="1" s="1"/>
  <c r="K33" i="1" s="1"/>
  <c r="G37" i="1"/>
  <c r="H37" i="1" s="1"/>
  <c r="K37" i="1" s="1"/>
  <c r="G41" i="1"/>
  <c r="H41" i="1" s="1"/>
  <c r="K41" i="1" s="1"/>
  <c r="G45" i="1"/>
  <c r="H45" i="1" s="1"/>
  <c r="K45" i="1" s="1"/>
  <c r="G49" i="1"/>
  <c r="H49" i="1" s="1"/>
  <c r="G53" i="1"/>
  <c r="G57" i="1"/>
  <c r="H57" i="1" s="1"/>
  <c r="K57" i="1" s="1"/>
  <c r="G61" i="1"/>
  <c r="H61" i="1" s="1"/>
  <c r="K61" i="1" s="1"/>
  <c r="G65" i="1"/>
  <c r="H65" i="1" s="1"/>
  <c r="K65" i="1" s="1"/>
  <c r="G69" i="1"/>
  <c r="H69" i="1" s="1"/>
  <c r="K69" i="1" s="1"/>
  <c r="G73" i="1"/>
  <c r="H73" i="1" s="1"/>
  <c r="G77" i="1"/>
  <c r="H77" i="1" s="1"/>
  <c r="G81" i="1"/>
  <c r="G85" i="1"/>
  <c r="H85" i="1" s="1"/>
  <c r="G89" i="1"/>
  <c r="H89" i="1" s="1"/>
  <c r="K89" i="1" s="1"/>
  <c r="L127" i="1"/>
  <c r="L110" i="1"/>
  <c r="L114" i="1"/>
  <c r="L118" i="1"/>
  <c r="L122" i="1"/>
  <c r="L126" i="1"/>
  <c r="L125" i="1"/>
  <c r="G44" i="3" l="1"/>
  <c r="G52" i="3"/>
  <c r="G2" i="3"/>
  <c r="G7" i="3"/>
  <c r="G15" i="3"/>
  <c r="I2" i="3"/>
  <c r="F31" i="3"/>
  <c r="H31" i="3" s="1"/>
  <c r="I31" i="3" s="1"/>
  <c r="F25" i="3"/>
  <c r="H25" i="3" s="1"/>
  <c r="I25" i="3" s="1"/>
  <c r="G55" i="3"/>
  <c r="G56" i="3"/>
  <c r="F63" i="3"/>
  <c r="H63" i="3" s="1"/>
  <c r="I63" i="3" s="1"/>
  <c r="G57" i="3"/>
  <c r="I50" i="3"/>
  <c r="I3" i="3"/>
  <c r="I44" i="3"/>
  <c r="F29" i="3"/>
  <c r="H29" i="3" s="1"/>
  <c r="I29" i="3" s="1"/>
  <c r="I11" i="3"/>
  <c r="I60" i="3"/>
  <c r="G30" i="3"/>
  <c r="I19" i="3"/>
  <c r="I20" i="3"/>
  <c r="F37" i="3"/>
  <c r="H37" i="3" s="1"/>
  <c r="I37" i="3" s="1"/>
  <c r="I38" i="3"/>
  <c r="I27" i="3"/>
  <c r="G46" i="3"/>
  <c r="I46" i="3"/>
  <c r="I35" i="3"/>
  <c r="F47" i="3"/>
  <c r="H47" i="3" s="1"/>
  <c r="I47" i="3" s="1"/>
  <c r="I43" i="3"/>
  <c r="I58" i="3"/>
  <c r="I62" i="3"/>
  <c r="I51" i="3"/>
  <c r="I7" i="3"/>
  <c r="I59" i="3"/>
  <c r="I28" i="3"/>
  <c r="G26" i="3"/>
  <c r="F64" i="3"/>
  <c r="H64" i="3" s="1"/>
  <c r="I64" i="3" s="1"/>
  <c r="I15" i="3"/>
  <c r="I16" i="3"/>
  <c r="I9" i="3"/>
  <c r="I12" i="3"/>
  <c r="F13" i="3"/>
  <c r="H13" i="3" s="1"/>
  <c r="I13" i="3" s="1"/>
  <c r="F42" i="3"/>
  <c r="H42" i="3" s="1"/>
  <c r="I42" i="3" s="1"/>
  <c r="I23" i="3"/>
  <c r="I24" i="3"/>
  <c r="I17" i="3"/>
  <c r="I52" i="3"/>
  <c r="F48" i="3"/>
  <c r="H48" i="3" s="1"/>
  <c r="I48" i="3" s="1"/>
  <c r="F49" i="3"/>
  <c r="H49" i="3" s="1"/>
  <c r="I49" i="3" s="1"/>
  <c r="G34" i="3"/>
  <c r="G42" i="3"/>
  <c r="G6" i="3"/>
  <c r="G21" i="3"/>
  <c r="G22" i="3"/>
  <c r="F40" i="3"/>
  <c r="H40" i="3" s="1"/>
  <c r="I40" i="3" s="1"/>
  <c r="F18" i="3"/>
  <c r="H18" i="3" s="1"/>
  <c r="I18" i="3" s="1"/>
  <c r="G37" i="3"/>
  <c r="G45" i="3"/>
  <c r="F53" i="3"/>
  <c r="H53" i="3" s="1"/>
  <c r="I53" i="3" s="1"/>
  <c r="F36" i="3"/>
  <c r="H36" i="3" s="1"/>
  <c r="I36" i="3" s="1"/>
  <c r="F33" i="3"/>
  <c r="H33" i="3" s="1"/>
  <c r="I33" i="3" s="1"/>
  <c r="G31" i="3"/>
  <c r="G54" i="3"/>
  <c r="G58" i="3"/>
  <c r="F32" i="3"/>
  <c r="H32" i="3" s="1"/>
  <c r="I32" i="3" s="1"/>
  <c r="G39" i="3"/>
  <c r="F5" i="3"/>
  <c r="H5" i="3" s="1"/>
  <c r="I5" i="3" s="1"/>
  <c r="F8" i="3"/>
  <c r="H8" i="3" s="1"/>
  <c r="I8" i="3" s="1"/>
  <c r="F39" i="3"/>
  <c r="H39" i="3" s="1"/>
  <c r="I39" i="3" s="1"/>
  <c r="F4" i="3"/>
  <c r="H4" i="3" s="1"/>
  <c r="I4" i="3" s="1"/>
  <c r="G20" i="3"/>
  <c r="F10" i="3"/>
  <c r="H10" i="3" s="1"/>
  <c r="I10" i="3" s="1"/>
  <c r="F55" i="3"/>
  <c r="H55" i="3" s="1"/>
  <c r="I55" i="3" s="1"/>
  <c r="G18" i="3"/>
  <c r="G41" i="3"/>
  <c r="G50" i="3"/>
  <c r="F57" i="3"/>
  <c r="H57" i="3" s="1"/>
  <c r="I57" i="3" s="1"/>
  <c r="G14" i="3"/>
  <c r="G38" i="3"/>
  <c r="G61" i="3"/>
  <c r="G5" i="3"/>
  <c r="F54" i="3"/>
  <c r="H54" i="3" s="1"/>
  <c r="I54" i="3" s="1"/>
  <c r="G36" i="3"/>
  <c r="F56" i="3"/>
  <c r="H56" i="3" s="1"/>
  <c r="I56" i="3" s="1"/>
  <c r="G47" i="3"/>
  <c r="F14" i="3"/>
  <c r="H14" i="3" s="1"/>
  <c r="I14" i="3" s="1"/>
  <c r="G23" i="3"/>
  <c r="F21" i="3"/>
  <c r="H21" i="3" s="1"/>
  <c r="I21" i="3" s="1"/>
  <c r="G19" i="3"/>
  <c r="F41" i="3"/>
  <c r="H41" i="3" s="1"/>
  <c r="I41" i="3" s="1"/>
  <c r="F6" i="3"/>
  <c r="H6" i="3" s="1"/>
  <c r="I6" i="3" s="1"/>
  <c r="G62" i="3"/>
  <c r="F22" i="3"/>
  <c r="H22" i="3" s="1"/>
  <c r="I22" i="3" s="1"/>
  <c r="F26" i="3"/>
  <c r="H26" i="3" s="1"/>
  <c r="I26" i="3" s="1"/>
  <c r="G63" i="3"/>
  <c r="G35" i="3"/>
  <c r="F34" i="3"/>
  <c r="H34" i="3" s="1"/>
  <c r="I34" i="3" s="1"/>
  <c r="G16" i="3"/>
  <c r="G59" i="3"/>
  <c r="G32" i="3"/>
  <c r="G25" i="3"/>
  <c r="G10" i="3"/>
  <c r="F61" i="3"/>
  <c r="H61" i="3" s="1"/>
  <c r="I61" i="3" s="1"/>
  <c r="G40" i="3"/>
  <c r="G33" i="3"/>
  <c r="G49" i="3"/>
  <c r="G13" i="3"/>
  <c r="G8" i="3"/>
  <c r="G29" i="3"/>
  <c r="G24" i="3"/>
  <c r="G3" i="3"/>
  <c r="G11" i="3"/>
  <c r="F45" i="3"/>
  <c r="H45" i="3" s="1"/>
  <c r="I45" i="3" s="1"/>
  <c r="G53" i="3"/>
  <c r="G48" i="3"/>
  <c r="G27" i="3"/>
  <c r="F30" i="3"/>
  <c r="H30" i="3" s="1"/>
  <c r="I30" i="3" s="1"/>
  <c r="G64" i="3"/>
  <c r="G43" i="3"/>
  <c r="G51" i="3"/>
  <c r="G9" i="3"/>
  <c r="G17" i="3"/>
  <c r="I83" i="1"/>
  <c r="J83" i="1" s="1"/>
  <c r="K83" i="1" s="1"/>
  <c r="L83" i="1" s="1"/>
  <c r="I84" i="1"/>
  <c r="J84" i="1" s="1"/>
  <c r="K84" i="1" s="1"/>
  <c r="L84" i="1" s="1"/>
  <c r="K32" i="1"/>
  <c r="L32" i="1" s="1"/>
  <c r="I68" i="1"/>
  <c r="J68" i="1" s="1"/>
  <c r="K68" i="1" s="1"/>
  <c r="L68" i="1" s="1"/>
  <c r="H52" i="1"/>
  <c r="K52" i="1" s="1"/>
  <c r="L52" i="1" s="1"/>
  <c r="H53" i="1"/>
  <c r="K53" i="1" s="1"/>
  <c r="L53" i="1" s="1"/>
  <c r="I51" i="1"/>
  <c r="J51" i="1" s="1"/>
  <c r="K51" i="1" s="1"/>
  <c r="L51" i="1" s="1"/>
  <c r="H90" i="1"/>
  <c r="K90" i="1" s="1"/>
  <c r="L90" i="1" s="1"/>
  <c r="H74" i="1"/>
  <c r="K74" i="1" s="1"/>
  <c r="L74" i="1" s="1"/>
  <c r="I87" i="1"/>
  <c r="J87" i="1" s="1"/>
  <c r="K87" i="1" s="1"/>
  <c r="L87" i="1" s="1"/>
  <c r="H78" i="1"/>
  <c r="K78" i="1" s="1"/>
  <c r="L78" i="1" s="1"/>
  <c r="I62" i="1"/>
  <c r="J62" i="1" s="1"/>
  <c r="K62" i="1" s="1"/>
  <c r="L62" i="1" s="1"/>
  <c r="K85" i="1"/>
  <c r="L85" i="1" s="1"/>
  <c r="K49" i="1"/>
  <c r="L49" i="1" s="1"/>
  <c r="K77" i="1"/>
  <c r="L77" i="1" s="1"/>
  <c r="K81" i="1"/>
  <c r="L81" i="1" s="1"/>
  <c r="K73" i="1"/>
  <c r="L73" i="1" s="1"/>
  <c r="L60" i="1"/>
  <c r="L69" i="1"/>
  <c r="L57" i="1"/>
  <c r="L65" i="1"/>
  <c r="L45" i="1"/>
  <c r="L61" i="1"/>
  <c r="K63" i="1"/>
  <c r="L37" i="1"/>
  <c r="L36" i="1"/>
  <c r="L29" i="1"/>
  <c r="I71" i="1"/>
  <c r="J71" i="1" s="1"/>
  <c r="K71" i="1" s="1"/>
  <c r="I31" i="1"/>
  <c r="J31" i="1" s="1"/>
  <c r="H31" i="1"/>
  <c r="K31" i="1" s="1"/>
  <c r="I30" i="1"/>
  <c r="H30" i="1"/>
  <c r="H50" i="1"/>
  <c r="I50" i="1"/>
  <c r="J50" i="1" s="1"/>
  <c r="L41" i="1"/>
  <c r="L33" i="1"/>
  <c r="L28" i="1"/>
  <c r="I42" i="1"/>
  <c r="J42" i="1" s="1"/>
  <c r="H42" i="1"/>
  <c r="I88" i="1"/>
  <c r="J88" i="1" s="1"/>
  <c r="I63" i="1"/>
  <c r="J63" i="1" s="1"/>
  <c r="L76" i="1"/>
  <c r="I75" i="1"/>
  <c r="J75" i="1" s="1"/>
  <c r="K75" i="1" s="1"/>
  <c r="I35" i="1"/>
  <c r="J35" i="1" s="1"/>
  <c r="H35" i="1"/>
  <c r="K88" i="1"/>
  <c r="H82" i="1"/>
  <c r="K82" i="1" s="1"/>
  <c r="H67" i="1"/>
  <c r="K67" i="1" s="1"/>
  <c r="H56" i="1"/>
  <c r="K56" i="1" s="1"/>
  <c r="I54" i="1"/>
  <c r="J54" i="1" s="1"/>
  <c r="H54" i="1"/>
  <c r="H34" i="1"/>
  <c r="I34" i="1"/>
  <c r="J34" i="1" s="1"/>
  <c r="I55" i="1"/>
  <c r="J55" i="1" s="1"/>
  <c r="H55" i="1"/>
  <c r="I67" i="1"/>
  <c r="J67" i="1" s="1"/>
  <c r="H70" i="1"/>
  <c r="K70" i="1" s="1"/>
  <c r="I47" i="1"/>
  <c r="J47" i="1" s="1"/>
  <c r="H47" i="1"/>
  <c r="K47" i="1" s="1"/>
  <c r="I46" i="1"/>
  <c r="J46" i="1" s="1"/>
  <c r="H46" i="1"/>
  <c r="I48" i="1"/>
  <c r="J48" i="1" s="1"/>
  <c r="K48" i="1" s="1"/>
  <c r="I66" i="1"/>
  <c r="J66" i="1" s="1"/>
  <c r="H66" i="1"/>
  <c r="L89" i="1"/>
  <c r="I64" i="1"/>
  <c r="J64" i="1" s="1"/>
  <c r="H64" i="1"/>
  <c r="I91" i="1"/>
  <c r="J91" i="1" s="1"/>
  <c r="K91" i="1" s="1"/>
  <c r="I59" i="1"/>
  <c r="J59" i="1" s="1"/>
  <c r="K59" i="1" s="1"/>
  <c r="I79" i="1"/>
  <c r="J79" i="1" s="1"/>
  <c r="K79" i="1" s="1"/>
  <c r="I39" i="1"/>
  <c r="J39" i="1" s="1"/>
  <c r="H39" i="1"/>
  <c r="K39" i="1" s="1"/>
  <c r="I38" i="1"/>
  <c r="J38" i="1" s="1"/>
  <c r="H38" i="1"/>
  <c r="K38" i="1" s="1"/>
  <c r="I80" i="1"/>
  <c r="J80" i="1" s="1"/>
  <c r="K80" i="1" s="1"/>
  <c r="H86" i="1"/>
  <c r="K86" i="1" s="1"/>
  <c r="H58" i="1"/>
  <c r="K58" i="1" s="1"/>
  <c r="I40" i="1"/>
  <c r="J40" i="1" s="1"/>
  <c r="H40" i="1"/>
  <c r="I72" i="1"/>
  <c r="J72" i="1" s="1"/>
  <c r="K72" i="1" s="1"/>
  <c r="I43" i="1"/>
  <c r="J43" i="1" s="1"/>
  <c r="K43" i="1" s="1"/>
  <c r="J32" i="3" l="1"/>
  <c r="J52" i="3"/>
  <c r="J62" i="3"/>
  <c r="J44" i="3"/>
  <c r="J26" i="3"/>
  <c r="J17" i="3"/>
  <c r="J58" i="3"/>
  <c r="J3" i="3"/>
  <c r="J22" i="3"/>
  <c r="J57" i="3"/>
  <c r="J33" i="3"/>
  <c r="J24" i="3"/>
  <c r="J43" i="3"/>
  <c r="J50" i="3"/>
  <c r="J36" i="3"/>
  <c r="J23" i="3"/>
  <c r="J47" i="3"/>
  <c r="J48" i="3"/>
  <c r="J53" i="3"/>
  <c r="J42" i="3"/>
  <c r="J35" i="3"/>
  <c r="J63" i="3"/>
  <c r="J11" i="3"/>
  <c r="J41" i="3"/>
  <c r="J13" i="3"/>
  <c r="J46" i="3"/>
  <c r="J55" i="3"/>
  <c r="J12" i="3"/>
  <c r="J51" i="3"/>
  <c r="J21" i="3"/>
  <c r="J10" i="3"/>
  <c r="J18" i="3"/>
  <c r="J9" i="3"/>
  <c r="J27" i="3"/>
  <c r="J25" i="3"/>
  <c r="J49" i="3"/>
  <c r="J40" i="3"/>
  <c r="J16" i="3"/>
  <c r="J38" i="3"/>
  <c r="J31" i="3"/>
  <c r="J7" i="3"/>
  <c r="J14" i="3"/>
  <c r="J4" i="3"/>
  <c r="J15" i="3"/>
  <c r="J37" i="3"/>
  <c r="J2" i="3"/>
  <c r="J45" i="3"/>
  <c r="J6" i="3"/>
  <c r="J39" i="3"/>
  <c r="J64" i="3"/>
  <c r="J20" i="3"/>
  <c r="J34" i="3"/>
  <c r="J61" i="3"/>
  <c r="J56" i="3"/>
  <c r="J8" i="3"/>
  <c r="J19" i="3"/>
  <c r="J30" i="3"/>
  <c r="J5" i="3"/>
  <c r="J28" i="3"/>
  <c r="J29" i="3"/>
  <c r="J54" i="3"/>
  <c r="J59" i="3"/>
  <c r="J60" i="3"/>
  <c r="J65" i="3"/>
  <c r="P41" i="3" s="1"/>
  <c r="K54" i="1"/>
  <c r="K40" i="1"/>
  <c r="K35" i="1"/>
  <c r="L35" i="1" s="1"/>
  <c r="K64" i="1"/>
  <c r="L75" i="1"/>
  <c r="L48" i="1"/>
  <c r="L79" i="1"/>
  <c r="L91" i="1"/>
  <c r="L59" i="1"/>
  <c r="L43" i="1"/>
  <c r="L56" i="1"/>
  <c r="L80" i="1"/>
  <c r="K46" i="1"/>
  <c r="L82" i="1"/>
  <c r="L67" i="1"/>
  <c r="L39" i="1"/>
  <c r="L63" i="1"/>
  <c r="L58" i="1"/>
  <c r="L88" i="1"/>
  <c r="L70" i="1"/>
  <c r="K50" i="1"/>
  <c r="L54" i="1"/>
  <c r="L47" i="1"/>
  <c r="L38" i="1"/>
  <c r="K55" i="1"/>
  <c r="K42" i="1"/>
  <c r="L31" i="1"/>
  <c r="L40" i="1"/>
  <c r="L64" i="1"/>
  <c r="K34" i="1"/>
  <c r="L71" i="1"/>
  <c r="L72" i="1"/>
  <c r="L86" i="1"/>
  <c r="K66" i="1"/>
  <c r="K60" i="3" l="1"/>
  <c r="L60" i="3" s="1"/>
  <c r="M60" i="3" s="1"/>
  <c r="K45" i="3"/>
  <c r="L45" i="3" s="1"/>
  <c r="M45" i="3" s="1"/>
  <c r="K38" i="3"/>
  <c r="L38" i="3" s="1"/>
  <c r="M38" i="3" s="1"/>
  <c r="K10" i="3"/>
  <c r="L10" i="3" s="1"/>
  <c r="M10" i="3" s="1"/>
  <c r="K11" i="3"/>
  <c r="L11" i="3" s="1"/>
  <c r="M11" i="3" s="1"/>
  <c r="K36" i="3"/>
  <c r="L36" i="3" s="1"/>
  <c r="M36" i="3" s="1"/>
  <c r="K58" i="3"/>
  <c r="L58" i="3" s="1"/>
  <c r="M58" i="3" s="1"/>
  <c r="K59" i="3"/>
  <c r="L59" i="3" s="1"/>
  <c r="M59" i="3" s="1"/>
  <c r="K63" i="3"/>
  <c r="L63" i="3" s="1"/>
  <c r="M63" i="3" s="1"/>
  <c r="K50" i="3"/>
  <c r="L50" i="3" s="1"/>
  <c r="M50" i="3" s="1"/>
  <c r="K17" i="3"/>
  <c r="L17" i="3" s="1"/>
  <c r="M17" i="3" s="1"/>
  <c r="K23" i="3"/>
  <c r="L23" i="3" s="1"/>
  <c r="M23" i="3" s="1"/>
  <c r="K31" i="3"/>
  <c r="L31" i="3" s="1"/>
  <c r="M31" i="3" s="1"/>
  <c r="K56" i="3"/>
  <c r="L56" i="3" s="1"/>
  <c r="M56" i="3" s="1"/>
  <c r="K51" i="3"/>
  <c r="L51" i="3" s="1"/>
  <c r="M51" i="3" s="1"/>
  <c r="K35" i="3"/>
  <c r="L35" i="3" s="1"/>
  <c r="M35" i="3" s="1"/>
  <c r="K43" i="3"/>
  <c r="L43" i="3" s="1"/>
  <c r="M43" i="3" s="1"/>
  <c r="K26" i="3"/>
  <c r="L26" i="3" s="1"/>
  <c r="M26" i="3" s="1"/>
  <c r="K2" i="3"/>
  <c r="L2" i="3" s="1"/>
  <c r="K29" i="3"/>
  <c r="L29" i="3" s="1"/>
  <c r="M29" i="3" s="1"/>
  <c r="K34" i="3"/>
  <c r="L34" i="3" s="1"/>
  <c r="M34" i="3" s="1"/>
  <c r="K15" i="3"/>
  <c r="L15" i="3" s="1"/>
  <c r="M15" i="3" s="1"/>
  <c r="K49" i="3"/>
  <c r="L49" i="3" s="1"/>
  <c r="M49" i="3" s="1"/>
  <c r="K12" i="3"/>
  <c r="L12" i="3" s="1"/>
  <c r="M12" i="3" s="1"/>
  <c r="K42" i="3"/>
  <c r="L42" i="3" s="1"/>
  <c r="M42" i="3" s="1"/>
  <c r="K24" i="3"/>
  <c r="L24" i="3" s="1"/>
  <c r="M24" i="3" s="1"/>
  <c r="K44" i="3"/>
  <c r="L44" i="3" s="1"/>
  <c r="M44" i="3" s="1"/>
  <c r="K19" i="3"/>
  <c r="L19" i="3" s="1"/>
  <c r="M19" i="3" s="1"/>
  <c r="K40" i="3"/>
  <c r="L40" i="3" s="1"/>
  <c r="M40" i="3" s="1"/>
  <c r="K28" i="3"/>
  <c r="L28" i="3" s="1"/>
  <c r="M28" i="3" s="1"/>
  <c r="K20" i="3"/>
  <c r="L20" i="3" s="1"/>
  <c r="M20" i="3" s="1"/>
  <c r="K4" i="3"/>
  <c r="L4" i="3" s="1"/>
  <c r="M4" i="3" s="1"/>
  <c r="K25" i="3"/>
  <c r="L25" i="3" s="1"/>
  <c r="M25" i="3" s="1"/>
  <c r="K55" i="3"/>
  <c r="L55" i="3" s="1"/>
  <c r="M55" i="3" s="1"/>
  <c r="K53" i="3"/>
  <c r="L53" i="3" s="1"/>
  <c r="M53" i="3" s="1"/>
  <c r="K33" i="3"/>
  <c r="L33" i="3" s="1"/>
  <c r="M33" i="3" s="1"/>
  <c r="K62" i="3"/>
  <c r="L62" i="3" s="1"/>
  <c r="M62" i="3" s="1"/>
  <c r="K3" i="3"/>
  <c r="L3" i="3" s="1"/>
  <c r="M3" i="3" s="1"/>
  <c r="K8" i="3"/>
  <c r="L8" i="3" s="1"/>
  <c r="M8" i="3" s="1"/>
  <c r="K16" i="3"/>
  <c r="L16" i="3" s="1"/>
  <c r="M16" i="3" s="1"/>
  <c r="K61" i="3"/>
  <c r="L61" i="3" s="1"/>
  <c r="M61" i="3" s="1"/>
  <c r="K41" i="3"/>
  <c r="L41" i="3" s="1"/>
  <c r="M41" i="3" s="1"/>
  <c r="K64" i="3"/>
  <c r="L64" i="3" s="1"/>
  <c r="M64" i="3" s="1"/>
  <c r="K27" i="3"/>
  <c r="L27" i="3" s="1"/>
  <c r="M27" i="3" s="1"/>
  <c r="K46" i="3"/>
  <c r="L46" i="3" s="1"/>
  <c r="M46" i="3" s="1"/>
  <c r="K48" i="3"/>
  <c r="L48" i="3" s="1"/>
  <c r="M48" i="3" s="1"/>
  <c r="K57" i="3"/>
  <c r="L57" i="3" s="1"/>
  <c r="M57" i="3" s="1"/>
  <c r="K52" i="3"/>
  <c r="L52" i="3" s="1"/>
  <c r="M52" i="3" s="1"/>
  <c r="K6" i="3"/>
  <c r="L6" i="3" s="1"/>
  <c r="M6" i="3" s="1"/>
  <c r="K21" i="3"/>
  <c r="L21" i="3" s="1"/>
  <c r="M21" i="3" s="1"/>
  <c r="K37" i="3"/>
  <c r="L37" i="3" s="1"/>
  <c r="M37" i="3" s="1"/>
  <c r="K54" i="3"/>
  <c r="L54" i="3" s="1"/>
  <c r="M54" i="3" s="1"/>
  <c r="K5" i="3"/>
  <c r="L5" i="3" s="1"/>
  <c r="M5" i="3" s="1"/>
  <c r="K30" i="3"/>
  <c r="L30" i="3" s="1"/>
  <c r="M30" i="3" s="1"/>
  <c r="K39" i="3"/>
  <c r="L39" i="3" s="1"/>
  <c r="M39" i="3" s="1"/>
  <c r="K7" i="3"/>
  <c r="L7" i="3" s="1"/>
  <c r="M7" i="3" s="1"/>
  <c r="K9" i="3"/>
  <c r="L9" i="3" s="1"/>
  <c r="M9" i="3" s="1"/>
  <c r="K13" i="3"/>
  <c r="L13" i="3" s="1"/>
  <c r="M13" i="3" s="1"/>
  <c r="K47" i="3"/>
  <c r="L47" i="3" s="1"/>
  <c r="M47" i="3" s="1"/>
  <c r="K22" i="3"/>
  <c r="L22" i="3" s="1"/>
  <c r="M22" i="3" s="1"/>
  <c r="K32" i="3"/>
  <c r="L32" i="3" s="1"/>
  <c r="M32" i="3" s="1"/>
  <c r="K18" i="3"/>
  <c r="L18" i="3" s="1"/>
  <c r="M18" i="3" s="1"/>
  <c r="K14" i="3"/>
  <c r="L14" i="3" s="1"/>
  <c r="M14" i="3" s="1"/>
  <c r="L42" i="1"/>
  <c r="L55" i="1"/>
  <c r="L50" i="1"/>
  <c r="L30" i="1"/>
  <c r="L34" i="1"/>
  <c r="L46" i="1"/>
  <c r="M2" i="3" l="1"/>
  <c r="M65" i="3" s="1"/>
  <c r="P43" i="3" s="1"/>
  <c r="P42" i="3"/>
  <c r="M98" i="1"/>
  <c r="N98" i="1" s="1"/>
  <c r="M95" i="1"/>
  <c r="N95" i="1" s="1"/>
  <c r="M103" i="1"/>
  <c r="N103" i="1" s="1"/>
  <c r="M111" i="1"/>
  <c r="N111" i="1" s="1"/>
  <c r="M107" i="1"/>
  <c r="N107" i="1" s="1"/>
  <c r="M94" i="1"/>
  <c r="N94" i="1" s="1"/>
  <c r="M124" i="1"/>
  <c r="N124" i="1" s="1"/>
  <c r="M120" i="1"/>
  <c r="N120" i="1" s="1"/>
  <c r="M116" i="1"/>
  <c r="N116" i="1" s="1"/>
  <c r="M112" i="1"/>
  <c r="N112" i="1" s="1"/>
  <c r="M108" i="1"/>
  <c r="N108" i="1" s="1"/>
  <c r="M97" i="1"/>
  <c r="N97" i="1" s="1"/>
  <c r="M101" i="1"/>
  <c r="N101" i="1" s="1"/>
  <c r="M102" i="1"/>
  <c r="N102" i="1" s="1"/>
  <c r="M115" i="1"/>
  <c r="N115" i="1" s="1"/>
  <c r="M125" i="1"/>
  <c r="N125" i="1" s="1"/>
  <c r="M122" i="1"/>
  <c r="N122" i="1" s="1"/>
  <c r="M92" i="1"/>
  <c r="N92" i="1" s="1"/>
  <c r="M104" i="1"/>
  <c r="N104" i="1" s="1"/>
  <c r="M52" i="1"/>
  <c r="N52" i="1" s="1"/>
  <c r="M113" i="1"/>
  <c r="N113" i="1" s="1"/>
  <c r="M105" i="1"/>
  <c r="N105" i="1" s="1"/>
  <c r="M100" i="1"/>
  <c r="N100" i="1" s="1"/>
  <c r="M127" i="1"/>
  <c r="N127" i="1" s="1"/>
  <c r="M123" i="1"/>
  <c r="N123" i="1" s="1"/>
  <c r="M96" i="1"/>
  <c r="N96" i="1" s="1"/>
  <c r="M121" i="1"/>
  <c r="N121" i="1" s="1"/>
  <c r="M109" i="1"/>
  <c r="N109" i="1" s="1"/>
  <c r="M99" i="1"/>
  <c r="N99" i="1" s="1"/>
  <c r="M110" i="1"/>
  <c r="N110" i="1" s="1"/>
  <c r="M119" i="1"/>
  <c r="N119" i="1" s="1"/>
  <c r="M106" i="1"/>
  <c r="N106" i="1" s="1"/>
  <c r="M118" i="1"/>
  <c r="N118" i="1" s="1"/>
  <c r="M114" i="1"/>
  <c r="N114" i="1" s="1"/>
  <c r="M44" i="1"/>
  <c r="N44" i="1" s="1"/>
  <c r="M126" i="1"/>
  <c r="N126" i="1" s="1"/>
  <c r="M117" i="1"/>
  <c r="N117" i="1" s="1"/>
  <c r="M93" i="1"/>
  <c r="N93" i="1" s="1"/>
  <c r="M60" i="1"/>
  <c r="N60" i="1" s="1"/>
  <c r="M62" i="1"/>
  <c r="N62" i="1" s="1"/>
  <c r="M90" i="1"/>
  <c r="N90" i="1" s="1"/>
  <c r="M77" i="1"/>
  <c r="N77" i="1" s="1"/>
  <c r="M45" i="1"/>
  <c r="N45" i="1" s="1"/>
  <c r="M41" i="1"/>
  <c r="N41" i="1" s="1"/>
  <c r="N29" i="1"/>
  <c r="M89" i="1"/>
  <c r="N89" i="1" s="1"/>
  <c r="M36" i="1"/>
  <c r="N36" i="1" s="1"/>
  <c r="M69" i="1"/>
  <c r="N69" i="1" s="1"/>
  <c r="M61" i="1"/>
  <c r="N61" i="1" s="1"/>
  <c r="M37" i="1"/>
  <c r="N37" i="1" s="1"/>
  <c r="M83" i="1"/>
  <c r="N83" i="1" s="1"/>
  <c r="M57" i="1"/>
  <c r="N57" i="1" s="1"/>
  <c r="M78" i="1"/>
  <c r="N78" i="1" s="1"/>
  <c r="M76" i="1"/>
  <c r="N76" i="1" s="1"/>
  <c r="M53" i="1"/>
  <c r="N53" i="1" s="1"/>
  <c r="M51" i="1"/>
  <c r="N51" i="1" s="1"/>
  <c r="M49" i="1"/>
  <c r="N49" i="1" s="1"/>
  <c r="M81" i="1"/>
  <c r="N81" i="1" s="1"/>
  <c r="M73" i="1"/>
  <c r="N73" i="1" s="1"/>
  <c r="M87" i="1"/>
  <c r="N87" i="1" s="1"/>
  <c r="M32" i="1"/>
  <c r="N32" i="1" s="1"/>
  <c r="M65" i="1"/>
  <c r="N65" i="1" s="1"/>
  <c r="M68" i="1"/>
  <c r="N68" i="1" s="1"/>
  <c r="M74" i="1"/>
  <c r="N74" i="1" s="1"/>
  <c r="M33" i="1"/>
  <c r="N33" i="1" s="1"/>
  <c r="M85" i="1"/>
  <c r="N85" i="1" s="1"/>
  <c r="M84" i="1"/>
  <c r="N84" i="1" s="1"/>
  <c r="M70" i="1"/>
  <c r="N70" i="1" s="1"/>
  <c r="M72" i="1"/>
  <c r="N72" i="1" s="1"/>
  <c r="M75" i="1"/>
  <c r="N75" i="1" s="1"/>
  <c r="M63" i="1"/>
  <c r="N63" i="1" s="1"/>
  <c r="M56" i="1"/>
  <c r="N56" i="1" s="1"/>
  <c r="M80" i="1"/>
  <c r="N80" i="1" s="1"/>
  <c r="M48" i="1"/>
  <c r="N48" i="1" s="1"/>
  <c r="M82" i="1"/>
  <c r="N82" i="1" s="1"/>
  <c r="M71" i="1"/>
  <c r="N71" i="1" s="1"/>
  <c r="M35" i="1"/>
  <c r="N35" i="1" s="1"/>
  <c r="M31" i="1"/>
  <c r="N31" i="1" s="1"/>
  <c r="M67" i="1"/>
  <c r="N67" i="1" s="1"/>
  <c r="M54" i="1"/>
  <c r="N54" i="1" s="1"/>
  <c r="M47" i="1"/>
  <c r="N47" i="1" s="1"/>
  <c r="M86" i="1"/>
  <c r="N86" i="1" s="1"/>
  <c r="M59" i="1"/>
  <c r="N59" i="1" s="1"/>
  <c r="M88" i="1"/>
  <c r="N88" i="1" s="1"/>
  <c r="M79" i="1"/>
  <c r="N79" i="1" s="1"/>
  <c r="M39" i="1"/>
  <c r="N39" i="1" s="1"/>
  <c r="M38" i="1"/>
  <c r="N38" i="1" s="1"/>
  <c r="M43" i="1"/>
  <c r="N43" i="1" s="1"/>
  <c r="M58" i="1"/>
  <c r="N58" i="1" s="1"/>
  <c r="M40" i="1"/>
  <c r="N40" i="1" s="1"/>
  <c r="M64" i="1"/>
  <c r="N64" i="1" s="1"/>
  <c r="M91" i="1"/>
  <c r="N91" i="1" s="1"/>
  <c r="M34" i="1"/>
  <c r="N34" i="1" s="1"/>
  <c r="M55" i="1"/>
  <c r="N55" i="1" s="1"/>
  <c r="M42" i="1"/>
  <c r="N42" i="1" s="1"/>
  <c r="M46" i="1"/>
  <c r="N46" i="1" s="1"/>
  <c r="M30" i="1"/>
  <c r="N30" i="1" s="1"/>
  <c r="M66" i="1"/>
  <c r="N66" i="1" s="1"/>
  <c r="M50" i="1"/>
  <c r="N50" i="1" s="1"/>
  <c r="P66" i="1" l="1"/>
  <c r="Q66" i="1"/>
  <c r="O66" i="1"/>
  <c r="Q30" i="1"/>
  <c r="P30" i="1"/>
  <c r="O30" i="1"/>
  <c r="P67" i="1"/>
  <c r="O67" i="1"/>
  <c r="Q67" i="1"/>
  <c r="Q74" i="1"/>
  <c r="P74" i="1"/>
  <c r="O74" i="1"/>
  <c r="Q69" i="1"/>
  <c r="P69" i="1"/>
  <c r="O69" i="1"/>
  <c r="P106" i="1"/>
  <c r="Q106" i="1"/>
  <c r="O106" i="1"/>
  <c r="O125" i="1"/>
  <c r="Q125" i="1"/>
  <c r="P125" i="1"/>
  <c r="Q86" i="1"/>
  <c r="P86" i="1"/>
  <c r="O86" i="1"/>
  <c r="P46" i="1"/>
  <c r="Q46" i="1"/>
  <c r="O46" i="1"/>
  <c r="P55" i="1"/>
  <c r="O55" i="1"/>
  <c r="Q55" i="1"/>
  <c r="P31" i="1"/>
  <c r="O31" i="1"/>
  <c r="Q31" i="1"/>
  <c r="O68" i="1"/>
  <c r="Q68" i="1"/>
  <c r="P68" i="1"/>
  <c r="O36" i="1"/>
  <c r="Q36" i="1"/>
  <c r="P36" i="1"/>
  <c r="Q119" i="1"/>
  <c r="P119" i="1"/>
  <c r="O119" i="1"/>
  <c r="Q115" i="1"/>
  <c r="P115" i="1"/>
  <c r="O115" i="1"/>
  <c r="P114" i="1"/>
  <c r="Q114" i="1"/>
  <c r="O114" i="1"/>
  <c r="O34" i="1"/>
  <c r="Q34" i="1"/>
  <c r="P35" i="1"/>
  <c r="Q35" i="1"/>
  <c r="Q65" i="1"/>
  <c r="P65" i="1"/>
  <c r="O65" i="1"/>
  <c r="Q89" i="1"/>
  <c r="P89" i="1"/>
  <c r="O89" i="1"/>
  <c r="P110" i="1"/>
  <c r="Q110" i="1"/>
  <c r="O110" i="1"/>
  <c r="Q102" i="1"/>
  <c r="P102" i="1"/>
  <c r="O102" i="1"/>
  <c r="Q70" i="1"/>
  <c r="P70" i="1"/>
  <c r="O70" i="1"/>
  <c r="Q85" i="1"/>
  <c r="P85" i="1"/>
  <c r="O85" i="1"/>
  <c r="P91" i="1"/>
  <c r="O91" i="1"/>
  <c r="Q91" i="1"/>
  <c r="O32" i="1"/>
  <c r="P32" i="1"/>
  <c r="Q32" i="1"/>
  <c r="Q29" i="1"/>
  <c r="P29" i="1"/>
  <c r="O29" i="1"/>
  <c r="Q99" i="1"/>
  <c r="P99" i="1"/>
  <c r="O99" i="1"/>
  <c r="P101" i="1"/>
  <c r="O101" i="1"/>
  <c r="Q101" i="1"/>
  <c r="O28" i="1"/>
  <c r="Q28" i="1"/>
  <c r="P28" i="1"/>
  <c r="Q42" i="1"/>
  <c r="P42" i="1"/>
  <c r="O42" i="1"/>
  <c r="P71" i="1"/>
  <c r="O71" i="1"/>
  <c r="Q71" i="1"/>
  <c r="O64" i="1"/>
  <c r="Q64" i="1"/>
  <c r="P64" i="1"/>
  <c r="Q82" i="1"/>
  <c r="P82" i="1"/>
  <c r="O82" i="1"/>
  <c r="P87" i="1"/>
  <c r="O87" i="1"/>
  <c r="Q87" i="1"/>
  <c r="Q41" i="1"/>
  <c r="P41" i="1"/>
  <c r="O41" i="1"/>
  <c r="O109" i="1"/>
  <c r="Q109" i="1"/>
  <c r="P109" i="1"/>
  <c r="Q97" i="1"/>
  <c r="P97" i="1"/>
  <c r="O97" i="1"/>
  <c r="O40" i="1"/>
  <c r="Q40" i="1"/>
  <c r="P40" i="1"/>
  <c r="Q73" i="1"/>
  <c r="P73" i="1"/>
  <c r="O73" i="1"/>
  <c r="Q45" i="1"/>
  <c r="P45" i="1"/>
  <c r="O45" i="1"/>
  <c r="O121" i="1"/>
  <c r="Q121" i="1"/>
  <c r="P121" i="1"/>
  <c r="Q108" i="1"/>
  <c r="O108" i="1"/>
  <c r="P108" i="1"/>
  <c r="P59" i="1"/>
  <c r="O59" i="1"/>
  <c r="Q59" i="1"/>
  <c r="P80" i="1"/>
  <c r="O80" i="1"/>
  <c r="Q80" i="1"/>
  <c r="Q81" i="1"/>
  <c r="P81" i="1"/>
  <c r="O81" i="1"/>
  <c r="Q77" i="1"/>
  <c r="P77" i="1"/>
  <c r="O77" i="1"/>
  <c r="P96" i="1"/>
  <c r="Q96" i="1"/>
  <c r="O96" i="1"/>
  <c r="Q112" i="1"/>
  <c r="O112" i="1"/>
  <c r="P112" i="1"/>
  <c r="P84" i="1"/>
  <c r="O84" i="1"/>
  <c r="Q84" i="1"/>
  <c r="Q49" i="1"/>
  <c r="P49" i="1"/>
  <c r="O49" i="1"/>
  <c r="Q90" i="1"/>
  <c r="P90" i="1"/>
  <c r="O90" i="1"/>
  <c r="Q123" i="1"/>
  <c r="P123" i="1"/>
  <c r="O123" i="1"/>
  <c r="Q116" i="1"/>
  <c r="P116" i="1"/>
  <c r="O116" i="1"/>
  <c r="P37" i="1"/>
  <c r="O37" i="1"/>
  <c r="Q37" i="1"/>
  <c r="P43" i="1"/>
  <c r="O43" i="1"/>
  <c r="Q43" i="1"/>
  <c r="P38" i="1"/>
  <c r="O38" i="1"/>
  <c r="Q38" i="1"/>
  <c r="P63" i="1"/>
  <c r="O63" i="1"/>
  <c r="Q63" i="1"/>
  <c r="P51" i="1"/>
  <c r="O51" i="1"/>
  <c r="Q51" i="1"/>
  <c r="P62" i="1"/>
  <c r="O62" i="1"/>
  <c r="Q62" i="1"/>
  <c r="Q127" i="1"/>
  <c r="P127" i="1"/>
  <c r="O127" i="1"/>
  <c r="Q120" i="1"/>
  <c r="P120" i="1"/>
  <c r="O120" i="1"/>
  <c r="P83" i="1"/>
  <c r="O83" i="1"/>
  <c r="Q83" i="1"/>
  <c r="O48" i="1"/>
  <c r="Q48" i="1"/>
  <c r="P48" i="1"/>
  <c r="O56" i="1"/>
  <c r="Q56" i="1"/>
  <c r="P56" i="1"/>
  <c r="P39" i="1"/>
  <c r="O39" i="1"/>
  <c r="Q39" i="1"/>
  <c r="P75" i="1"/>
  <c r="O75" i="1"/>
  <c r="Q75" i="1"/>
  <c r="P53" i="1"/>
  <c r="O53" i="1"/>
  <c r="Q53" i="1"/>
  <c r="O60" i="1"/>
  <c r="Q60" i="1"/>
  <c r="P60" i="1"/>
  <c r="Q100" i="1"/>
  <c r="P100" i="1"/>
  <c r="O100" i="1"/>
  <c r="Q124" i="1"/>
  <c r="P124" i="1"/>
  <c r="O124" i="1"/>
  <c r="P88" i="1"/>
  <c r="O88" i="1"/>
  <c r="Q88" i="1"/>
  <c r="P47" i="1"/>
  <c r="O47" i="1"/>
  <c r="Q58" i="1"/>
  <c r="P58" i="1"/>
  <c r="O58" i="1"/>
  <c r="P79" i="1"/>
  <c r="O79" i="1"/>
  <c r="Q79" i="1"/>
  <c r="P72" i="1"/>
  <c r="O72" i="1"/>
  <c r="Q72" i="1"/>
  <c r="P76" i="1"/>
  <c r="O76" i="1"/>
  <c r="Q76" i="1"/>
  <c r="Q93" i="1"/>
  <c r="O93" i="1"/>
  <c r="P93" i="1"/>
  <c r="O105" i="1"/>
  <c r="Q105" i="1"/>
  <c r="P105" i="1"/>
  <c r="O94" i="1"/>
  <c r="Q94" i="1"/>
  <c r="P94" i="1"/>
  <c r="Q78" i="1"/>
  <c r="P78" i="1"/>
  <c r="O78" i="1"/>
  <c r="O117" i="1"/>
  <c r="Q117" i="1"/>
  <c r="P117" i="1"/>
  <c r="O113" i="1"/>
  <c r="Q113" i="1"/>
  <c r="P113" i="1"/>
  <c r="Q107" i="1"/>
  <c r="P107" i="1"/>
  <c r="O107" i="1"/>
  <c r="Q57" i="1"/>
  <c r="P57" i="1"/>
  <c r="O57" i="1"/>
  <c r="Q126" i="1"/>
  <c r="P126" i="1"/>
  <c r="O126" i="1"/>
  <c r="O52" i="1"/>
  <c r="Q52" i="1"/>
  <c r="P52" i="1"/>
  <c r="Q111" i="1"/>
  <c r="P111" i="1"/>
  <c r="O111" i="1"/>
  <c r="O44" i="1"/>
  <c r="Q44" i="1"/>
  <c r="P44" i="1"/>
  <c r="Q104" i="1"/>
  <c r="O104" i="1"/>
  <c r="P104" i="1"/>
  <c r="Q103" i="1"/>
  <c r="P103" i="1"/>
  <c r="O103" i="1"/>
  <c r="P92" i="1"/>
  <c r="O92" i="1"/>
  <c r="Q92" i="1"/>
  <c r="P95" i="1"/>
  <c r="Q95" i="1"/>
  <c r="O95" i="1"/>
  <c r="P50" i="1"/>
  <c r="Q50" i="1"/>
  <c r="O50" i="1"/>
  <c r="Q54" i="1"/>
  <c r="P54" i="1"/>
  <c r="O54" i="1"/>
  <c r="Q33" i="1"/>
  <c r="P33" i="1"/>
  <c r="O33" i="1"/>
  <c r="Q61" i="1"/>
  <c r="O61" i="1"/>
  <c r="P61" i="1"/>
  <c r="P118" i="1"/>
  <c r="Q118" i="1"/>
  <c r="O118" i="1"/>
  <c r="Q122" i="1"/>
  <c r="P122" i="1"/>
  <c r="O122" i="1"/>
  <c r="Q98" i="1"/>
  <c r="O98" i="1"/>
  <c r="P98" i="1"/>
  <c r="B23" i="1" l="1"/>
  <c r="B20" i="1"/>
  <c r="B19" i="1"/>
  <c r="B22" i="1" l="1"/>
</calcChain>
</file>

<file path=xl/sharedStrings.xml><?xml version="1.0" encoding="utf-8"?>
<sst xmlns="http://schemas.openxmlformats.org/spreadsheetml/2006/main" count="156" uniqueCount="118">
  <si>
    <t>Praktikumsversuch "Bestimmung der elektrischen Elementarladung nach Millikan"</t>
  </si>
  <si>
    <t>Wert</t>
  </si>
  <si>
    <t>Einheit</t>
  </si>
  <si>
    <t>Beschreibung</t>
  </si>
  <si>
    <t>16.09.2025</t>
  </si>
  <si>
    <t>Datum der Messung</t>
  </si>
  <si>
    <t>Namen der StudentInnen:</t>
  </si>
  <si>
    <t>Finn Zeumer, Annika Künstle</t>
  </si>
  <si>
    <t>V</t>
  </si>
  <si>
    <t>Spannung des Kondensators U</t>
  </si>
  <si>
    <t>Pa</t>
  </si>
  <si>
    <t>Luftdruck p</t>
  </si>
  <si>
    <t>Alles rote ist zu ändern, der Rest wird automatisch berechnet.</t>
  </si>
  <si>
    <t>oC</t>
  </si>
  <si>
    <t>Zimmertemperatur T</t>
  </si>
  <si>
    <t>C</t>
  </si>
  <si>
    <t>m</t>
  </si>
  <si>
    <t>Abstand der Kondensatorplatten d</t>
  </si>
  <si>
    <t>1 Skt</t>
  </si>
  <si>
    <t>C1 =</t>
  </si>
  <si>
    <t>VAs (s/m)**1.5</t>
  </si>
  <si>
    <r>
      <t xml:space="preserve">Zahl </t>
    </r>
    <r>
      <rPr>
        <sz val="10"/>
        <color theme="1"/>
        <rFont val="Symbol"/>
        <family val="1"/>
        <charset val="2"/>
      </rPr>
      <t>p</t>
    </r>
  </si>
  <si>
    <t>C2 =</t>
  </si>
  <si>
    <t>ms</t>
  </si>
  <si>
    <t>As</t>
  </si>
  <si>
    <t>Benutzte Ladungseinheit q0</t>
  </si>
  <si>
    <r>
      <t xml:space="preserve">r </t>
    </r>
    <r>
      <rPr>
        <sz val="10"/>
        <color theme="1"/>
        <rFont val="Arial1"/>
      </rPr>
      <t>=</t>
    </r>
    <r>
      <rPr>
        <sz val="10"/>
        <color theme="1"/>
        <rFont val="Symbol"/>
        <family val="1"/>
        <charset val="2"/>
      </rPr>
      <t xml:space="preserve"> r1-r2 =</t>
    </r>
  </si>
  <si>
    <t>kg/m³</t>
  </si>
  <si>
    <t>Ns/m²</t>
  </si>
  <si>
    <r>
      <t xml:space="preserve">Viskosität der Luft </t>
    </r>
    <r>
      <rPr>
        <sz val="10"/>
        <color theme="1"/>
        <rFont val="Symbol"/>
        <family val="1"/>
        <charset val="2"/>
      </rPr>
      <t>h0</t>
    </r>
    <r>
      <rPr>
        <sz val="10"/>
        <color theme="1"/>
        <rFont val="Arial"/>
        <family val="2"/>
      </rPr>
      <t xml:space="preserve"> (unkorrigiert)</t>
    </r>
  </si>
  <si>
    <t>b =</t>
  </si>
  <si>
    <t>Pa m</t>
  </si>
  <si>
    <r>
      <t xml:space="preserve">Dichte des Öls </t>
    </r>
    <r>
      <rPr>
        <sz val="10"/>
        <color theme="1"/>
        <rFont val="Symbol"/>
        <family val="1"/>
        <charset val="2"/>
      </rPr>
      <t>r1</t>
    </r>
  </si>
  <si>
    <r>
      <t xml:space="preserve">Dichte der Luft </t>
    </r>
    <r>
      <rPr>
        <sz val="10"/>
        <color theme="1"/>
        <rFont val="Symbol"/>
        <family val="1"/>
        <charset val="2"/>
      </rPr>
      <t>r2</t>
    </r>
  </si>
  <si>
    <t>m/s²</t>
  </si>
  <si>
    <t>Erdbeschleunigung g</t>
  </si>
  <si>
    <t>Oberere Grenze der Ladung für einfach geladene Tröpfchen</t>
  </si>
  <si>
    <t>f</t>
  </si>
  <si>
    <r>
      <t xml:space="preserve">Korrekturfaktor für </t>
    </r>
    <r>
      <rPr>
        <sz val="10"/>
        <color theme="1"/>
        <rFont val="Symbol"/>
        <family val="1"/>
        <charset val="2"/>
      </rPr>
      <t>h</t>
    </r>
  </si>
  <si>
    <t>Mittelwert Q1m der einfach mit Q1 geladenen Tröpfchen</t>
  </si>
  <si>
    <t>Q</t>
  </si>
  <si>
    <t xml:space="preserve">  Ladung der gemessenen Tröpfchen</t>
  </si>
  <si>
    <t>Q1</t>
  </si>
  <si>
    <t xml:space="preserve">  Ladung der einfach geladenen Tröpchen</t>
  </si>
  <si>
    <t>Mittelwert Q/n für Tröpfchen mit n&lt;6</t>
  </si>
  <si>
    <t>n</t>
  </si>
  <si>
    <t xml:space="preserve">  nächste ganze Zahl von Q/Q1</t>
  </si>
  <si>
    <t>Zahl der Tröpfchen mit n&lt;6</t>
  </si>
  <si>
    <t>Standardabweichung einer Einzelmessung</t>
  </si>
  <si>
    <t>Standardabweichung des Mittelwertes</t>
  </si>
  <si>
    <t>Mittelwert von f für Tröpfchen mit n&lt;6</t>
  </si>
  <si>
    <t>Nr.</t>
  </si>
  <si>
    <t>Sinken</t>
  </si>
  <si>
    <t>t1</t>
  </si>
  <si>
    <t>Steigen</t>
  </si>
  <si>
    <t>t2</t>
  </si>
  <si>
    <t>v1</t>
  </si>
  <si>
    <t>v2</t>
  </si>
  <si>
    <t>v1+v2</t>
  </si>
  <si>
    <t>R0</t>
  </si>
  <si>
    <t>Q/Q1m</t>
  </si>
  <si>
    <t>Q/n</t>
  </si>
  <si>
    <t>[Skt]</t>
  </si>
  <si>
    <t>[s]</t>
  </si>
  <si>
    <t>[m/s]</t>
  </si>
  <si>
    <t>[m]</t>
  </si>
  <si>
    <t>(n&lt;6)</t>
  </si>
  <si>
    <t>-</t>
  </si>
  <si>
    <t>Berechnung der Fall und Steigzeiten (Beachte die korrekte Eingabe der Messstrecke und der Zeiten)</t>
  </si>
  <si>
    <t>Messssteecke</t>
  </si>
  <si>
    <t>Fallen Start</t>
  </si>
  <si>
    <t>Fallen Stopp</t>
  </si>
  <si>
    <t>Fallzeit</t>
  </si>
  <si>
    <t>Steigen Start</t>
  </si>
  <si>
    <t>Steigen Stopp</t>
  </si>
  <si>
    <t>Steigzeit</t>
  </si>
  <si>
    <t>bis hier Protokoll mitschrift</t>
  </si>
  <si>
    <t>Steigzeit [s]</t>
  </si>
  <si>
    <t>Fallzeit [s]</t>
  </si>
  <si>
    <t>Messung</t>
  </si>
  <si>
    <t>1STK. =</t>
  </si>
  <si>
    <t>Ungenauigkeit</t>
  </si>
  <si>
    <t>Strecke [m]:</t>
  </si>
  <si>
    <t>V_{steig}</t>
  </si>
  <si>
    <t>V_{fall}</t>
  </si>
  <si>
    <t>Strecke [Stk]:</t>
  </si>
  <si>
    <t>Gravitation-Ortskonstante g [m/s^2]:</t>
  </si>
  <si>
    <t>Dynamische Messwerte</t>
  </si>
  <si>
    <t>Luftdruck [Pa]</t>
  </si>
  <si>
    <t>Angeleget Spannung [V]</t>
  </si>
  <si>
    <t>Raumtemperatur [°C]</t>
  </si>
  <si>
    <t>Allgemeine Infromationen/Konstanten/Versuchsaufbau</t>
  </si>
  <si>
    <t>Plattenabstand [m]:</t>
  </si>
  <si>
    <r>
      <t xml:space="preserve">Viskosität der Luft </t>
    </r>
    <r>
      <rPr>
        <sz val="10"/>
        <color theme="1"/>
        <rFont val="Symbol"/>
        <family val="1"/>
        <charset val="2"/>
      </rPr>
      <t>h0</t>
    </r>
    <r>
      <rPr>
        <sz val="10"/>
        <color theme="1"/>
        <rFont val="Liberation Sans"/>
      </rPr>
      <t xml:space="preserve"> (unkorrigiert) [Ns/m^2]:</t>
    </r>
  </si>
  <si>
    <t>Dichte Öl r_{Luft} [kg/m^3]:</t>
  </si>
  <si>
    <r>
      <t xml:space="preserve">Dichte Öl 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Liberation Sans"/>
      </rPr>
      <t>_{öl} [kg/m^3]:</t>
    </r>
  </si>
  <si>
    <t>15°C:</t>
  </si>
  <si>
    <t>25°C</t>
  </si>
  <si>
    <t>Konstante im Korrekturfaktor [Pa m]</t>
  </si>
  <si>
    <t>Messergebnisse</t>
  </si>
  <si>
    <t>Radius</t>
  </si>
  <si>
    <t>Grenzwert für Einzeldadung</t>
  </si>
  <si>
    <t>Q_{ges} nicht korrigiert</t>
  </si>
  <si>
    <t>Q_{ges} korrigiert</t>
  </si>
  <si>
    <t>Korrekturstherm</t>
  </si>
  <si>
    <t>Größenordnung</t>
  </si>
  <si>
    <t>if Q&gt;q</t>
  </si>
  <si>
    <t>Mittelwert der Einfachladungen (q)</t>
  </si>
  <si>
    <t>Abweichung von q</t>
  </si>
  <si>
    <t>Anzahl Ladungen n</t>
  </si>
  <si>
    <t>Anzahl Trößchen &lt; 6n</t>
  </si>
  <si>
    <t>Mittelwert Mehrfachladungen n&lt;6</t>
  </si>
  <si>
    <t>ZIELERGEBNIS:</t>
  </si>
  <si>
    <t>Millikans Historisches Ergebnis</t>
  </si>
  <si>
    <t>Signifikante Abweichung vom Lit Wert</t>
  </si>
  <si>
    <t>Ungenauigkeit:</t>
  </si>
  <si>
    <t>r</t>
  </si>
  <si>
    <t>Durchschnittlicher Korrekturfaktor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</si>
</sst>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E+00"/>
    <numFmt numFmtId="167" formatCode="0.000"/>
    <numFmt numFmtId="168" formatCode="0.0000"/>
    <numFmt numFmtId="169" formatCode="0.0000E+00"/>
    <numFmt numFmtId="170" formatCode="d/m/yy"/>
  </numFmts>
  <fonts count="30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0"/>
      <color theme="1"/>
      <name val="Arial"/>
      <family val="2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theme="1"/>
      <name val="Liberation Sans"/>
    </font>
    <font>
      <b/>
      <sz val="18"/>
      <color theme="1"/>
      <name val="Liberation Sans"/>
    </font>
    <font>
      <b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u/>
      <sz val="14"/>
      <color theme="1"/>
      <name val="Arial1"/>
    </font>
    <font>
      <sz val="10"/>
      <color rgb="FFFF0000"/>
      <name val="Arial1"/>
    </font>
    <font>
      <sz val="10"/>
      <color rgb="FFFF0000"/>
      <name val="Arial"/>
      <family val="2"/>
    </font>
    <font>
      <sz val="10"/>
      <color theme="1"/>
      <name val="Arial1"/>
    </font>
    <font>
      <sz val="10"/>
      <color rgb="FF0000FF"/>
      <name val="Arial1"/>
    </font>
    <font>
      <sz val="10"/>
      <color theme="1"/>
      <name val="Symbol"/>
      <family val="1"/>
      <charset val="2"/>
    </font>
    <font>
      <sz val="10"/>
      <color rgb="FFFF0000"/>
      <name val="Symbol"/>
      <family val="1"/>
      <charset val="2"/>
    </font>
    <font>
      <b/>
      <u/>
      <sz val="20"/>
      <color theme="1"/>
      <name val="Arial1"/>
    </font>
    <font>
      <b/>
      <sz val="10"/>
      <color theme="1"/>
      <name val="Arial1"/>
    </font>
    <font>
      <b/>
      <sz val="10"/>
      <color theme="0"/>
      <name val="Liberation Sans"/>
    </font>
    <font>
      <i/>
      <sz val="10"/>
      <color theme="1"/>
      <name val="Liberation Sans"/>
    </font>
    <font>
      <sz val="10"/>
      <color theme="0" tint="-0.499984740745262"/>
      <name val="Liberation Sans"/>
    </font>
    <font>
      <sz val="8"/>
      <name val="Liberation Sans"/>
    </font>
    <font>
      <b/>
      <sz val="10"/>
      <color theme="4"/>
      <name val="Liberation Sans"/>
    </font>
    <font>
      <sz val="10"/>
      <color theme="4"/>
      <name val="Liberation Sans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2A6099"/>
        <bgColor rgb="FF2A6099"/>
      </patternFill>
    </fill>
    <fill>
      <patternFill patternType="solid">
        <fgColor rgb="FF729FCF"/>
        <bgColor rgb="FF729FCF"/>
      </patternFill>
    </fill>
    <fill>
      <patternFill patternType="solid">
        <fgColor rgb="FFEEEEEE"/>
        <bgColor rgb="FFEEEEEE"/>
      </patternFill>
    </fill>
    <fill>
      <patternFill patternType="solid">
        <fgColor rgb="FFFF0000"/>
        <bgColor rgb="FFFF0000"/>
      </patternFill>
    </fill>
    <fill>
      <patternFill patternType="solid">
        <fgColor rgb="FF3FAF46"/>
        <bgColor rgb="FF3FAF46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0" borderId="0" applyNumberFormat="0" applyFill="0" applyBorder="0" applyAlignment="0" applyProtection="0"/>
    <xf numFmtId="0" fontId="3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73">
    <xf numFmtId="0" fontId="0" fillId="0" borderId="0" xfId="0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70" fontId="16" fillId="0" borderId="0" xfId="0" applyNumberFormat="1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11" fontId="16" fillId="0" borderId="0" xfId="0" applyNumberFormat="1" applyFont="1" applyAlignment="1">
      <alignment horizontal="right"/>
    </xf>
    <xf numFmtId="0" fontId="17" fillId="0" borderId="0" xfId="0" applyFont="1" applyAlignment="1">
      <alignment wrapText="1"/>
    </xf>
    <xf numFmtId="164" fontId="16" fillId="0" borderId="0" xfId="0" applyNumberFormat="1" applyFont="1" applyAlignment="1">
      <alignment horizontal="right"/>
    </xf>
    <xf numFmtId="167" fontId="18" fillId="0" borderId="0" xfId="0" applyNumberFormat="1" applyFont="1"/>
    <xf numFmtId="0" fontId="17" fillId="0" borderId="0" xfId="0" applyFont="1"/>
    <xf numFmtId="11" fontId="0" fillId="0" borderId="0" xfId="0" applyNumberFormat="1"/>
    <xf numFmtId="0" fontId="18" fillId="0" borderId="0" xfId="0" applyFont="1"/>
    <xf numFmtId="49" fontId="0" fillId="0" borderId="0" xfId="0" applyNumberFormat="1" applyAlignment="1">
      <alignment horizontal="right"/>
    </xf>
    <xf numFmtId="169" fontId="19" fillId="0" borderId="0" xfId="0" applyNumberFormat="1" applyFont="1"/>
    <xf numFmtId="165" fontId="0" fillId="0" borderId="0" xfId="0" applyNumberForma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66" fontId="19" fillId="0" borderId="0" xfId="0" applyNumberFormat="1" applyFont="1"/>
    <xf numFmtId="167" fontId="20" fillId="0" borderId="0" xfId="0" applyNumberFormat="1" applyFont="1"/>
    <xf numFmtId="0" fontId="21" fillId="0" borderId="0" xfId="0" applyFont="1"/>
    <xf numFmtId="0" fontId="20" fillId="0" borderId="0" xfId="0" applyFon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8" fontId="0" fillId="0" borderId="0" xfId="0" applyNumberFormat="1"/>
    <xf numFmtId="0" fontId="0" fillId="9" borderId="0" xfId="0" applyFill="1" applyAlignment="1">
      <alignment horizontal="center"/>
    </xf>
    <xf numFmtId="167" fontId="0" fillId="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167" fontId="0" fillId="10" borderId="0" xfId="0" applyNumberFormat="1" applyFill="1" applyAlignment="1">
      <alignment horizontal="center"/>
    </xf>
    <xf numFmtId="0" fontId="0" fillId="10" borderId="0" xfId="0" applyFill="1"/>
    <xf numFmtId="167" fontId="0" fillId="0" borderId="0" xfId="0" applyNumberFormat="1" applyAlignment="1">
      <alignment horizontal="center"/>
    </xf>
    <xf numFmtId="0" fontId="2" fillId="9" borderId="0" xfId="0" applyFont="1" applyFill="1"/>
    <xf numFmtId="167" fontId="0" fillId="11" borderId="0" xfId="0" applyNumberFormat="1" applyFill="1" applyAlignment="1">
      <alignment horizontal="right"/>
    </xf>
    <xf numFmtId="166" fontId="0" fillId="0" borderId="0" xfId="0" applyNumberFormat="1"/>
    <xf numFmtId="166" fontId="0" fillId="11" borderId="0" xfId="0" applyNumberFormat="1" applyFill="1"/>
    <xf numFmtId="167" fontId="0" fillId="11" borderId="0" xfId="0" applyNumberFormat="1" applyFill="1"/>
    <xf numFmtId="1" fontId="0" fillId="0" borderId="0" xfId="0" applyNumberFormat="1"/>
    <xf numFmtId="0" fontId="2" fillId="12" borderId="0" xfId="0" applyFont="1" applyFill="1"/>
    <xf numFmtId="0" fontId="0" fillId="12" borderId="0" xfId="0" applyFill="1" applyAlignment="1">
      <alignment horizontal="center"/>
    </xf>
    <xf numFmtId="167" fontId="0" fillId="12" borderId="0" xfId="0" applyNumberFormat="1" applyFill="1" applyAlignment="1">
      <alignment horizontal="right"/>
    </xf>
    <xf numFmtId="166" fontId="0" fillId="12" borderId="0" xfId="0" applyNumberFormat="1" applyFill="1"/>
    <xf numFmtId="167" fontId="0" fillId="12" borderId="0" xfId="0" applyNumberFormat="1" applyFill="1"/>
    <xf numFmtId="1" fontId="0" fillId="12" borderId="0" xfId="0" applyNumberFormat="1" applyFill="1"/>
    <xf numFmtId="1" fontId="0" fillId="12" borderId="0" xfId="0" applyNumberFormat="1" applyFill="1" applyAlignment="1">
      <alignment horizontal="right"/>
    </xf>
    <xf numFmtId="0" fontId="18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0" fillId="13" borderId="0" xfId="0" applyFill="1"/>
    <xf numFmtId="0" fontId="2" fillId="9" borderId="2" xfId="0" applyFont="1" applyFill="1" applyBorder="1"/>
    <xf numFmtId="0" fontId="0" fillId="0" borderId="2" xfId="0" applyBorder="1"/>
    <xf numFmtId="0" fontId="0" fillId="15" borderId="0" xfId="0" applyFill="1"/>
    <xf numFmtId="0" fontId="0" fillId="16" borderId="0" xfId="0" applyFill="1"/>
    <xf numFmtId="0" fontId="25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14" borderId="0" xfId="0" applyFont="1" applyFill="1" applyAlignment="1">
      <alignment horizontal="center"/>
    </xf>
    <xf numFmtId="0" fontId="24" fillId="17" borderId="0" xfId="0" applyFont="1" applyFill="1" applyAlignment="1">
      <alignment horizontal="center"/>
    </xf>
    <xf numFmtId="0" fontId="24" fillId="18" borderId="0" xfId="0" applyFont="1" applyFill="1" applyAlignment="1">
      <alignment horizontal="center"/>
    </xf>
    <xf numFmtId="0" fontId="26" fillId="0" borderId="0" xfId="0" applyFont="1"/>
    <xf numFmtId="167" fontId="0" fillId="0" borderId="2" xfId="0" applyNumberFormat="1" applyBorder="1"/>
    <xf numFmtId="167" fontId="0" fillId="0" borderId="3" xfId="0" applyNumberFormat="1" applyBorder="1"/>
    <xf numFmtId="168" fontId="28" fillId="0" borderId="0" xfId="0" applyNumberFormat="1" applyFont="1"/>
    <xf numFmtId="0" fontId="28" fillId="0" borderId="0" xfId="0" applyFont="1"/>
    <xf numFmtId="2" fontId="2" fillId="0" borderId="0" xfId="0" applyNumberFormat="1" applyFont="1"/>
    <xf numFmtId="164" fontId="2" fillId="0" borderId="0" xfId="0" applyNumberFormat="1" applyFont="1"/>
    <xf numFmtId="168" fontId="29" fillId="0" borderId="0" xfId="0" applyNumberFormat="1" applyFont="1"/>
  </cellXfs>
  <cellStyles count="20">
    <cellStyle name="Accent" xfId="7" xr:uid="{4F840C8E-3324-4D82-ADEF-0C8199837296}"/>
    <cellStyle name="Accent 1" xfId="8" xr:uid="{D7644576-6B6D-4886-8AF8-FA48518C312F}"/>
    <cellStyle name="Accent 2" xfId="9" xr:uid="{AE066153-73FA-45E8-92B4-5B0412FF3AB8}"/>
    <cellStyle name="Accent 3" xfId="10" xr:uid="{FDFF7125-CFAF-4757-8D74-CAB304D4C03C}"/>
    <cellStyle name="Bad" xfId="4" builtinId="27" customBuiltin="1"/>
    <cellStyle name="Default" xfId="11" xr:uid="{2F613A4B-9158-48E2-8BE4-88FF7EA90E8D}"/>
    <cellStyle name="Error" xfId="12" xr:uid="{534F37D1-468C-4DC0-8481-49E2F962D55A}"/>
    <cellStyle name="Footnote" xfId="13" xr:uid="{1D32E0C7-88AF-4815-8CB4-7CB4D0B7485A}"/>
    <cellStyle name="Good" xfId="3" builtinId="26" customBuiltin="1"/>
    <cellStyle name="Heading" xfId="14" xr:uid="{BDE9DC0E-E890-4F32-B6B8-55E39F4992D6}"/>
    <cellStyle name="Heading 1" xfId="1" builtinId="16" customBuiltin="1"/>
    <cellStyle name="Heading 2" xfId="2" builtinId="17" customBuiltin="1"/>
    <cellStyle name="Hyperlink" xfId="15" xr:uid="{BCB741E5-1562-4576-8283-D21B285A344D}"/>
    <cellStyle name="Neutral" xfId="5" builtinId="28" customBuiltin="1"/>
    <cellStyle name="Normal" xfId="0" builtinId="0" customBuiltin="1"/>
    <cellStyle name="Note" xfId="6" builtinId="10" customBuiltin="1"/>
    <cellStyle name="Result" xfId="16" xr:uid="{E1A05FEF-4F22-4898-9599-FC00C84B98CC}"/>
    <cellStyle name="Status" xfId="17" xr:uid="{9C71822E-7161-4B0F-8E47-68D10498EB94}"/>
    <cellStyle name="Text" xfId="18" xr:uid="{982D4A28-8CE7-45B4-87BD-D3B4F7C4A394}"/>
    <cellStyle name="Warning" xfId="19" xr:uid="{6319EA52-AA9F-4860-AC9A-EF05C93598C4}"/>
  </cellStyles>
  <dxfs count="15">
    <dxf>
      <numFmt numFmtId="168" formatCode="0.0000"/>
    </dxf>
    <dxf>
      <numFmt numFmtId="167" formatCode="0.000"/>
    </dxf>
    <dxf>
      <numFmt numFmtId="167" formatCode="0.000"/>
    </dxf>
    <dxf>
      <numFmt numFmtId="168" formatCode="0.0000"/>
    </dxf>
    <dxf>
      <numFmt numFmtId="0" formatCode="General"/>
    </dxf>
    <dxf>
      <numFmt numFmtId="168" formatCode="0.0000"/>
    </dxf>
    <dxf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Liberation Sans"/>
        <scheme val="none"/>
      </font>
    </dxf>
    <dxf>
      <numFmt numFmtId="0" formatCode="General"/>
    </dxf>
    <dxf>
      <numFmt numFmtId="168" formatCode="0.0000"/>
    </dxf>
    <dxf>
      <numFmt numFmtId="167" formatCode="0.000"/>
    </dxf>
    <dxf>
      <numFmt numFmtId="168" formatCode="0.0000"/>
    </dxf>
    <dxf>
      <numFmt numFmtId="167" formatCode="0.000"/>
    </dxf>
    <dxf>
      <numFmt numFmtId="167" formatCode="0.000"/>
    </dxf>
    <dxf>
      <font>
        <strike val="0"/>
        <outline val="0"/>
        <shadow val="0"/>
        <u val="none"/>
        <vertAlign val="baseline"/>
        <sz val="10"/>
        <color theme="0" tint="-0.499984740745262"/>
        <name val="Liberation San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1B857-E3AE-451F-B389-B90E3102B975}" name="Table1" displayName="Table1" ref="A1:M65" totalsRowCount="1">
  <autoFilter ref="A1:M64" xr:uid="{5C31B857-E3AE-451F-B389-B90E3102B975}"/>
  <tableColumns count="13">
    <tableColumn id="1" xr3:uid="{656AFEA0-681F-47B9-B1B1-9B07A626847A}" name="Messung"/>
    <tableColumn id="2" xr3:uid="{0AA4AD77-BD03-48FA-82D2-AC353580E528}" name="Fallzeit [s]" totalsRowFunction="average" dataDxfId="13" totalsRowDxfId="2"/>
    <tableColumn id="3" xr3:uid="{C45F044D-139E-47FA-BADE-037AE3E4A1A2}" name="Steigzeit [s]" totalsRowFunction="average" dataDxfId="12" totalsRowDxfId="1"/>
    <tableColumn id="4" xr3:uid="{DB62E57A-C179-4712-B158-267249C7F640}" name="V_{fall}"/>
    <tableColumn id="5" xr3:uid="{314C9EF3-3258-4E5E-AF36-82043BAD6C6F}" name="V_{steig}"/>
    <tableColumn id="6" xr3:uid="{CEBDE395-726F-46E5-B0F1-2C830C7BA02E}" name="Radius">
      <calculatedColumnFormula>SQRT((9 * $P$11)/(2 * ($Q$14-$P$15) * $P$7) * Table1[[#This Row],[V_{fall}]] )</calculatedColumnFormula>
    </tableColumn>
    <tableColumn id="7" xr3:uid="{281E4BC9-2018-46E0-A79C-2E4615298BD2}" name="Q_{ges} nicht korrigiert" dataDxfId="14" totalsRowDxfId="7">
      <calculatedColumnFormula>(Table1[[#This Row],[V_{fall}]]+Table1[[#This Row],[V_{steig}]])*SQRT((9*Table1[[#This Row],[V_{fall}]]*$P$11^3)/(2*($Q$14-$P$15)*$P$7))*(6*3.141*$P$9)/$P$29</calculatedColumnFormula>
    </tableColumn>
    <tableColumn id="8" xr3:uid="{5D2B267C-5183-4C32-8FC7-F2F804F39082}" name="Korrekturstherm" totalsRowFunction="average" dataDxfId="11" totalsRowDxfId="0">
      <calculatedColumnFormula>1/(1+($P$18/(Table1[[#This Row],[Radius]]*$P$28)))</calculatedColumnFormula>
    </tableColumn>
    <tableColumn id="9" xr3:uid="{3686F90C-8FE8-4336-B342-6D0A34C82AF9}" name="Q_{ges} korrigiert" dataDxfId="10" totalsRowDxfId="6">
      <calculatedColumnFormula>(Table1[[#This Row],[V_{fall}]]+Table1[[#This Row],[V_{steig}]])*SQRT((9 * Table1[[#This Row],[V_{fall}]] * $P$11^3*Table1[[#This Row],[Korrekturstherm]]^3)/(2*($Q$14-$P$15)*$P$7))* 6 * PI() * $P$9 / $P$29 /$P$22</calculatedColumnFormula>
    </tableColumn>
    <tableColumn id="10" xr3:uid="{5373CD90-0848-42B2-83D4-1B5D5D224901}" name="if Q&gt;q" totalsRowFunction="custom" dataDxfId="9" totalsRowDxfId="5">
      <calculatedColumnFormula>IF(Table1[[#This Row],[Q_{ges} korrigiert]]&lt;$P$20,Table1[[#This Row],[Q_{ges} korrigiert]], "")</calculatedColumnFormula>
      <totalsRowFormula>AVERAGE(Table1[if Q&gt;q])</totalsRowFormula>
    </tableColumn>
    <tableColumn id="11" xr3:uid="{6CC3AECF-F990-4D5A-A638-0851D8E97F37}" name="Abweichung von q" dataDxfId="8">
      <calculatedColumnFormula>Table1[[#This Row],[Q_{ges} korrigiert]]/Table1[[#Totals],[if Q&gt;q]]</calculatedColumnFormula>
    </tableColumn>
    <tableColumn id="12" xr3:uid="{20D28A12-9DCD-4D0A-931A-75C36C252DD2}" name="Anzahl Ladungen n"/>
    <tableColumn id="13" xr3:uid="{6C901526-8BD2-4D24-BEA1-1C03747F5280}" name="Q/n" totalsRowFunction="average" dataDxfId="4" totalsRowDxfId="3">
      <calculatedColumnFormula>Table1[[#This Row],[Q_{ges} korrigiert]]/Table1[[#This Row],[Anzahl Ladungen n]]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C998-7681-41EB-B65B-93B58B05A0B7}">
  <dimension ref="A1:R65"/>
  <sheetViews>
    <sheetView tabSelected="1" topLeftCell="L28" zoomScale="145" zoomScaleNormal="145" workbookViewId="0">
      <selection activeCell="Q53" sqref="Q53"/>
    </sheetView>
  </sheetViews>
  <sheetFormatPr defaultRowHeight="12.75"/>
  <cols>
    <col min="1" max="1" width="11.140625" customWidth="1"/>
    <col min="2" max="2" width="14" customWidth="1"/>
    <col min="3" max="3" width="15.85546875" customWidth="1"/>
    <col min="4" max="4" width="17.5703125" customWidth="1"/>
    <col min="5" max="5" width="16.5703125" customWidth="1"/>
    <col min="6" max="6" width="16" customWidth="1"/>
    <col min="7" max="7" width="1.85546875" customWidth="1"/>
    <col min="8" max="8" width="18" bestFit="1" customWidth="1"/>
    <col min="9" max="9" width="34" customWidth="1"/>
    <col min="10" max="10" width="11.28515625" bestFit="1" customWidth="1"/>
    <col min="11" max="11" width="20.42578125" customWidth="1"/>
    <col min="12" max="12" width="21.28515625" customWidth="1"/>
    <col min="13" max="13" width="13.85546875" customWidth="1"/>
    <col min="14" max="14" width="15" customWidth="1"/>
    <col min="15" max="15" width="40.28515625" bestFit="1" customWidth="1"/>
    <col min="16" max="16" width="17.85546875" bestFit="1" customWidth="1"/>
    <col min="17" max="17" width="13.42578125" bestFit="1" customWidth="1"/>
    <col min="18" max="18" width="39" bestFit="1" customWidth="1"/>
  </cols>
  <sheetData>
    <row r="1" spans="1:18">
      <c r="A1" t="s">
        <v>79</v>
      </c>
      <c r="B1" s="58" t="s">
        <v>78</v>
      </c>
      <c r="C1" s="57" t="s">
        <v>77</v>
      </c>
      <c r="D1" s="58" t="s">
        <v>84</v>
      </c>
      <c r="E1" s="57" t="s">
        <v>83</v>
      </c>
      <c r="F1" t="s">
        <v>100</v>
      </c>
      <c r="G1" t="s">
        <v>102</v>
      </c>
      <c r="H1" t="s">
        <v>104</v>
      </c>
      <c r="I1" t="s">
        <v>103</v>
      </c>
      <c r="J1" s="27" t="s">
        <v>106</v>
      </c>
      <c r="K1" t="s">
        <v>108</v>
      </c>
      <c r="L1" t="s">
        <v>109</v>
      </c>
      <c r="M1" t="s">
        <v>61</v>
      </c>
      <c r="O1" s="62" t="s">
        <v>91</v>
      </c>
      <c r="P1" s="62"/>
      <c r="Q1" s="62"/>
      <c r="R1" s="62"/>
    </row>
    <row r="2" spans="1:18">
      <c r="A2">
        <v>1</v>
      </c>
      <c r="B2" s="3">
        <v>4.62</v>
      </c>
      <c r="C2" s="3">
        <v>3.42</v>
      </c>
      <c r="D2">
        <f>$P$5/Table1[[#This Row],[Fallzeit '[s']]]</f>
        <v>1.0822510822510823E-4</v>
      </c>
      <c r="E2">
        <f>$P$5/Table1[[#This Row],[Steigzeit '[s']]]</f>
        <v>1.4619883040935673E-4</v>
      </c>
      <c r="F2">
        <f>SQRT((9 * $P$11)/(2 * ($Q$14-$P$15) * $P$7) * Table1[[#This Row],[V_{fall}]] )</f>
        <v>1.0164542198426408E-6</v>
      </c>
      <c r="G2" s="65">
        <f>(Table1[[#This Row],[V_{fall}]]+Table1[[#This Row],[V_{steig}]])*SQRT((9*Table1[[#This Row],[V_{fall}]]*$P$11^3)/(2*($Q$14-$P$15)*$P$7))*(6*3.141*$P$9)/$P$29</f>
        <v>1.0585827247514311E-18</v>
      </c>
      <c r="H2" s="27">
        <f>1/(1+($P$18/(Table1[[#This Row],[Radius]]*$P$28)))</f>
        <v>0.92936718548613528</v>
      </c>
      <c r="I2" s="3">
        <f>(Table1[[#This Row],[V_{fall}]]+Table1[[#This Row],[V_{steig}]])*SQRT((9 * Table1[[#This Row],[V_{fall}]] * $P$11^3*Table1[[#This Row],[Korrekturstherm]]^3)/(2*($Q$14-$P$15)*$P$7))* 6 * PI() * $P$9 / $P$29 /$P$22</f>
        <v>9.486100902616883</v>
      </c>
      <c r="J2" s="27" t="str">
        <f>IF(Table1[[#This Row],[Q_{ges} korrigiert]]&lt;$P$20,Table1[[#This Row],[Q_{ges} korrigiert]], "")</f>
        <v/>
      </c>
      <c r="K2">
        <f>Table1[[#This Row],[Q_{ges} korrigiert]]/Table1[[#Totals],[if Q&gt;q]]</f>
        <v>6.009499935922781</v>
      </c>
      <c r="L2">
        <f>INT(Table1[[#This Row],[Abweichung von q]]+0.5)</f>
        <v>6</v>
      </c>
      <c r="M2">
        <f>Table1[[#This Row],[Q_{ges} korrigiert]]/Table1[[#This Row],[Anzahl Ladungen n]]</f>
        <v>1.5810168171028138</v>
      </c>
      <c r="P2" t="s">
        <v>80</v>
      </c>
    </row>
    <row r="3" spans="1:18">
      <c r="A3">
        <v>4</v>
      </c>
      <c r="B3" s="3">
        <v>4.5069999999999997</v>
      </c>
      <c r="C3" s="3">
        <v>3.6869999999999998</v>
      </c>
      <c r="D3">
        <f>$P$5/Table1[[#This Row],[Fallzeit '[s']]]</f>
        <v>1.1093854004881296E-4</v>
      </c>
      <c r="E3">
        <f>$P$5/Table1[[#This Row],[Steigzeit '[s']]]</f>
        <v>1.3561160835367508E-4</v>
      </c>
      <c r="F3">
        <f>SQRT((9 * $P$11)/(2 * ($Q$14-$P$15) * $P$7) * Table1[[#This Row],[V_{fall}]] )</f>
        <v>1.0291176624493814E-6</v>
      </c>
      <c r="G3" s="65">
        <f>(Table1[[#This Row],[V_{fall}]]+Table1[[#This Row],[V_{steig}]])*SQRT((9*Table1[[#This Row],[V_{fall}]]*$P$11^3)/(2*($Q$14-$P$15)*$P$7))*(6*3.141*$P$9)/$P$29</f>
        <v>1.0386023667195896E-18</v>
      </c>
      <c r="H3" s="27">
        <f>1/(1+($P$18/(Table1[[#This Row],[Radius]]*$P$28)))</f>
        <v>0.93017564491503801</v>
      </c>
      <c r="I3" s="3">
        <f>(Table1[[#This Row],[V_{fall}]]+Table1[[#This Row],[V_{steig}]])*SQRT((9 * Table1[[#This Row],[V_{fall}]] * $P$11^3*Table1[[#This Row],[Korrekturstherm]]^3)/(2*($Q$14-$P$15)*$P$7))* 6 * PI() * $P$9 / $P$29 /$P$22</f>
        <v>9.3192012452037094</v>
      </c>
      <c r="J3" s="27" t="str">
        <f>IF(Table1[[#This Row],[Q_{ges} korrigiert]]&lt;$P$20,Table1[[#This Row],[Q_{ges} korrigiert]], "")</f>
        <v/>
      </c>
      <c r="K3">
        <f>Table1[[#This Row],[Q_{ges} korrigiert]]/Table1[[#Totals],[if Q&gt;q]]</f>
        <v>5.903768035026248</v>
      </c>
      <c r="L3">
        <f>INT(Table1[[#This Row],[Abweichung von q]]+0.5)</f>
        <v>6</v>
      </c>
      <c r="M3">
        <f>Table1[[#This Row],[Q_{ges} korrigiert]]/Table1[[#This Row],[Anzahl Ladungen n]]</f>
        <v>1.5532002075339515</v>
      </c>
      <c r="P3">
        <f>5*10^-5</f>
        <v>5.0000000000000002E-5</v>
      </c>
      <c r="Q3" s="59" t="s">
        <v>81</v>
      </c>
      <c r="R3">
        <f>0.13*10^-5</f>
        <v>1.3E-6</v>
      </c>
    </row>
    <row r="4" spans="1:18">
      <c r="A4">
        <v>5</v>
      </c>
      <c r="B4" s="66">
        <v>4.6230000000000002</v>
      </c>
      <c r="C4" s="66">
        <v>3.8650000000000002</v>
      </c>
      <c r="D4">
        <f>$P$5/Table1[[#This Row],[Fallzeit '[s']]]</f>
        <v>1.081548777849881E-4</v>
      </c>
      <c r="E4">
        <f>$P$5/Table1[[#This Row],[Steigzeit '[s']]]</f>
        <v>1.2936610608020699E-4</v>
      </c>
      <c r="F4">
        <f>SQRT((9 * $P$11)/(2 * ($Q$14-$P$15) * $P$7) * Table1[[#This Row],[V_{fall}]] )</f>
        <v>1.016124362874733E-6</v>
      </c>
      <c r="G4" s="65">
        <f>(Table1[[#This Row],[V_{fall}]]+Table1[[#This Row],[V_{steig}]])*SQRT((9*Table1[[#This Row],[V_{fall}]]*$P$11^3)/(2*($Q$14-$P$15)*$P$7))*(6*3.141*$P$9)/$P$29</f>
        <v>9.8793382585021869E-19</v>
      </c>
      <c r="H4" s="27">
        <f>1/(1+($P$18/(Table1[[#This Row],[Radius]]*$P$28)))</f>
        <v>0.92934587650491696</v>
      </c>
      <c r="I4" s="3">
        <f>(Table1[[#This Row],[V_{fall}]]+Table1[[#This Row],[V_{steig}]])*SQRT((9 * Table1[[#This Row],[V_{fall}]] * $P$11^3*Table1[[#This Row],[Korrekturstherm]]^3)/(2*($Q$14-$P$15)*$P$7))* 6 * PI() * $P$9 / $P$29 /$P$22</f>
        <v>8.852702224965606</v>
      </c>
      <c r="J4" s="27" t="str">
        <f>IF(Table1[[#This Row],[Q_{ges} korrigiert]]&lt;$P$20,Table1[[#This Row],[Q_{ges} korrigiert]], "")</f>
        <v/>
      </c>
      <c r="K4">
        <f>Table1[[#This Row],[Q_{ges} korrigiert]]/Table1[[#Totals],[if Q&gt;q]]</f>
        <v>5.608238200270268</v>
      </c>
      <c r="L4">
        <f>INT(Table1[[#This Row],[Abweichung von q]]+0.5)</f>
        <v>6</v>
      </c>
      <c r="M4">
        <f>Table1[[#This Row],[Q_{ges} korrigiert]]/Table1[[#This Row],[Anzahl Ladungen n]]</f>
        <v>1.475450370827601</v>
      </c>
      <c r="O4" t="s">
        <v>85</v>
      </c>
      <c r="P4">
        <v>10</v>
      </c>
    </row>
    <row r="5" spans="1:18">
      <c r="A5">
        <v>6</v>
      </c>
      <c r="B5" s="3">
        <v>8.2769999999999992</v>
      </c>
      <c r="C5" s="3">
        <v>8.0980000000000008</v>
      </c>
      <c r="D5">
        <f>$P$5/Table1[[#This Row],[Fallzeit '[s']]]</f>
        <v>6.0408360517095576E-5</v>
      </c>
      <c r="E5">
        <f>$P$5/Table1[[#This Row],[Steigzeit '[s']]]</f>
        <v>6.1743640405038279E-5</v>
      </c>
      <c r="F5">
        <f>SQRT((9 * $P$11)/(2 * ($Q$14-$P$15) * $P$7) * Table1[[#This Row],[V_{fall}]] )</f>
        <v>7.5940304353366941E-7</v>
      </c>
      <c r="G5" s="65">
        <f>(Table1[[#This Row],[V_{fall}]]+Table1[[#This Row],[V_{steig}]])*SQRT((9*Table1[[#This Row],[V_{fall}]]*$P$11^3)/(2*($Q$14-$P$15)*$P$7))*(6*3.141*$P$9)/$P$29</f>
        <v>3.797099052400333E-19</v>
      </c>
      <c r="H5" s="27">
        <f>1/(1+($P$18/(Table1[[#This Row],[Radius]]*$P$28)))</f>
        <v>0.9076661765238172</v>
      </c>
      <c r="I5" s="3">
        <f>(Table1[[#This Row],[V_{fall}]]+Table1[[#This Row],[V_{steig}]])*SQRT((9 * Table1[[#This Row],[V_{fall}]] * $P$11^3*Table1[[#This Row],[Korrekturstherm]]^3)/(2*($Q$14-$P$15)*$P$7))* 6 * PI() * $P$9 / $P$29 /$P$22</f>
        <v>3.2841508019791945</v>
      </c>
      <c r="J5" s="27" t="str">
        <f>IF(Table1[[#This Row],[Q_{ges} korrigiert]]&lt;$P$20,Table1[[#This Row],[Q_{ges} korrigiert]], "")</f>
        <v/>
      </c>
      <c r="K5">
        <f>Table1[[#This Row],[Q_{ges} korrigiert]]/Table1[[#Totals],[if Q&gt;q]]</f>
        <v>2.0805285793038761</v>
      </c>
      <c r="L5">
        <f>INT(Table1[[#This Row],[Abweichung von q]]+0.5)</f>
        <v>2</v>
      </c>
      <c r="M5">
        <f>Table1[[#This Row],[Q_{ges} korrigiert]]/Table1[[#This Row],[Anzahl Ladungen n]]</f>
        <v>1.6420754009895973</v>
      </c>
      <c r="O5" t="s">
        <v>82</v>
      </c>
      <c r="P5" s="1">
        <f>P3*10</f>
        <v>5.0000000000000001E-4</v>
      </c>
      <c r="R5" s="1">
        <f>R3*10</f>
        <v>1.3000000000000001E-5</v>
      </c>
    </row>
    <row r="6" spans="1:18">
      <c r="A6">
        <v>7</v>
      </c>
      <c r="B6" s="3">
        <v>8.8829999999999991</v>
      </c>
      <c r="C6" s="3">
        <v>8.4990000000000006</v>
      </c>
      <c r="D6">
        <f>$P$5/Table1[[#This Row],[Fallzeit '[s']]]</f>
        <v>5.6287290329843525E-5</v>
      </c>
      <c r="E6">
        <f>$P$5/Table1[[#This Row],[Steigzeit '[s']]]</f>
        <v>5.8830450641251912E-5</v>
      </c>
      <c r="F6">
        <f>SQRT((9 * $P$11)/(2 * ($Q$14-$P$15) * $P$7) * Table1[[#This Row],[V_{fall}]] )</f>
        <v>7.3304220499070668E-7</v>
      </c>
      <c r="G6" s="65">
        <f>(Table1[[#This Row],[V_{fall}]]+Table1[[#This Row],[V_{steig}]])*SQRT((9*Table1[[#This Row],[V_{fall}]]*$P$11^3)/(2*($Q$14-$P$15)*$P$7))*(6*3.141*$P$9)/$P$29</f>
        <v>3.4542220024910985E-19</v>
      </c>
      <c r="H6" s="27">
        <f>1/(1+($P$18/(Table1[[#This Row],[Radius]]*$P$28)))</f>
        <v>0.90466233118364314</v>
      </c>
      <c r="I6" s="3">
        <f>(Table1[[#This Row],[V_{fall}]]+Table1[[#This Row],[V_{steig}]])*SQRT((9 * Table1[[#This Row],[V_{fall}]] * $P$11^3*Table1[[#This Row],[Korrekturstherm]]^3)/(2*($Q$14-$P$15)*$P$7))* 6 * PI() * $P$9 / $P$29 /$P$22</f>
        <v>2.9727743386350727</v>
      </c>
      <c r="J6" s="27" t="str">
        <f>IF(Table1[[#This Row],[Q_{ges} korrigiert]]&lt;$P$20,Table1[[#This Row],[Q_{ges} korrigiert]], "")</f>
        <v/>
      </c>
      <c r="K6">
        <f>Table1[[#This Row],[Q_{ges} korrigiert]]/Table1[[#Totals],[if Q&gt;q]]</f>
        <v>1.8832697839648807</v>
      </c>
      <c r="L6">
        <f>INT(Table1[[#This Row],[Abweichung von q]]+0.5)</f>
        <v>2</v>
      </c>
      <c r="M6">
        <f>Table1[[#This Row],[Q_{ges} korrigiert]]/Table1[[#This Row],[Anzahl Ladungen n]]</f>
        <v>1.4863871693175363</v>
      </c>
      <c r="R6" s="1"/>
    </row>
    <row r="7" spans="1:18">
      <c r="A7">
        <v>8</v>
      </c>
      <c r="B7" s="3">
        <v>8.5060000000000002</v>
      </c>
      <c r="C7" s="3">
        <v>8.2059999999999995</v>
      </c>
      <c r="D7">
        <f>$P$5/Table1[[#This Row],[Fallzeit '[s']]]</f>
        <v>5.8782036209734302E-5</v>
      </c>
      <c r="E7">
        <f>$P$5/Table1[[#This Row],[Steigzeit '[s']]]</f>
        <v>6.0931026078479169E-5</v>
      </c>
      <c r="F7">
        <f>SQRT((9 * $P$11)/(2 * ($Q$14-$P$15) * $P$7) * Table1[[#This Row],[V_{fall}]] )</f>
        <v>7.4911090936159818E-7</v>
      </c>
      <c r="G7" s="65">
        <f>(Table1[[#This Row],[V_{fall}]]+Table1[[#This Row],[V_{steig}]])*SQRT((9*Table1[[#This Row],[V_{fall}]]*$P$11^3)/(2*($Q$14-$P$15)*$P$7))*(6*3.141*$P$9)/$P$29</f>
        <v>3.6708502642175395E-19</v>
      </c>
      <c r="H7" s="27">
        <f>1/(1+($P$18/(Table1[[#This Row],[Radius]]*$P$28)))</f>
        <v>0.9065161821960438</v>
      </c>
      <c r="I7" s="3">
        <f>(Table1[[#This Row],[V_{fall}]]+Table1[[#This Row],[V_{steig}]])*SQRT((9 * Table1[[#This Row],[V_{fall}]] * $P$11^3*Table1[[#This Row],[Korrekturstherm]]^3)/(2*($Q$14-$P$15)*$P$7))* 6 * PI() * $P$9 / $P$29 /$P$22</f>
        <v>3.1689249049643475</v>
      </c>
      <c r="J7" s="27" t="str">
        <f>IF(Table1[[#This Row],[Q_{ges} korrigiert]]&lt;$P$20,Table1[[#This Row],[Q_{ges} korrigiert]], "")</f>
        <v/>
      </c>
      <c r="K7">
        <f>Table1[[#This Row],[Q_{ges} korrigiert]]/Table1[[#Totals],[if Q&gt;q]]</f>
        <v>2.0075323052987843</v>
      </c>
      <c r="L7">
        <f>INT(Table1[[#This Row],[Abweichung von q]]+0.5)</f>
        <v>2</v>
      </c>
      <c r="M7">
        <f>Table1[[#This Row],[Q_{ges} korrigiert]]/Table1[[#This Row],[Anzahl Ladungen n]]</f>
        <v>1.5844624524821738</v>
      </c>
      <c r="O7" t="s">
        <v>86</v>
      </c>
      <c r="P7" s="1">
        <v>9.81</v>
      </c>
    </row>
    <row r="8" spans="1:18">
      <c r="A8">
        <v>9</v>
      </c>
      <c r="B8" s="3">
        <v>8.452</v>
      </c>
      <c r="C8" s="3">
        <v>7.9550000000000001</v>
      </c>
      <c r="D8">
        <f>$P$5/Table1[[#This Row],[Fallzeit '[s']]]</f>
        <v>5.9157595835305252E-5</v>
      </c>
      <c r="E8">
        <f>$P$5/Table1[[#This Row],[Steigzeit '[s']]]</f>
        <v>6.2853551225644248E-5</v>
      </c>
      <c r="F8">
        <f>SQRT((9 * $P$11)/(2 * ($Q$14-$P$15) * $P$7) * Table1[[#This Row],[V_{fall}]] )</f>
        <v>7.5150014164648636E-7</v>
      </c>
      <c r="G8" s="65">
        <f>(Table1[[#This Row],[V_{fall}]]+Table1[[#This Row],[V_{steig}]])*SQRT((9*Table1[[#This Row],[V_{fall}]]*$P$11^3)/(2*($Q$14-$P$15)*$P$7))*(6*3.141*$P$9)/$P$29</f>
        <v>3.753250788824772E-19</v>
      </c>
      <c r="H8" s="27">
        <f>1/(1+($P$18/(Table1[[#This Row],[Radius]]*$P$28)))</f>
        <v>0.90678568941696203</v>
      </c>
      <c r="I8" s="3">
        <f>(Table1[[#This Row],[V_{fall}]]+Table1[[#This Row],[V_{steig}]])*SQRT((9 * Table1[[#This Row],[V_{fall}]] * $P$11^3*Table1[[#This Row],[Korrekturstherm]]^3)/(2*($Q$14-$P$15)*$P$7))* 6 * PI() * $P$9 / $P$29 /$P$22</f>
        <v>3.2415035926072551</v>
      </c>
      <c r="J8" s="27" t="str">
        <f>IF(Table1[[#This Row],[Q_{ges} korrigiert]]&lt;$P$20,Table1[[#This Row],[Q_{ges} korrigiert]], "")</f>
        <v/>
      </c>
      <c r="K8">
        <f>Table1[[#This Row],[Q_{ges} korrigiert]]/Table1[[#Totals],[if Q&gt;q]]</f>
        <v>2.0535113248366317</v>
      </c>
      <c r="L8">
        <f>INT(Table1[[#This Row],[Abweichung von q]]+0.5)</f>
        <v>2</v>
      </c>
      <c r="M8">
        <f>Table1[[#This Row],[Q_{ges} korrigiert]]/Table1[[#This Row],[Anzahl Ladungen n]]</f>
        <v>1.6207517963036275</v>
      </c>
    </row>
    <row r="9" spans="1:18">
      <c r="A9">
        <v>10</v>
      </c>
      <c r="B9" s="66">
        <v>8.8879999999999999</v>
      </c>
      <c r="C9" s="66">
        <v>8.7100000000000009</v>
      </c>
      <c r="D9">
        <f>$P$5/Table1[[#This Row],[Fallzeit '[s']]]</f>
        <v>5.625562556255626E-5</v>
      </c>
      <c r="E9">
        <f>$P$5/Table1[[#This Row],[Steigzeit '[s']]]</f>
        <v>5.7405281285878294E-5</v>
      </c>
      <c r="F9">
        <f>SQRT((9 * $P$11)/(2 * ($Q$14-$P$15) * $P$7) * Table1[[#This Row],[V_{fall}]] )</f>
        <v>7.3283598724532858E-7</v>
      </c>
      <c r="G9" s="65">
        <f>(Table1[[#This Row],[V_{fall}]]+Table1[[#This Row],[V_{steig}]])*SQRT((9*Table1[[#This Row],[V_{fall}]]*$P$11^3)/(2*($Q$14-$P$15)*$P$7))*(6*3.141*$P$9)/$P$29</f>
        <v>3.4095488132863631E-19</v>
      </c>
      <c r="H9" s="27">
        <f>1/(1+($P$18/(Table1[[#This Row],[Radius]]*$P$28)))</f>
        <v>0.9046380618064751</v>
      </c>
      <c r="I9" s="3">
        <f>(Table1[[#This Row],[V_{fall}]]+Table1[[#This Row],[V_{steig}]])*SQRT((9 * Table1[[#This Row],[V_{fall}]] * $P$11^3*Table1[[#This Row],[Korrekturstherm]]^3)/(2*($Q$14-$P$15)*$P$7))* 6 * PI() * $P$9 / $P$29 /$P$22</f>
        <v>2.9342095972524622</v>
      </c>
      <c r="J9" s="27" t="str">
        <f>IF(Table1[[#This Row],[Q_{ges} korrigiert]]&lt;$P$20,Table1[[#This Row],[Q_{ges} korrigiert]], "")</f>
        <v/>
      </c>
      <c r="K9">
        <f>Table1[[#This Row],[Q_{ges} korrigiert]]/Table1[[#Totals],[if Q&gt;q]]</f>
        <v>1.8588387966449227</v>
      </c>
      <c r="L9">
        <f>INT(Table1[[#This Row],[Abweichung von q]]+0.5)</f>
        <v>2</v>
      </c>
      <c r="M9">
        <f>Table1[[#This Row],[Q_{ges} korrigiert]]/Table1[[#This Row],[Anzahl Ladungen n]]</f>
        <v>1.4671047986262311</v>
      </c>
      <c r="O9" t="s">
        <v>92</v>
      </c>
      <c r="P9" s="1">
        <v>6.0000000000000001E-3</v>
      </c>
      <c r="R9" s="1">
        <v>5.0000000000000002E-5</v>
      </c>
    </row>
    <row r="10" spans="1:18">
      <c r="A10">
        <v>11</v>
      </c>
      <c r="B10" s="3">
        <v>5.5309999999999997</v>
      </c>
      <c r="C10" s="3">
        <v>4.9969999999999999</v>
      </c>
      <c r="D10">
        <f>$P$5/Table1[[#This Row],[Fallzeit '[s']]]</f>
        <v>9.0399566082082806E-5</v>
      </c>
      <c r="E10">
        <f>$P$5/Table1[[#This Row],[Steigzeit '[s']]]</f>
        <v>1.0006003602161297E-4</v>
      </c>
      <c r="F10">
        <f>SQRT((9 * $P$11)/(2 * ($Q$14-$P$15) * $P$7) * Table1[[#This Row],[V_{fall}]] )</f>
        <v>9.2898132100293489E-7</v>
      </c>
      <c r="G10" s="65">
        <f>(Table1[[#This Row],[V_{fall}]]+Table1[[#This Row],[V_{steig}]])*SQRT((9*Table1[[#This Row],[V_{fall}]]*$P$11^3)/(2*($Q$14-$P$15)*$P$7))*(6*3.141*$P$9)/$P$29</f>
        <v>7.2425059744117846E-19</v>
      </c>
      <c r="H10" s="27">
        <f>1/(1+($P$18/(Table1[[#This Row],[Radius]]*$P$28)))</f>
        <v>0.92322699921683204</v>
      </c>
      <c r="I10" s="3">
        <f>(Table1[[#This Row],[V_{fall}]]+Table1[[#This Row],[V_{steig}]])*SQRT((9 * Table1[[#This Row],[V_{fall}]] * $P$11^3*Table1[[#This Row],[Korrekturstherm]]^3)/(2*($Q$14-$P$15)*$P$7))* 6 * PI() * $P$9 / $P$29 /$P$22</f>
        <v>6.4258937955790696</v>
      </c>
      <c r="J10" s="27" t="str">
        <f>IF(Table1[[#This Row],[Q_{ges} korrigiert]]&lt;$P$20,Table1[[#This Row],[Q_{ges} korrigiert]], "")</f>
        <v/>
      </c>
      <c r="K10">
        <f>Table1[[#This Row],[Q_{ges} korrigiert]]/Table1[[#Totals],[if Q&gt;q]]</f>
        <v>4.070840986113283</v>
      </c>
      <c r="L10">
        <f>INT(Table1[[#This Row],[Abweichung von q]]+0.5)</f>
        <v>4</v>
      </c>
      <c r="M10">
        <f>Table1[[#This Row],[Q_{ges} korrigiert]]/Table1[[#This Row],[Anzahl Ladungen n]]</f>
        <v>1.6064734488947674</v>
      </c>
    </row>
    <row r="11" spans="1:18">
      <c r="A11">
        <v>12</v>
      </c>
      <c r="B11" s="3">
        <v>5.3780000000000001</v>
      </c>
      <c r="C11" s="3">
        <v>5.1219999999999999</v>
      </c>
      <c r="D11">
        <f>$P$5/Table1[[#This Row],[Fallzeit '[s']]]</f>
        <v>9.2971364819635548E-5</v>
      </c>
      <c r="E11">
        <f>$P$5/Table1[[#This Row],[Steigzeit '[s']]]</f>
        <v>9.7618117922686453E-5</v>
      </c>
      <c r="F11">
        <f>SQRT((9 * $P$11)/(2 * ($Q$14-$P$15) * $P$7) * Table1[[#This Row],[V_{fall}]] )</f>
        <v>9.4210305483671599E-7</v>
      </c>
      <c r="G11" s="65">
        <f>(Table1[[#This Row],[V_{fall}]]+Table1[[#This Row],[V_{steig}]])*SQRT((9*Table1[[#This Row],[V_{fall}]]*$P$11^3)/(2*($Q$14-$P$15)*$P$7))*(6*3.141*$P$9)/$P$29</f>
        <v>7.3498140419170428E-19</v>
      </c>
      <c r="H11" s="27">
        <f>1/(1+($P$18/(Table1[[#This Row],[Radius]]*$P$28)))</f>
        <v>0.92421526660920872</v>
      </c>
      <c r="I11" s="3">
        <f>(Table1[[#This Row],[V_{fall}]]+Table1[[#This Row],[V_{steig}]])*SQRT((9 * Table1[[#This Row],[V_{fall}]] * $P$11^3*Table1[[#This Row],[Korrekturstherm]]^3)/(2*($Q$14-$P$15)*$P$7))* 6 * PI() * $P$9 / $P$29 /$P$22</f>
        <v>6.5315761505709649</v>
      </c>
      <c r="J11" s="27" t="str">
        <f>IF(Table1[[#This Row],[Q_{ges} korrigiert]]&lt;$P$20,Table1[[#This Row],[Q_{ges} korrigiert]], "")</f>
        <v/>
      </c>
      <c r="K11">
        <f>Table1[[#This Row],[Q_{ges} korrigiert]]/Table1[[#Totals],[if Q&gt;q]]</f>
        <v>4.1377913708995928</v>
      </c>
      <c r="L11">
        <f>INT(Table1[[#This Row],[Abweichung von q]]+0.5)</f>
        <v>4</v>
      </c>
      <c r="M11">
        <f>Table1[[#This Row],[Q_{ges} korrigiert]]/Table1[[#This Row],[Anzahl Ladungen n]]</f>
        <v>1.6328940376427412</v>
      </c>
      <c r="O11" t="s">
        <v>93</v>
      </c>
      <c r="P11" s="1">
        <f>1.81 * 10^-5</f>
        <v>1.8100000000000003E-5</v>
      </c>
    </row>
    <row r="12" spans="1:18">
      <c r="A12">
        <v>13</v>
      </c>
      <c r="B12" s="3">
        <v>5.2160000000000002</v>
      </c>
      <c r="C12" s="3">
        <v>4.9930000000000003</v>
      </c>
      <c r="D12">
        <f>$P$5/Table1[[#This Row],[Fallzeit '[s']]]</f>
        <v>9.5858895705521475E-5</v>
      </c>
      <c r="E12">
        <f>$P$5/Table1[[#This Row],[Steigzeit '[s']]]</f>
        <v>1.0014019627478469E-4</v>
      </c>
      <c r="F12">
        <f>SQRT((9 * $P$11)/(2 * ($Q$14-$P$15) * $P$7) * Table1[[#This Row],[V_{fall}]] )</f>
        <v>9.5662124057891742E-7</v>
      </c>
      <c r="G12" s="65">
        <f>(Table1[[#This Row],[V_{fall}]]+Table1[[#This Row],[V_{steig}]])*SQRT((9*Table1[[#This Row],[V_{fall}]]*$P$11^3)/(2*($Q$14-$P$15)*$P$7))*(6*3.141*$P$9)/$P$29</f>
        <v>7.6749063819012018E-19</v>
      </c>
      <c r="H12" s="27">
        <f>1/(1+($P$18/(Table1[[#This Row],[Radius]]*$P$28)))</f>
        <v>0.92527947574969815</v>
      </c>
      <c r="I12" s="3">
        <f>(Table1[[#This Row],[V_{fall}]]+Table1[[#This Row],[V_{steig}]])*SQRT((9 * Table1[[#This Row],[V_{fall}]] * $P$11^3*Table1[[#This Row],[Korrekturstherm]]^3)/(2*($Q$14-$P$15)*$P$7))* 6 * PI() * $P$9 / $P$29 /$P$22</f>
        <v>6.8322604932118605</v>
      </c>
      <c r="J12" s="27" t="str">
        <f>IF(Table1[[#This Row],[Q_{ges} korrigiert]]&lt;$P$20,Table1[[#This Row],[Q_{ges} korrigiert]], "")</f>
        <v/>
      </c>
      <c r="K12">
        <f>Table1[[#This Row],[Q_{ges} korrigiert]]/Table1[[#Totals],[if Q&gt;q]]</f>
        <v>4.3282766457647348</v>
      </c>
      <c r="L12">
        <f>INT(Table1[[#This Row],[Abweichung von q]]+0.5)</f>
        <v>4</v>
      </c>
      <c r="M12">
        <f>Table1[[#This Row],[Q_{ges} korrigiert]]/Table1[[#This Row],[Anzahl Ladungen n]]</f>
        <v>1.7080651233029651</v>
      </c>
    </row>
    <row r="13" spans="1:18">
      <c r="A13">
        <v>14</v>
      </c>
      <c r="B13" s="3">
        <v>5.8220000000000001</v>
      </c>
      <c r="C13" s="3">
        <v>5.0990000000000002</v>
      </c>
      <c r="D13">
        <f>$P$5/Table1[[#This Row],[Fallzeit '[s']]]</f>
        <v>8.5881140501545863E-5</v>
      </c>
      <c r="E13">
        <f>$P$5/Table1[[#This Row],[Steigzeit '[s']]]</f>
        <v>9.8058442831927827E-5</v>
      </c>
      <c r="F13">
        <f>SQRT((9 * $P$11)/(2 * ($Q$14-$P$15) * $P$7) * Table1[[#This Row],[V_{fall}]] )</f>
        <v>9.0546717401941801E-7</v>
      </c>
      <c r="G13" s="65">
        <f>(Table1[[#This Row],[V_{fall}]]+Table1[[#This Row],[V_{steig}]])*SQRT((9*Table1[[#This Row],[V_{fall}]]*$P$11^3)/(2*($Q$14-$P$15)*$P$7))*(6*3.141*$P$9)/$P$29</f>
        <v>6.8175277833388148E-19</v>
      </c>
      <c r="H13" s="27">
        <f>1/(1+($P$18/(Table1[[#This Row],[Radius]]*$P$28)))</f>
        <v>0.92139000186821918</v>
      </c>
      <c r="I13" s="3">
        <f>(Table1[[#This Row],[V_{fall}]]+Table1[[#This Row],[V_{steig}]])*SQRT((9 * Table1[[#This Row],[V_{fall}]] * $P$11^3*Table1[[#This Row],[Korrekturstherm]]^3)/(2*($Q$14-$P$15)*$P$7))* 6 * PI() * $P$9 / $P$29 /$P$22</f>
        <v>6.0307884694520348</v>
      </c>
      <c r="J13" s="27" t="str">
        <f>IF(Table1[[#This Row],[Q_{ges} korrigiert]]&lt;$P$20,Table1[[#This Row],[Q_{ges} korrigiert]], "")</f>
        <v/>
      </c>
      <c r="K13">
        <f>Table1[[#This Row],[Q_{ges} korrigiert]]/Table1[[#Totals],[if Q&gt;q]]</f>
        <v>3.8205394706204259</v>
      </c>
      <c r="L13">
        <f>INT(Table1[[#This Row],[Abweichung von q]]+0.5)</f>
        <v>4</v>
      </c>
      <c r="M13">
        <f>Table1[[#This Row],[Q_{ges} korrigiert]]/Table1[[#This Row],[Anzahl Ladungen n]]</f>
        <v>1.5076971173630087</v>
      </c>
      <c r="P13" s="59" t="s">
        <v>96</v>
      </c>
      <c r="Q13" s="59" t="s">
        <v>97</v>
      </c>
    </row>
    <row r="14" spans="1:18">
      <c r="A14">
        <v>15</v>
      </c>
      <c r="B14" s="66">
        <v>5.3090000000000002</v>
      </c>
      <c r="C14" s="66">
        <v>4.5199999999999996</v>
      </c>
      <c r="D14">
        <f>$P$5/Table1[[#This Row],[Fallzeit '[s']]]</f>
        <v>9.4179694857788666E-5</v>
      </c>
      <c r="E14">
        <f>$P$5/Table1[[#This Row],[Steigzeit '[s']]]</f>
        <v>1.1061946902654868E-4</v>
      </c>
      <c r="F14">
        <f>SQRT((9 * $P$11)/(2 * ($Q$14-$P$15) * $P$7) * Table1[[#This Row],[V_{fall}]] )</f>
        <v>9.4820545243699749E-7</v>
      </c>
      <c r="G14" s="65">
        <f>(Table1[[#This Row],[V_{fall}]]+Table1[[#This Row],[V_{steig}]])*SQRT((9*Table1[[#This Row],[V_{fall}]]*$P$11^3)/(2*($Q$14-$P$15)*$P$7))*(6*3.141*$P$9)/$P$29</f>
        <v>7.9489476211605471E-19</v>
      </c>
      <c r="H14" s="27">
        <f>1/(1+($P$18/(Table1[[#This Row],[Radius]]*$P$28)))</f>
        <v>0.92466625440314476</v>
      </c>
      <c r="I14" s="3">
        <f>(Table1[[#This Row],[V_{fall}]]+Table1[[#This Row],[V_{steig}]])*SQRT((9 * Table1[[#This Row],[V_{fall}]] * $P$11^3*Table1[[#This Row],[Korrekturstherm]]^3)/(2*($Q$14-$P$15)*$P$7))* 6 * PI() * $P$9 / $P$29 /$P$22</f>
        <v>7.0691807168515792</v>
      </c>
      <c r="J14" s="27" t="str">
        <f>IF(Table1[[#This Row],[Q_{ges} korrigiert]]&lt;$P$20,Table1[[#This Row],[Q_{ges} korrigiert]], "")</f>
        <v/>
      </c>
      <c r="K14">
        <f>Table1[[#This Row],[Q_{ges} korrigiert]]/Table1[[#Totals],[if Q&gt;q]]</f>
        <v>4.4783669814461664</v>
      </c>
      <c r="L14">
        <f>INT(Table1[[#This Row],[Abweichung von q]]+0.5)</f>
        <v>4</v>
      </c>
      <c r="M14">
        <f>Table1[[#This Row],[Q_{ges} korrigiert]]/Table1[[#This Row],[Anzahl Ladungen n]]</f>
        <v>1.7672951792128948</v>
      </c>
      <c r="O14" t="s">
        <v>95</v>
      </c>
      <c r="P14">
        <v>877</v>
      </c>
      <c r="Q14" s="1">
        <v>871</v>
      </c>
      <c r="R14" s="1">
        <f>Q14*0.005</f>
        <v>4.3550000000000004</v>
      </c>
    </row>
    <row r="15" spans="1:18">
      <c r="A15">
        <v>16</v>
      </c>
      <c r="B15" s="3">
        <v>4.9189999999999996</v>
      </c>
      <c r="C15" s="3">
        <v>14.757999999999999</v>
      </c>
      <c r="D15">
        <f>$P$5/Table1[[#This Row],[Fallzeit '[s']]]</f>
        <v>1.0164667615368978E-4</v>
      </c>
      <c r="E15">
        <f>$P$5/Table1[[#This Row],[Steigzeit '[s']]]</f>
        <v>3.3879929529746582E-5</v>
      </c>
      <c r="F15">
        <f>SQRT((9 * $P$11)/(2 * ($Q$14-$P$15) * $P$7) * Table1[[#This Row],[V_{fall}]] )</f>
        <v>9.8507750036282107E-7</v>
      </c>
      <c r="G15" s="65">
        <f>(Table1[[#This Row],[V_{fall}]]+Table1[[#This Row],[V_{steig}]])*SQRT((9*Table1[[#This Row],[V_{fall}]]*$P$11^3)/(2*($Q$14-$P$15)*$P$7))*(6*3.141*$P$9)/$P$29</f>
        <v>5.4647961804194114E-19</v>
      </c>
      <c r="H15" s="27">
        <f>1/(1+($P$18/(Table1[[#This Row],[Radius]]*$P$28)))</f>
        <v>0.92728098998870567</v>
      </c>
      <c r="I15" s="3">
        <f>(Table1[[#This Row],[V_{fall}]]+Table1[[#This Row],[V_{steig}]])*SQRT((9 * Table1[[#This Row],[V_{fall}]] * $P$11^3*Table1[[#This Row],[Korrekturstherm]]^3)/(2*($Q$14-$P$15)*$P$7))* 6 * PI() * $P$9 / $P$29 /$P$22</f>
        <v>4.8805969007968288</v>
      </c>
      <c r="J15" s="27" t="str">
        <f>IF(Table1[[#This Row],[Q_{ges} korrigiert]]&lt;$P$20,Table1[[#This Row],[Q_{ges} korrigiert]], "")</f>
        <v/>
      </c>
      <c r="K15">
        <f>Table1[[#This Row],[Q_{ges} korrigiert]]/Table1[[#Totals],[if Q&gt;q]]</f>
        <v>3.0918864414052734</v>
      </c>
      <c r="L15">
        <f>INT(Table1[[#This Row],[Abweichung von q]]+0.5)</f>
        <v>3</v>
      </c>
      <c r="M15">
        <f>Table1[[#This Row],[Q_{ges} korrigiert]]/Table1[[#This Row],[Anzahl Ladungen n]]</f>
        <v>1.6268656335989429</v>
      </c>
      <c r="O15" t="s">
        <v>94</v>
      </c>
      <c r="P15" s="1">
        <v>1.29</v>
      </c>
    </row>
    <row r="16" spans="1:18">
      <c r="A16">
        <v>17</v>
      </c>
      <c r="B16" s="3">
        <v>5.1669999999999998</v>
      </c>
      <c r="C16" s="3">
        <v>14.795</v>
      </c>
      <c r="D16">
        <f>$P$5/Table1[[#This Row],[Fallzeit '[s']]]</f>
        <v>9.676795045480937E-5</v>
      </c>
      <c r="E16">
        <f>$P$5/Table1[[#This Row],[Steigzeit '[s']]]</f>
        <v>3.3795201081446433E-5</v>
      </c>
      <c r="F16">
        <f>SQRT((9 * $P$11)/(2 * ($Q$14-$P$15) * $P$7) * Table1[[#This Row],[V_{fall}]] )</f>
        <v>9.611464809513451E-7</v>
      </c>
      <c r="G16" s="65">
        <f>(Table1[[#This Row],[V_{fall}]]+Table1[[#This Row],[V_{steig}]])*SQRT((9*Table1[[#This Row],[V_{fall}]]*$P$11^3)/(2*($Q$14-$P$15)*$P$7))*(6*3.141*$P$9)/$P$29</f>
        <v>5.1367592593072072E-19</v>
      </c>
      <c r="H16" s="27">
        <f>1/(1+($P$18/(Table1[[#This Row],[Radius]]*$P$28)))</f>
        <v>0.92560510073602265</v>
      </c>
      <c r="I16" s="3">
        <f>(Table1[[#This Row],[V_{fall}]]+Table1[[#This Row],[V_{steig}]])*SQRT((9 * Table1[[#This Row],[V_{fall}]] * $P$11^3*Table1[[#This Row],[Korrekturstherm]]^3)/(2*($Q$14-$P$15)*$P$7))* 6 * PI() * $P$9 / $P$29 /$P$22</f>
        <v>4.5751965659610079</v>
      </c>
      <c r="J16" s="27" t="str">
        <f>IF(Table1[[#This Row],[Q_{ges} korrigiert]]&lt;$P$20,Table1[[#This Row],[Q_{ges} korrigiert]], "")</f>
        <v/>
      </c>
      <c r="K16">
        <f>Table1[[#This Row],[Q_{ges} korrigiert]]/Table1[[#Totals],[if Q&gt;q]]</f>
        <v>2.8984135581345121</v>
      </c>
      <c r="L16">
        <f>INT(Table1[[#This Row],[Abweichung von q]]+0.5)</f>
        <v>3</v>
      </c>
      <c r="M16">
        <f>Table1[[#This Row],[Q_{ges} korrigiert]]/Table1[[#This Row],[Anzahl Ladungen n]]</f>
        <v>1.5250655219870026</v>
      </c>
      <c r="O16" s="24" t="s">
        <v>116</v>
      </c>
      <c r="P16">
        <f>Q14-P15</f>
        <v>869.71</v>
      </c>
    </row>
    <row r="17" spans="1:18">
      <c r="A17">
        <v>18</v>
      </c>
      <c r="B17" s="3">
        <v>5.2560000000000002</v>
      </c>
      <c r="C17" s="3">
        <v>15.53</v>
      </c>
      <c r="D17">
        <f>$P$5/Table1[[#This Row],[Fallzeit '[s']]]</f>
        <v>9.5129375951293754E-5</v>
      </c>
      <c r="E17">
        <f>$P$5/Table1[[#This Row],[Steigzeit '[s']]]</f>
        <v>3.2195750160978751E-5</v>
      </c>
      <c r="F17">
        <f>SQRT((9 * $P$11)/(2 * ($Q$14-$P$15) * $P$7) * Table1[[#This Row],[V_{fall}]] )</f>
        <v>9.529741772038794E-7</v>
      </c>
      <c r="G17" s="65">
        <f>(Table1[[#This Row],[V_{fall}]]+Table1[[#This Row],[V_{steig}]])*SQRT((9*Table1[[#This Row],[V_{fall}]]*$P$11^3)/(2*($Q$14-$P$15)*$P$7))*(6*3.141*$P$9)/$P$29</f>
        <v>4.9667723575537672E-19</v>
      </c>
      <c r="H17" s="27">
        <f>1/(1+($P$18/(Table1[[#This Row],[Radius]]*$P$28)))</f>
        <v>0.92501496042104947</v>
      </c>
      <c r="I17" s="3">
        <f>(Table1[[#This Row],[V_{fall}]]+Table1[[#This Row],[V_{steig}]])*SQRT((9 * Table1[[#This Row],[V_{fall}]] * $P$11^3*Table1[[#This Row],[Korrekturstherm]]^3)/(2*($Q$14-$P$15)*$P$7))* 6 * PI() * $P$9 / $P$29 /$P$22</f>
        <v>4.4195629766300835</v>
      </c>
      <c r="J17" s="27" t="str">
        <f>IF(Table1[[#This Row],[Q_{ges} korrigiert]]&lt;$P$20,Table1[[#This Row],[Q_{ges} korrigiert]], "")</f>
        <v/>
      </c>
      <c r="K17">
        <f>Table1[[#This Row],[Q_{ges} korrigiert]]/Table1[[#Totals],[if Q&gt;q]]</f>
        <v>2.7998187767050196</v>
      </c>
      <c r="L17">
        <f>INT(Table1[[#This Row],[Abweichung von q]]+0.5)</f>
        <v>3</v>
      </c>
      <c r="M17">
        <f>Table1[[#This Row],[Q_{ges} korrigiert]]/Table1[[#This Row],[Anzahl Ladungen n]]</f>
        <v>1.4731876588766946</v>
      </c>
    </row>
    <row r="18" spans="1:18">
      <c r="A18">
        <v>19</v>
      </c>
      <c r="B18" s="3">
        <v>5.08</v>
      </c>
      <c r="C18" s="3">
        <v>15.749000000000001</v>
      </c>
      <c r="D18">
        <f>$P$5/Table1[[#This Row],[Fallzeit '[s']]]</f>
        <v>9.8425196850393699E-5</v>
      </c>
      <c r="E18">
        <f>$P$5/Table1[[#This Row],[Steigzeit '[s']]]</f>
        <v>3.1748047495079052E-5</v>
      </c>
      <c r="F18">
        <f>SQRT((9 * $P$11)/(2 * ($Q$14-$P$15) * $P$7) * Table1[[#This Row],[V_{fall}]] )</f>
        <v>9.6934183129726663E-7</v>
      </c>
      <c r="G18" s="65">
        <f>(Table1[[#This Row],[V_{fall}]]+Table1[[#This Row],[V_{steig}]])*SQRT((9*Table1[[#This Row],[V_{fall}]]*$P$11^3)/(2*($Q$14-$P$15)*$P$7))*(6*3.141*$P$9)/$P$29</f>
        <v>5.1650875999626134E-19</v>
      </c>
      <c r="H18" s="27">
        <f>1/(1+($P$18/(Table1[[#This Row],[Radius]]*$P$28)))</f>
        <v>0.92618765007671211</v>
      </c>
      <c r="I18" s="3">
        <f>(Table1[[#This Row],[V_{fall}]]+Table1[[#This Row],[V_{steig}]])*SQRT((9 * Table1[[#This Row],[V_{fall}]] * $P$11^3*Table1[[#This Row],[Korrekturstherm]]^3)/(2*($Q$14-$P$15)*$P$7))* 6 * PI() * $P$9 / $P$29 /$P$22</f>
        <v>4.6047717349967572</v>
      </c>
      <c r="J18" s="27" t="str">
        <f>IF(Table1[[#This Row],[Q_{ges} korrigiert]]&lt;$P$20,Table1[[#This Row],[Q_{ges} korrigiert]], "")</f>
        <v/>
      </c>
      <c r="K18">
        <f>Table1[[#This Row],[Q_{ges} korrigiert]]/Table1[[#Totals],[if Q&gt;q]]</f>
        <v>2.9171495992382082</v>
      </c>
      <c r="L18">
        <f>INT(Table1[[#This Row],[Abweichung von q]]+0.5)</f>
        <v>3</v>
      </c>
      <c r="M18">
        <f>Table1[[#This Row],[Q_{ges} korrigiert]]/Table1[[#This Row],[Anzahl Ladungen n]]</f>
        <v>1.5349239116655857</v>
      </c>
      <c r="O18" t="s">
        <v>98</v>
      </c>
      <c r="P18" s="1">
        <v>7.7799999999999996E-3</v>
      </c>
      <c r="R18">
        <f>R14</f>
        <v>4.3550000000000004</v>
      </c>
    </row>
    <row r="19" spans="1:18">
      <c r="A19">
        <v>20</v>
      </c>
      <c r="B19" s="66">
        <v>4.8769999999999998</v>
      </c>
      <c r="C19" s="66">
        <v>14.061</v>
      </c>
      <c r="D19">
        <f>$P$5/Table1[[#This Row],[Fallzeit '[s']]]</f>
        <v>1.0252204223908141E-4</v>
      </c>
      <c r="E19">
        <f>$P$5/Table1[[#This Row],[Steigzeit '[s']]]</f>
        <v>3.5559348552734516E-5</v>
      </c>
      <c r="F19">
        <f>SQRT((9 * $P$11)/(2 * ($Q$14-$P$15) * $P$7) * Table1[[#This Row],[V_{fall}]] )</f>
        <v>9.8931007791370357E-7</v>
      </c>
      <c r="G19" s="65">
        <f>(Table1[[#This Row],[V_{fall}]]+Table1[[#This Row],[V_{steig}]])*SQRT((9*Table1[[#This Row],[V_{fall}]]*$P$11^3)/(2*($Q$14-$P$15)*$P$7))*(6*3.141*$P$9)/$P$29</f>
        <v>5.5917351568401813E-19</v>
      </c>
      <c r="H19" s="27">
        <f>1/(1+($P$18/(Table1[[#This Row],[Radius]]*$P$28)))</f>
        <v>0.92756957046221788</v>
      </c>
      <c r="I19" s="3">
        <f>(Table1[[#This Row],[V_{fall}]]+Table1[[#This Row],[V_{steig}]])*SQRT((9 * Table1[[#This Row],[V_{fall}]] * $P$11^3*Table1[[#This Row],[Korrekturstherm]]^3)/(2*($Q$14-$P$15)*$P$7))* 6 * PI() * $P$9 / $P$29 /$P$22</f>
        <v>4.9962972591823247</v>
      </c>
      <c r="J19" s="27" t="str">
        <f>IF(Table1[[#This Row],[Q_{ges} korrigiert]]&lt;$P$20,Table1[[#This Row],[Q_{ges} korrigiert]], "")</f>
        <v/>
      </c>
      <c r="K19">
        <f>Table1[[#This Row],[Q_{ges} korrigiert]]/Table1[[#Totals],[if Q&gt;q]]</f>
        <v>3.1651832894402832</v>
      </c>
      <c r="L19">
        <f>INT(Table1[[#This Row],[Abweichung von q]]+0.5)</f>
        <v>3</v>
      </c>
      <c r="M19">
        <f>Table1[[#This Row],[Q_{ges} korrigiert]]/Table1[[#This Row],[Anzahl Ladungen n]]</f>
        <v>1.6654324197274415</v>
      </c>
    </row>
    <row r="20" spans="1:18">
      <c r="A20">
        <v>21</v>
      </c>
      <c r="B20" s="3">
        <v>7.5060000000000002</v>
      </c>
      <c r="C20" s="3">
        <v>8.8710000000000004</v>
      </c>
      <c r="D20">
        <f>$P$5/Table1[[#This Row],[Fallzeit '[s']]]</f>
        <v>6.661337596589395E-5</v>
      </c>
      <c r="E20">
        <f>$P$5/Table1[[#This Row],[Steigzeit '[s']]]</f>
        <v>5.6363431405703975E-5</v>
      </c>
      <c r="F20">
        <f>SQRT((9 * $P$11)/(2 * ($Q$14-$P$15) * $P$7) * Table1[[#This Row],[V_{fall}]] )</f>
        <v>7.974519620721184E-7</v>
      </c>
      <c r="G20" s="65">
        <f>(Table1[[#This Row],[V_{fall}]]+Table1[[#This Row],[V_{steig}]])*SQRT((9*Table1[[#This Row],[V_{fall}]]*$P$11^3)/(2*($Q$14-$P$15)*$P$7))*(6*3.141*$P$9)/$P$29</f>
        <v>4.0142715978530289E-19</v>
      </c>
      <c r="H20" s="27">
        <f>1/(1+($P$18/(Table1[[#This Row],[Radius]]*$P$28)))</f>
        <v>0.91168262578107373</v>
      </c>
      <c r="I20" s="3">
        <f>(Table1[[#This Row],[V_{fall}]]+Table1[[#This Row],[V_{steig}]])*SQRT((9 * Table1[[#This Row],[V_{fall}]] * $P$11^3*Table1[[#This Row],[Korrekturstherm]]^3)/(2*($Q$14-$P$15)*$P$7))* 6 * PI() * $P$9 / $P$29 /$P$22</f>
        <v>3.4950565462577483</v>
      </c>
      <c r="J20" s="27" t="str">
        <f>IF(Table1[[#This Row],[Q_{ges} korrigiert]]&lt;$P$20,Table1[[#This Row],[Q_{ges} korrigiert]], "")</f>
        <v/>
      </c>
      <c r="K20">
        <f>Table1[[#This Row],[Q_{ges} korrigiert]]/Table1[[#Totals],[if Q&gt;q]]</f>
        <v>2.2141385914404825</v>
      </c>
      <c r="L20">
        <f>INT(Table1[[#This Row],[Abweichung von q]]+0.5)</f>
        <v>2</v>
      </c>
      <c r="M20">
        <f>Table1[[#This Row],[Q_{ges} korrigiert]]/Table1[[#This Row],[Anzahl Ladungen n]]</f>
        <v>1.7475282731288742</v>
      </c>
      <c r="O20" t="s">
        <v>101</v>
      </c>
      <c r="P20">
        <v>2.4</v>
      </c>
    </row>
    <row r="21" spans="1:18">
      <c r="A21">
        <v>22</v>
      </c>
      <c r="B21" s="3">
        <v>7.71</v>
      </c>
      <c r="C21" s="3">
        <v>9.2439999999999998</v>
      </c>
      <c r="D21">
        <f>$P$5/Table1[[#This Row],[Fallzeit '[s']]]</f>
        <v>6.4850843060959792E-5</v>
      </c>
      <c r="E21">
        <f>$P$5/Table1[[#This Row],[Steigzeit '[s']]]</f>
        <v>5.4089138900908702E-5</v>
      </c>
      <c r="F21">
        <f>SQRT((9 * $P$11)/(2 * ($Q$14-$P$15) * $P$7) * Table1[[#This Row],[V_{fall}]] )</f>
        <v>7.8683128949633698E-7</v>
      </c>
      <c r="G21" s="65">
        <f>(Table1[[#This Row],[V_{fall}]]+Table1[[#This Row],[V_{steig}]])*SQRT((9*Table1[[#This Row],[V_{fall}]]*$P$11^3)/(2*($Q$14-$P$15)*$P$7))*(6*3.141*$P$9)/$P$29</f>
        <v>3.830791348588491E-19</v>
      </c>
      <c r="H21" s="27">
        <f>1/(1+($P$18/(Table1[[#This Row],[Radius]]*$P$28)))</f>
        <v>0.91059709334104999</v>
      </c>
      <c r="I21" s="3">
        <f>(Table1[[#This Row],[V_{fall}]]+Table1[[#This Row],[V_{steig}]])*SQRT((9 * Table1[[#This Row],[V_{fall}]] * $P$11^3*Table1[[#This Row],[Korrekturstherm]]^3)/(2*($Q$14-$P$15)*$P$7))* 6 * PI() * $P$9 / $P$29 /$P$22</f>
        <v>3.3293528421346985</v>
      </c>
      <c r="J21" s="27" t="str">
        <f>IF(Table1[[#This Row],[Q_{ges} korrigiert]]&lt;$P$20,Table1[[#This Row],[Q_{ges} korrigiert]], "")</f>
        <v/>
      </c>
      <c r="K21">
        <f>Table1[[#This Row],[Q_{ges} korrigiert]]/Table1[[#Totals],[if Q&gt;q]]</f>
        <v>2.1091643338891073</v>
      </c>
      <c r="L21">
        <f>INT(Table1[[#This Row],[Abweichung von q]]+0.5)</f>
        <v>2</v>
      </c>
      <c r="M21">
        <f>Table1[[#This Row],[Q_{ges} korrigiert]]/Table1[[#This Row],[Anzahl Ladungen n]]</f>
        <v>1.6646764210673493</v>
      </c>
    </row>
    <row r="22" spans="1:18">
      <c r="A22">
        <v>23</v>
      </c>
      <c r="B22" s="3">
        <v>7.931</v>
      </c>
      <c r="C22" s="3">
        <v>10.101000000000001</v>
      </c>
      <c r="D22">
        <f>$P$5/Table1[[#This Row],[Fallzeit '[s']]]</f>
        <v>6.3043752364140714E-5</v>
      </c>
      <c r="E22">
        <f>$P$5/Table1[[#This Row],[Steigzeit '[s']]]</f>
        <v>4.9500049500049496E-5</v>
      </c>
      <c r="F22">
        <f>SQRT((9 * $P$11)/(2 * ($Q$14-$P$15) * $P$7) * Table1[[#This Row],[V_{fall}]] )</f>
        <v>7.7579117687558602E-7</v>
      </c>
      <c r="G22" s="65">
        <f>(Table1[[#This Row],[V_{fall}]]+Table1[[#This Row],[V_{steig}]])*SQRT((9*Table1[[#This Row],[V_{fall}]]*$P$11^3)/(2*($Q$14-$P$15)*$P$7))*(6*3.141*$P$9)/$P$29</f>
        <v>3.5739249286699164E-19</v>
      </c>
      <c r="H22" s="27">
        <f>1/(1+($P$18/(Table1[[#This Row],[Radius]]*$P$28)))</f>
        <v>0.90944003734794809</v>
      </c>
      <c r="I22" s="3">
        <f>(Table1[[#This Row],[V_{fall}]]+Table1[[#This Row],[V_{steig}]])*SQRT((9 * Table1[[#This Row],[V_{fall}]] * $P$11^3*Table1[[#This Row],[Korrekturstherm]]^3)/(2*($Q$14-$P$15)*$P$7))* 6 * PI() * $P$9 / $P$29 /$P$22</f>
        <v>3.1001911109698974</v>
      </c>
      <c r="J22" s="27" t="str">
        <f>IF(Table1[[#This Row],[Q_{ges} korrigiert]]&lt;$P$20,Table1[[#This Row],[Q_{ges} korrigiert]], "")</f>
        <v/>
      </c>
      <c r="K22">
        <f>Table1[[#This Row],[Q_{ges} korrigiert]]/Table1[[#Totals],[if Q&gt;q]]</f>
        <v>1.963989048185482</v>
      </c>
      <c r="L22">
        <f>INT(Table1[[#This Row],[Abweichung von q]]+0.5)</f>
        <v>2</v>
      </c>
      <c r="M22">
        <f>Table1[[#This Row],[Q_{ges} korrigiert]]/Table1[[#This Row],[Anzahl Ladungen n]]</f>
        <v>1.5500955554849487</v>
      </c>
      <c r="O22" t="s">
        <v>105</v>
      </c>
      <c r="P22">
        <f>1* 10^-19</f>
        <v>9.9999999999999998E-20</v>
      </c>
    </row>
    <row r="23" spans="1:18">
      <c r="A23">
        <v>24</v>
      </c>
      <c r="B23" s="3">
        <v>7.6849999999999996</v>
      </c>
      <c r="C23" s="3">
        <v>8.9290000000000003</v>
      </c>
      <c r="D23">
        <f>$P$5/Table1[[#This Row],[Fallzeit '[s']]]</f>
        <v>6.506180871828237E-5</v>
      </c>
      <c r="E23">
        <f>$P$5/Table1[[#This Row],[Steigzeit '[s']]]</f>
        <v>5.5997312129017808E-5</v>
      </c>
      <c r="F23">
        <f>SQRT((9 * $P$11)/(2 * ($Q$14-$P$15) * $P$7) * Table1[[#This Row],[V_{fall}]] )</f>
        <v>7.8811006701730172E-7</v>
      </c>
      <c r="G23" s="65">
        <f>(Table1[[#This Row],[V_{fall}]]+Table1[[#This Row],[V_{steig}]])*SQRT((9*Table1[[#This Row],[V_{fall}]]*$P$11^3)/(2*($Q$14-$P$15)*$P$7))*(6*3.141*$P$9)/$P$29</f>
        <v>3.9053809043621918E-19</v>
      </c>
      <c r="H23" s="27">
        <f>1/(1+($P$18/(Table1[[#This Row],[Radius]]*$P$28)))</f>
        <v>0.91072920739582142</v>
      </c>
      <c r="I23" s="3">
        <f>(Table1[[#This Row],[V_{fall}]]+Table1[[#This Row],[V_{steig}]])*SQRT((9 * Table1[[#This Row],[V_{fall}]] * $P$11^3*Table1[[#This Row],[Korrekturstherm]]^3)/(2*($Q$14-$P$15)*$P$7))* 6 * PI() * $P$9 / $P$29 /$P$22</f>
        <v>3.3949175541626517</v>
      </c>
      <c r="J23" s="27" t="str">
        <f>IF(Table1[[#This Row],[Q_{ges} korrigiert]]&lt;$P$20,Table1[[#This Row],[Q_{ges} korrigiert]], "")</f>
        <v/>
      </c>
      <c r="K23">
        <f>Table1[[#This Row],[Q_{ges} korrigiert]]/Table1[[#Totals],[if Q&gt;q]]</f>
        <v>2.1506999591977194</v>
      </c>
      <c r="L23">
        <f>INT(Table1[[#This Row],[Abweichung von q]]+0.5)</f>
        <v>2</v>
      </c>
      <c r="M23">
        <f>Table1[[#This Row],[Q_{ges} korrigiert]]/Table1[[#This Row],[Anzahl Ladungen n]]</f>
        <v>1.6974587770813259</v>
      </c>
    </row>
    <row r="24" spans="1:18">
      <c r="A24">
        <v>25</v>
      </c>
      <c r="B24" s="66">
        <v>7.9480000000000004</v>
      </c>
      <c r="C24" s="66">
        <v>9.5779999999999994</v>
      </c>
      <c r="D24">
        <f>$P$5/Table1[[#This Row],[Fallzeit '[s']]]</f>
        <v>6.2908907901358831E-5</v>
      </c>
      <c r="E24">
        <f>$P$5/Table1[[#This Row],[Steigzeit '[s']]]</f>
        <v>5.2202965128419301E-5</v>
      </c>
      <c r="F24">
        <f>SQRT((9 * $P$11)/(2 * ($Q$14-$P$15) * $P$7) * Table1[[#This Row],[V_{fall}]] )</f>
        <v>7.7496106176723427E-7</v>
      </c>
      <c r="G24" s="65">
        <f>(Table1[[#This Row],[V_{fall}]]+Table1[[#This Row],[V_{steig}]])*SQRT((9*Table1[[#This Row],[V_{fall}]]*$P$11^3)/(2*($Q$14-$P$15)*$P$7))*(6*3.141*$P$9)/$P$29</f>
        <v>3.6515647835522268E-19</v>
      </c>
      <c r="H24" s="27">
        <f>1/(1+($P$18/(Table1[[#This Row],[Radius]]*$P$28)))</f>
        <v>0.90935182556215077</v>
      </c>
      <c r="I24" s="3">
        <f>(Table1[[#This Row],[V_{fall}]]+Table1[[#This Row],[V_{steig}]])*SQRT((9 * Table1[[#This Row],[V_{fall}]] * $P$11^3*Table1[[#This Row],[Korrekturstherm]]^3)/(2*($Q$14-$P$15)*$P$7))* 6 * PI() * $P$9 / $P$29 /$P$22</f>
        <v>3.1670787388916524</v>
      </c>
      <c r="J24" s="27" t="str">
        <f>IF(Table1[[#This Row],[Q_{ges} korrigiert]]&lt;$P$20,Table1[[#This Row],[Q_{ges} korrigiert]], "")</f>
        <v/>
      </c>
      <c r="K24">
        <f>Table1[[#This Row],[Q_{ges} korrigiert]]/Table1[[#Totals],[if Q&gt;q]]</f>
        <v>2.0063627483849946</v>
      </c>
      <c r="L24">
        <f>INT(Table1[[#This Row],[Abweichung von q]]+0.5)</f>
        <v>2</v>
      </c>
      <c r="M24">
        <f>Table1[[#This Row],[Q_{ges} korrigiert]]/Table1[[#This Row],[Anzahl Ladungen n]]</f>
        <v>1.5835393694458262</v>
      </c>
    </row>
    <row r="25" spans="1:18">
      <c r="A25">
        <v>26</v>
      </c>
      <c r="B25" s="3">
        <v>6.6509999999999998</v>
      </c>
      <c r="C25" s="3">
        <v>4.0060000000000002</v>
      </c>
      <c r="D25">
        <f>$P$5/Table1[[#This Row],[Fallzeit '[s']]]</f>
        <v>7.5176665163133368E-5</v>
      </c>
      <c r="E25">
        <f>$P$5/Table1[[#This Row],[Steigzeit '[s']]]</f>
        <v>1.2481278082875685E-4</v>
      </c>
      <c r="F25">
        <f>SQRT((9 * $P$11)/(2 * ($Q$14-$P$15) * $P$7) * Table1[[#This Row],[V_{fall}]] )</f>
        <v>8.4715979590595263E-7</v>
      </c>
      <c r="G25" s="65">
        <f>(Table1[[#This Row],[V_{fall}]]+Table1[[#This Row],[V_{steig}]])*SQRT((9*Table1[[#This Row],[V_{fall}]]*$P$11^3)/(2*($Q$14-$P$15)*$P$7))*(6*3.141*$P$9)/$P$29</f>
        <v>6.9350791506058104E-19</v>
      </c>
      <c r="H25" s="27">
        <f>1/(1+($P$18/(Table1[[#This Row],[Radius]]*$P$28)))</f>
        <v>0.91643166477928728</v>
      </c>
      <c r="I25" s="3">
        <f>(Table1[[#This Row],[V_{fall}]]+Table1[[#This Row],[V_{steig}]])*SQRT((9 * Table1[[#This Row],[V_{fall}]] * $P$11^3*Table1[[#This Row],[Korrekturstherm]]^3)/(2*($Q$14-$P$15)*$P$7))* 6 * PI() * $P$9 / $P$29 /$P$22</f>
        <v>6.0853209461860187</v>
      </c>
      <c r="J25" s="27" t="str">
        <f>IF(Table1[[#This Row],[Q_{ges} korrigiert]]&lt;$P$20,Table1[[#This Row],[Q_{ges} korrigiert]], "")</f>
        <v/>
      </c>
      <c r="K25">
        <f>Table1[[#This Row],[Q_{ges} korrigiert]]/Table1[[#Totals],[if Q&gt;q]]</f>
        <v>3.8550861108894727</v>
      </c>
      <c r="L25">
        <f>INT(Table1[[#This Row],[Abweichung von q]]+0.5)</f>
        <v>4</v>
      </c>
      <c r="M25">
        <f>Table1[[#This Row],[Q_{ges} korrigiert]]/Table1[[#This Row],[Anzahl Ladungen n]]</f>
        <v>1.5213302365465047</v>
      </c>
    </row>
    <row r="26" spans="1:18">
      <c r="A26">
        <v>27</v>
      </c>
      <c r="B26" s="3">
        <v>6.2519999999999998</v>
      </c>
      <c r="C26" s="3">
        <v>4.22</v>
      </c>
      <c r="D26">
        <f>$P$5/Table1[[#This Row],[Fallzeit '[s']]]</f>
        <v>7.9974408189379409E-5</v>
      </c>
      <c r="E26">
        <f>$P$5/Table1[[#This Row],[Steigzeit '[s']]]</f>
        <v>1.1848341232227489E-4</v>
      </c>
      <c r="F26">
        <f>SQRT((9 * $P$11)/(2 * ($Q$14-$P$15) * $P$7) * Table1[[#This Row],[V_{fall}]] )</f>
        <v>8.7377441966795807E-7</v>
      </c>
      <c r="G26" s="65">
        <f>(Table1[[#This Row],[V_{fall}]]+Table1[[#This Row],[V_{steig}]])*SQRT((9*Table1[[#This Row],[V_{fall}]]*$P$11^3)/(2*($Q$14-$P$15)*$P$7))*(6*3.141*$P$9)/$P$29</f>
        <v>7.0981725357781655E-19</v>
      </c>
      <c r="H26" s="27">
        <f>1/(1+($P$18/(Table1[[#This Row],[Radius]]*$P$28)))</f>
        <v>0.91877033896365623</v>
      </c>
      <c r="I26" s="3">
        <f>(Table1[[#This Row],[V_{fall}]]+Table1[[#This Row],[V_{steig}]])*SQRT((9 * Table1[[#This Row],[V_{fall}]] * $P$11^3*Table1[[#This Row],[Korrekturstherm]]^3)/(2*($Q$14-$P$15)*$P$7))* 6 * PI() * $P$9 / $P$29 /$P$22</f>
        <v>6.2522874594680697</v>
      </c>
      <c r="J26" s="27" t="str">
        <f>IF(Table1[[#This Row],[Q_{ges} korrigiert]]&lt;$P$20,Table1[[#This Row],[Q_{ges} korrigiert]], "")</f>
        <v/>
      </c>
      <c r="K26">
        <f>Table1[[#This Row],[Q_{ges} korrigiert]]/Table1[[#Totals],[if Q&gt;q]]</f>
        <v>3.9608603653666665</v>
      </c>
      <c r="L26">
        <f>INT(Table1[[#This Row],[Abweichung von q]]+0.5)</f>
        <v>4</v>
      </c>
      <c r="M26">
        <f>Table1[[#This Row],[Q_{ges} korrigiert]]/Table1[[#This Row],[Anzahl Ladungen n]]</f>
        <v>1.5630718648670174</v>
      </c>
    </row>
    <row r="27" spans="1:18">
      <c r="A27">
        <v>28</v>
      </c>
      <c r="B27" s="3">
        <v>6.2869999999999999</v>
      </c>
      <c r="C27" s="3">
        <v>4.069</v>
      </c>
      <c r="D27">
        <f>$P$5/Table1[[#This Row],[Fallzeit '[s']]]</f>
        <v>7.9529187211706698E-5</v>
      </c>
      <c r="E27">
        <f>$P$5/Table1[[#This Row],[Steigzeit '[s']]]</f>
        <v>1.228803145736053E-4</v>
      </c>
      <c r="F27">
        <f>SQRT((9 * $P$11)/(2 * ($Q$14-$P$15) * $P$7) * Table1[[#This Row],[V_{fall}]] )</f>
        <v>8.7133885528503066E-7</v>
      </c>
      <c r="G27" s="65">
        <f>(Table1[[#This Row],[V_{fall}]]+Table1[[#This Row],[V_{steig}]])*SQRT((9*Table1[[#This Row],[V_{fall}]]*$P$11^3)/(2*($Q$14-$P$15)*$P$7))*(6*3.141*$P$9)/$P$29</f>
        <v>7.2193315003403128E-19</v>
      </c>
      <c r="H27" s="27">
        <f>1/(1+($P$18/(Table1[[#This Row],[Radius]]*$P$28)))</f>
        <v>0.91856177679012851</v>
      </c>
      <c r="I27" s="3">
        <f>(Table1[[#This Row],[V_{fall}]]+Table1[[#This Row],[V_{steig}]])*SQRT((9 * Table1[[#This Row],[V_{fall}]] * $P$11^3*Table1[[#This Row],[Korrekturstherm]]^3)/(2*($Q$14-$P$15)*$P$7))* 6 * PI() * $P$9 / $P$29 /$P$22</f>
        <v>6.3568428480721701</v>
      </c>
      <c r="J27" s="27" t="str">
        <f>IF(Table1[[#This Row],[Q_{ges} korrigiert]]&lt;$P$20,Table1[[#This Row],[Q_{ges} korrigiert]], "")</f>
        <v/>
      </c>
      <c r="K27">
        <f>Table1[[#This Row],[Q_{ges} korrigiert]]/Table1[[#Totals],[if Q&gt;q]]</f>
        <v>4.0270968104105291</v>
      </c>
      <c r="L27">
        <f>INT(Table1[[#This Row],[Abweichung von q]]+0.5)</f>
        <v>4</v>
      </c>
      <c r="M27">
        <f>Table1[[#This Row],[Q_{ges} korrigiert]]/Table1[[#This Row],[Anzahl Ladungen n]]</f>
        <v>1.5892107120180425</v>
      </c>
      <c r="O27" s="63" t="s">
        <v>87</v>
      </c>
      <c r="P27" s="63"/>
      <c r="Q27" s="63"/>
      <c r="R27" s="63"/>
    </row>
    <row r="28" spans="1:18">
      <c r="A28">
        <v>29</v>
      </c>
      <c r="B28" s="3">
        <v>6.4189999999999996</v>
      </c>
      <c r="C28" s="3">
        <v>4.0449999999999999</v>
      </c>
      <c r="D28">
        <f>$P$5/Table1[[#This Row],[Fallzeit '[s']]]</f>
        <v>7.7893752921015744E-5</v>
      </c>
      <c r="E28">
        <f>$P$5/Table1[[#This Row],[Steigzeit '[s']]]</f>
        <v>1.2360939431396787E-4</v>
      </c>
      <c r="F28">
        <f>SQRT((9 * $P$11)/(2 * ($Q$14-$P$15) * $P$7) * Table1[[#This Row],[V_{fall}]] )</f>
        <v>8.6233323233012309E-7</v>
      </c>
      <c r="G28" s="65">
        <f>(Table1[[#This Row],[V_{fall}]]+Table1[[#This Row],[V_{steig}]])*SQRT((9*Table1[[#This Row],[V_{fall}]]*$P$11^3)/(2*($Q$14-$P$15)*$P$7))*(6*3.141*$P$9)/$P$29</f>
        <v>7.1127241264189962E-19</v>
      </c>
      <c r="H28" s="27">
        <f>1/(1+($P$18/(Table1[[#This Row],[Radius]]*$P$28)))</f>
        <v>0.91778121714927019</v>
      </c>
      <c r="I28" s="3">
        <f>(Table1[[#This Row],[V_{fall}]]+Table1[[#This Row],[V_{steig}]])*SQRT((9 * Table1[[#This Row],[V_{fall}]] * $P$11^3*Table1[[#This Row],[Korrekturstherm]]^3)/(2*($Q$14-$P$15)*$P$7))* 6 * PI() * $P$9 / $P$29 /$P$22</f>
        <v>6.2549904203892535</v>
      </c>
      <c r="J28" s="27" t="str">
        <f>IF(Table1[[#This Row],[Q_{ges} korrigiert]]&lt;$P$20,Table1[[#This Row],[Q_{ges} korrigiert]], "")</f>
        <v/>
      </c>
      <c r="K28">
        <f>Table1[[#This Row],[Q_{ges} korrigiert]]/Table1[[#Totals],[if Q&gt;q]]</f>
        <v>3.9625727067859082</v>
      </c>
      <c r="L28">
        <f>INT(Table1[[#This Row],[Abweichung von q]]+0.5)</f>
        <v>4</v>
      </c>
      <c r="M28">
        <f>Table1[[#This Row],[Q_{ges} korrigiert]]/Table1[[#This Row],[Anzahl Ladungen n]]</f>
        <v>1.5637476050973134</v>
      </c>
      <c r="O28" t="s">
        <v>88</v>
      </c>
      <c r="P28" s="70">
        <v>100710</v>
      </c>
      <c r="Q28" t="s">
        <v>115</v>
      </c>
      <c r="R28" s="70">
        <v>0.1</v>
      </c>
    </row>
    <row r="29" spans="1:18">
      <c r="A29">
        <v>30</v>
      </c>
      <c r="B29" s="66">
        <v>7.1509999999999998</v>
      </c>
      <c r="C29" s="66">
        <v>4.1929999999999996</v>
      </c>
      <c r="D29">
        <f>$P$5/Table1[[#This Row],[Fallzeit '[s']]]</f>
        <v>6.9920290868410014E-5</v>
      </c>
      <c r="E29">
        <f>$P$5/Table1[[#This Row],[Steigzeit '[s']]]</f>
        <v>1.1924636298592894E-4</v>
      </c>
      <c r="F29">
        <f>SQRT((9 * $P$11)/(2 * ($Q$14-$P$15) * $P$7) * Table1[[#This Row],[V_{fall}]] )</f>
        <v>8.1700633108971758E-7</v>
      </c>
      <c r="G29" s="65">
        <f>(Table1[[#This Row],[V_{fall}]]+Table1[[#This Row],[V_{steig}]])*SQRT((9*Table1[[#This Row],[V_{fall}]]*$P$11^3)/(2*($Q$14-$P$15)*$P$7))*(6*3.141*$P$9)/$P$29</f>
        <v>6.326288763106681E-19</v>
      </c>
      <c r="H29" s="27">
        <f>1/(1+($P$18/(Table1[[#This Row],[Radius]]*$P$28)))</f>
        <v>0.91361382552971937</v>
      </c>
      <c r="I29" s="3">
        <f>(Table1[[#This Row],[V_{fall}]]+Table1[[#This Row],[V_{steig}]])*SQRT((9 * Table1[[#This Row],[V_{fall}]] * $P$11^3*Table1[[#This Row],[Korrekturstherm]]^3)/(2*($Q$14-$P$15)*$P$7))* 6 * PI() * $P$9 / $P$29 /$P$22</f>
        <v>5.5255427363662184</v>
      </c>
      <c r="J29" s="27" t="str">
        <f>IF(Table1[[#This Row],[Q_{ges} korrigiert]]&lt;$P$20,Table1[[#This Row],[Q_{ges} korrigiert]], "")</f>
        <v/>
      </c>
      <c r="K29">
        <f>Table1[[#This Row],[Q_{ges} korrigiert]]/Table1[[#Totals],[if Q&gt;q]]</f>
        <v>3.5004633685660114</v>
      </c>
      <c r="L29">
        <f>INT(Table1[[#This Row],[Abweichung von q]]+0.5)</f>
        <v>4</v>
      </c>
      <c r="M29">
        <f>Table1[[#This Row],[Q_{ges} korrigiert]]/Table1[[#This Row],[Anzahl Ladungen n]]</f>
        <v>1.3813856840915546</v>
      </c>
      <c r="O29" t="s">
        <v>89</v>
      </c>
      <c r="P29" s="71">
        <v>500</v>
      </c>
      <c r="R29" s="71">
        <f>P29*0.005</f>
        <v>2.5</v>
      </c>
    </row>
    <row r="30" spans="1:18">
      <c r="A30">
        <v>31</v>
      </c>
      <c r="B30" s="3">
        <v>4.5970000000000004</v>
      </c>
      <c r="C30" s="3">
        <v>7.577</v>
      </c>
      <c r="D30">
        <f>$P$5/Table1[[#This Row],[Fallzeit '[s']]]</f>
        <v>1.0876658690450292E-4</v>
      </c>
      <c r="E30">
        <f>$P$5/Table1[[#This Row],[Steigzeit '[s']]]</f>
        <v>6.5989177774844929E-5</v>
      </c>
      <c r="F30">
        <f>SQRT((9 * $P$11)/(2 * ($Q$14-$P$15) * $P$7) * Table1[[#This Row],[V_{fall}]] )</f>
        <v>1.0189938411012534E-6</v>
      </c>
      <c r="G30" s="65">
        <f>(Table1[[#This Row],[V_{fall}]]+Table1[[#This Row],[V_{steig}]])*SQRT((9*Table1[[#This Row],[V_{fall}]]*$P$11^3)/(2*($Q$14-$P$15)*$P$7))*(6*3.141*$P$9)/$P$29</f>
        <v>7.2892371103278923E-19</v>
      </c>
      <c r="H30" s="27">
        <f>1/(1+($P$18/(Table1[[#This Row],[Radius]]*$P$28)))</f>
        <v>0.92953081728299514</v>
      </c>
      <c r="I30" s="3">
        <f>(Table1[[#This Row],[V_{fall}]]+Table1[[#This Row],[V_{steig}]])*SQRT((9 * Table1[[#This Row],[V_{fall}]] * $P$11^3*Table1[[#This Row],[Korrekturstherm]]^3)/(2*($Q$14-$P$15)*$P$7))* 6 * PI() * $P$9 / $P$29 /$P$22</f>
        <v>6.533707723381931</v>
      </c>
      <c r="J30" s="27" t="str">
        <f>IF(Table1[[#This Row],[Q_{ges} korrigiert]]&lt;$P$20,Table1[[#This Row],[Q_{ges} korrigiert]], "")</f>
        <v/>
      </c>
      <c r="K30">
        <f>Table1[[#This Row],[Q_{ges} korrigiert]]/Table1[[#Totals],[if Q&gt;q]]</f>
        <v>4.1391417346372776</v>
      </c>
      <c r="L30">
        <f>INT(Table1[[#This Row],[Abweichung von q]]+0.5)</f>
        <v>4</v>
      </c>
      <c r="M30">
        <f>Table1[[#This Row],[Q_{ges} korrigiert]]/Table1[[#This Row],[Anzahl Ladungen n]]</f>
        <v>1.6334269308454827</v>
      </c>
      <c r="O30" t="s">
        <v>90</v>
      </c>
      <c r="P30" s="71">
        <v>25</v>
      </c>
      <c r="R30" s="71">
        <v>1</v>
      </c>
    </row>
    <row r="31" spans="1:18">
      <c r="A31">
        <v>32</v>
      </c>
      <c r="B31" s="3">
        <v>4.6589999999999998</v>
      </c>
      <c r="C31" s="3">
        <v>7.8550000000000004</v>
      </c>
      <c r="D31">
        <f>$P$5/Table1[[#This Row],[Fallzeit '[s']]]</f>
        <v>1.0731916720326251E-4</v>
      </c>
      <c r="E31">
        <f>$P$5/Table1[[#This Row],[Steigzeit '[s']]]</f>
        <v>6.3653723742838957E-5</v>
      </c>
      <c r="F31">
        <f>SQRT((9 * $P$11)/(2 * ($Q$14-$P$15) * $P$7) * Table1[[#This Row],[V_{fall}]] )</f>
        <v>1.0121909634807212E-6</v>
      </c>
      <c r="G31" s="65">
        <f>(Table1[[#This Row],[V_{fall}]]+Table1[[#This Row],[V_{steig}]])*SQRT((9*Table1[[#This Row],[V_{fall}]]*$P$11^3)/(2*($Q$14-$P$15)*$P$7))*(6*3.141*$P$9)/$P$29</f>
        <v>7.0838395957232992E-19</v>
      </c>
      <c r="H31" s="27">
        <f>1/(1+($P$18/(Table1[[#This Row],[Radius]]*$P$28)))</f>
        <v>0.92909078191091954</v>
      </c>
      <c r="I31" s="3">
        <f>(Table1[[#This Row],[V_{fall}]]+Table1[[#This Row],[V_{steig}]])*SQRT((9 * Table1[[#This Row],[V_{fall}]] * $P$11^3*Table1[[#This Row],[Korrekturstherm]]^3)/(2*($Q$14-$P$15)*$P$7))* 6 * PI() * $P$9 / $P$29 /$P$22</f>
        <v>6.3450913892684619</v>
      </c>
      <c r="J31" s="27" t="str">
        <f>IF(Table1[[#This Row],[Q_{ges} korrigiert]]&lt;$P$20,Table1[[#This Row],[Q_{ges} korrigiert]], "")</f>
        <v/>
      </c>
      <c r="K31">
        <f>Table1[[#This Row],[Q_{ges} korrigiert]]/Table1[[#Totals],[if Q&gt;q]]</f>
        <v>4.0196521931064479</v>
      </c>
      <c r="L31">
        <f>INT(Table1[[#This Row],[Abweichung von q]]+0.5)</f>
        <v>4</v>
      </c>
      <c r="M31">
        <f>Table1[[#This Row],[Q_{ges} korrigiert]]/Table1[[#This Row],[Anzahl Ladungen n]]</f>
        <v>1.5862728473171155</v>
      </c>
    </row>
    <row r="32" spans="1:18">
      <c r="A32">
        <v>33</v>
      </c>
      <c r="B32" s="3">
        <v>4.7729999999999997</v>
      </c>
      <c r="C32" s="3">
        <v>7.7190000000000003</v>
      </c>
      <c r="D32">
        <f>$P$5/Table1[[#This Row],[Fallzeit '[s']]]</f>
        <v>1.0475591870940709E-4</v>
      </c>
      <c r="E32">
        <f>$P$5/Table1[[#This Row],[Steigzeit '[s']]]</f>
        <v>6.4775229952066329E-5</v>
      </c>
      <c r="F32">
        <f>SQRT((9 * $P$11)/(2 * ($Q$14-$P$15) * $P$7) * Table1[[#This Row],[V_{fall}]] )</f>
        <v>1.0000301500154142E-6</v>
      </c>
      <c r="G32" s="65">
        <f>(Table1[[#This Row],[V_{fall}]]+Table1[[#This Row],[V_{steig}]])*SQRT((9*Table1[[#This Row],[V_{fall}]]*$P$11^3)/(2*($Q$14-$P$15)*$P$7))*(6*3.141*$P$9)/$P$29</f>
        <v>6.939714534300213E-19</v>
      </c>
      <c r="H32" s="27">
        <f>1/(1+($P$18/(Table1[[#This Row],[Radius]]*$P$28)))</f>
        <v>0.92829032850791726</v>
      </c>
      <c r="I32" s="3">
        <f>(Table1[[#This Row],[V_{fall}]]+Table1[[#This Row],[V_{steig}]])*SQRT((9 * Table1[[#This Row],[V_{fall}]] * $P$11^3*Table1[[#This Row],[Korrekturstherm]]^3)/(2*($Q$14-$P$15)*$P$7))* 6 * PI() * $P$9 / $P$29 /$P$22</f>
        <v>6.2079653036168372</v>
      </c>
      <c r="J32" s="27" t="str">
        <f>IF(Table1[[#This Row],[Q_{ges} korrigiert]]&lt;$P$20,Table1[[#This Row],[Q_{ges} korrigiert]], "")</f>
        <v/>
      </c>
      <c r="K32">
        <f>Table1[[#This Row],[Q_{ges} korrigiert]]/Table1[[#Totals],[if Q&gt;q]]</f>
        <v>3.9327820225910313</v>
      </c>
      <c r="L32">
        <f>INT(Table1[[#This Row],[Abweichung von q]]+0.5)</f>
        <v>4</v>
      </c>
      <c r="M32">
        <f>Table1[[#This Row],[Q_{ges} korrigiert]]/Table1[[#This Row],[Anzahl Ladungen n]]</f>
        <v>1.5519913259042093</v>
      </c>
    </row>
    <row r="33" spans="1:18">
      <c r="A33">
        <v>34</v>
      </c>
      <c r="B33" s="3">
        <v>4.6630000000000003</v>
      </c>
      <c r="C33" s="3">
        <v>7.9160000000000004</v>
      </c>
      <c r="D33">
        <f>$P$5/Table1[[#This Row],[Fallzeit '[s']]]</f>
        <v>1.0722710701265279E-4</v>
      </c>
      <c r="E33">
        <f>$P$5/Table1[[#This Row],[Steigzeit '[s']]]</f>
        <v>6.3163213744315316E-5</v>
      </c>
      <c r="F33">
        <f>SQRT((9 * $P$11)/(2 * ($Q$14-$P$15) * $P$7) * Table1[[#This Row],[V_{fall}]] )</f>
        <v>1.0117567331031742E-6</v>
      </c>
      <c r="G33" s="65">
        <f>(Table1[[#This Row],[V_{fall}]]+Table1[[#This Row],[V_{steig}]])*SQRT((9*Table1[[#This Row],[V_{fall}]]*$P$11^3)/(2*($Q$14-$P$15)*$P$7))*(6*3.141*$P$9)/$P$29</f>
        <v>7.0566736229032884E-19</v>
      </c>
      <c r="H33" s="27">
        <f>1/(1+($P$18/(Table1[[#This Row],[Radius]]*$P$28)))</f>
        <v>0.92906250761950138</v>
      </c>
      <c r="I33" s="3">
        <f>(Table1[[#This Row],[V_{fall}]]+Table1[[#This Row],[V_{steig}]])*SQRT((9 * Table1[[#This Row],[V_{fall}]] * $P$11^3*Table1[[#This Row],[Korrekturstherm]]^3)/(2*($Q$14-$P$15)*$P$7))* 6 * PI() * $P$9 / $P$29 /$P$22</f>
        <v>6.3204699284155632</v>
      </c>
      <c r="J33" s="27" t="str">
        <f>IF(Table1[[#This Row],[Q_{ges} korrigiert]]&lt;$P$20,Table1[[#This Row],[Q_{ges} korrigiert]], "")</f>
        <v/>
      </c>
      <c r="K33">
        <f>Table1[[#This Row],[Q_{ges} korrigiert]]/Table1[[#Totals],[if Q&gt;q]]</f>
        <v>4.0040543548653433</v>
      </c>
      <c r="L33">
        <f>INT(Table1[[#This Row],[Abweichung von q]]+0.5)</f>
        <v>4</v>
      </c>
      <c r="M33">
        <f>Table1[[#This Row],[Q_{ges} korrigiert]]/Table1[[#This Row],[Anzahl Ladungen n]]</f>
        <v>1.5801174821038908</v>
      </c>
    </row>
    <row r="34" spans="1:18">
      <c r="A34">
        <v>35</v>
      </c>
      <c r="B34" s="66">
        <v>4.8550000000000004</v>
      </c>
      <c r="C34" s="66">
        <v>7.9109999999999996</v>
      </c>
      <c r="D34">
        <f>$P$5/Table1[[#This Row],[Fallzeit '[s']]]</f>
        <v>1.0298661174047373E-4</v>
      </c>
      <c r="E34">
        <f>$P$5/Table1[[#This Row],[Steigzeit '[s']]]</f>
        <v>6.320313487548983E-5</v>
      </c>
      <c r="F34">
        <f>SQRT((9 * $P$11)/(2 * ($Q$14-$P$15) * $P$7) * Table1[[#This Row],[V_{fall}]] )</f>
        <v>9.9154902962150051E-7</v>
      </c>
      <c r="G34" s="65">
        <f>(Table1[[#This Row],[V_{fall}]]+Table1[[#This Row],[V_{steig}]])*SQRT((9*Table1[[#This Row],[V_{fall}]]*$P$11^3)/(2*($Q$14-$P$15)*$P$7))*(6*3.141*$P$9)/$P$29</f>
        <v>6.7452403177652134E-19</v>
      </c>
      <c r="H34" s="27">
        <f>1/(1+($P$18/(Table1[[#This Row],[Radius]]*$P$28)))</f>
        <v>0.92772129964577799</v>
      </c>
      <c r="I34" s="3">
        <f>(Table1[[#This Row],[V_{fall}]]+Table1[[#This Row],[V_{steig}]])*SQRT((9 * Table1[[#This Row],[V_{fall}]] * $P$11^3*Table1[[#This Row],[Korrekturstherm]]^3)/(2*($Q$14-$P$15)*$P$7))* 6 * PI() * $P$9 / $P$29 /$P$22</f>
        <v>6.0284498872585575</v>
      </c>
      <c r="J34" s="27" t="str">
        <f>IF(Table1[[#This Row],[Q_{ges} korrigiert]]&lt;$P$20,Table1[[#This Row],[Q_{ges} korrigiert]], "")</f>
        <v/>
      </c>
      <c r="K34">
        <f>Table1[[#This Row],[Q_{ges} korrigiert]]/Table1[[#Totals],[if Q&gt;q]]</f>
        <v>3.8190579652383803</v>
      </c>
      <c r="L34">
        <f>INT(Table1[[#This Row],[Abweichung von q]]+0.5)</f>
        <v>4</v>
      </c>
      <c r="M34">
        <f>Table1[[#This Row],[Q_{ges} korrigiert]]/Table1[[#This Row],[Anzahl Ladungen n]]</f>
        <v>1.5071124718146394</v>
      </c>
    </row>
    <row r="35" spans="1:18">
      <c r="A35">
        <v>36</v>
      </c>
      <c r="B35" s="3">
        <v>6.2270000000000003</v>
      </c>
      <c r="C35" s="3">
        <v>7.93</v>
      </c>
      <c r="D35">
        <f>$P$5/Table1[[#This Row],[Fallzeit '[s']]]</f>
        <v>8.0295487393608481E-5</v>
      </c>
      <c r="E35">
        <f>$P$5/Table1[[#This Row],[Steigzeit '[s']]]</f>
        <v>6.3051702395964691E-5</v>
      </c>
      <c r="F35">
        <f>SQRT((9 * $P$11)/(2 * ($Q$14-$P$15) * $P$7) * Table1[[#This Row],[V_{fall}]] )</f>
        <v>8.7552666628342038E-7</v>
      </c>
      <c r="G35" s="65">
        <f>(Table1[[#This Row],[V_{fall}]]+Table1[[#This Row],[V_{steig}]])*SQRT((9*Table1[[#This Row],[V_{fall}]]*$P$11^3)/(2*($Q$14-$P$15)*$P$7))*(6*3.141*$P$9)/$P$29</f>
        <v>5.1373312460528414E-19</v>
      </c>
      <c r="H35" s="27">
        <f>1/(1+($P$18/(Table1[[#This Row],[Radius]]*$P$28)))</f>
        <v>0.91891972777370068</v>
      </c>
      <c r="I35" s="3">
        <f>(Table1[[#This Row],[V_{fall}]]+Table1[[#This Row],[V_{steig}]])*SQRT((9 * Table1[[#This Row],[V_{fall}]] * $P$11^3*Table1[[#This Row],[Korrekturstherm]]^3)/(2*($Q$14-$P$15)*$P$7))* 6 * PI() * $P$9 / $P$29 /$P$22</f>
        <v>4.5262221785312846</v>
      </c>
      <c r="J35" s="27" t="str">
        <f>IF(Table1[[#This Row],[Q_{ges} korrigiert]]&lt;$P$20,Table1[[#This Row],[Q_{ges} korrigiert]], "")</f>
        <v/>
      </c>
      <c r="K35">
        <f>Table1[[#This Row],[Q_{ges} korrigiert]]/Table1[[#Totals],[if Q&gt;q]]</f>
        <v>2.8673879996735439</v>
      </c>
      <c r="L35">
        <f>INT(Table1[[#This Row],[Abweichung von q]]+0.5)</f>
        <v>3</v>
      </c>
      <c r="M35">
        <f>Table1[[#This Row],[Q_{ges} korrigiert]]/Table1[[#This Row],[Anzahl Ladungen n]]</f>
        <v>1.5087407261770949</v>
      </c>
    </row>
    <row r="36" spans="1:18">
      <c r="A36">
        <v>37</v>
      </c>
      <c r="B36" s="3">
        <v>6.4649999999999999</v>
      </c>
      <c r="C36" s="3">
        <v>8.0950000000000006</v>
      </c>
      <c r="D36">
        <f>$P$5/Table1[[#This Row],[Fallzeit '[s']]]</f>
        <v>7.7339520494972941E-5</v>
      </c>
      <c r="E36">
        <f>$P$5/Table1[[#This Row],[Steigzeit '[s']]]</f>
        <v>6.1766522544780725E-5</v>
      </c>
      <c r="F36">
        <f>SQRT((9 * $P$11)/(2 * ($Q$14-$P$15) * $P$7) * Table1[[#This Row],[V_{fall}]] )</f>
        <v>8.5925990352603192E-7</v>
      </c>
      <c r="G36" s="65">
        <f>(Table1[[#This Row],[V_{fall}]]+Table1[[#This Row],[V_{steig}]])*SQRT((9*Table1[[#This Row],[V_{fall}]]*$P$11^3)/(2*($Q$14-$P$15)*$P$7))*(6*3.141*$P$9)/$P$29</f>
        <v>4.8927108560496125E-19</v>
      </c>
      <c r="H36" s="27">
        <f>1/(1+($P$18/(Table1[[#This Row],[Radius]]*$P$28)))</f>
        <v>0.91751140158826738</v>
      </c>
      <c r="I36" s="3">
        <f>(Table1[[#This Row],[V_{fall}]]+Table1[[#This Row],[V_{steig}]])*SQRT((9 * Table1[[#This Row],[V_{fall}]] * $P$11^3*Table1[[#This Row],[Korrekturstherm]]^3)/(2*($Q$14-$P$15)*$P$7))* 6 * PI() * $P$9 / $P$29 /$P$22</f>
        <v>4.3007945038453039</v>
      </c>
      <c r="J36" s="27" t="str">
        <f>IF(Table1[[#This Row],[Q_{ges} korrigiert]]&lt;$P$20,Table1[[#This Row],[Q_{ges} korrigiert]], "")</f>
        <v/>
      </c>
      <c r="K36">
        <f>Table1[[#This Row],[Q_{ges} korrigiert]]/Table1[[#Totals],[if Q&gt;q]]</f>
        <v>2.7245782604047042</v>
      </c>
      <c r="L36">
        <f>INT(Table1[[#This Row],[Abweichung von q]]+0.5)</f>
        <v>3</v>
      </c>
      <c r="M36">
        <f>Table1[[#This Row],[Q_{ges} korrigiert]]/Table1[[#This Row],[Anzahl Ladungen n]]</f>
        <v>1.4335981679484346</v>
      </c>
    </row>
    <row r="37" spans="1:18">
      <c r="A37">
        <v>38</v>
      </c>
      <c r="B37" s="3">
        <v>6.1950000000000003</v>
      </c>
      <c r="C37" s="3">
        <v>8.6980000000000004</v>
      </c>
      <c r="D37">
        <f>$P$5/Table1[[#This Row],[Fallzeit '[s']]]</f>
        <v>8.0710250201775617E-5</v>
      </c>
      <c r="E37">
        <f>$P$5/Table1[[#This Row],[Steigzeit '[s']]]</f>
        <v>5.7484479190618535E-5</v>
      </c>
      <c r="F37">
        <f>SQRT((9 * $P$11)/(2 * ($Q$14-$P$15) * $P$7) * Table1[[#This Row],[V_{fall}]] )</f>
        <v>8.7778500094908675E-7</v>
      </c>
      <c r="G37" s="65">
        <f>(Table1[[#This Row],[V_{fall}]]+Table1[[#This Row],[V_{steig}]])*SQRT((9*Table1[[#This Row],[V_{fall}]]*$P$11^3)/(2*($Q$14-$P$15)*$P$7))*(6*3.141*$P$9)/$P$29</f>
        <v>4.9654503433338374E-19</v>
      </c>
      <c r="H37" s="27">
        <f>1/(1+($P$18/(Table1[[#This Row],[Radius]]*$P$28)))</f>
        <v>0.91911145488209545</v>
      </c>
      <c r="I37" s="3">
        <f>(Table1[[#This Row],[V_{fall}]]+Table1[[#This Row],[V_{steig}]])*SQRT((9 * Table1[[#This Row],[V_{fall}]] * $P$11^3*Table1[[#This Row],[Korrekturstherm]]^3)/(2*($Q$14-$P$15)*$P$7))* 6 * PI() * $P$9 / $P$29 /$P$22</f>
        <v>4.3761565272075451</v>
      </c>
      <c r="J37" s="27" t="str">
        <f>IF(Table1[[#This Row],[Q_{ges} korrigiert]]&lt;$P$20,Table1[[#This Row],[Q_{ges} korrigiert]], "")</f>
        <v/>
      </c>
      <c r="K37">
        <f>Table1[[#This Row],[Q_{ges} korrigiert]]/Table1[[#Totals],[if Q&gt;q]]</f>
        <v>2.7723205392625503</v>
      </c>
      <c r="L37">
        <f>INT(Table1[[#This Row],[Abweichung von q]]+0.5)</f>
        <v>3</v>
      </c>
      <c r="M37">
        <f>Table1[[#This Row],[Q_{ges} korrigiert]]/Table1[[#This Row],[Anzahl Ladungen n]]</f>
        <v>1.458718842402515</v>
      </c>
    </row>
    <row r="38" spans="1:18">
      <c r="A38">
        <v>39</v>
      </c>
      <c r="B38" s="3">
        <v>6.4610000000000003</v>
      </c>
      <c r="C38" s="3">
        <v>7.9569999999999999</v>
      </c>
      <c r="D38">
        <f>$P$5/Table1[[#This Row],[Fallzeit '[s']]]</f>
        <v>7.7387401331063295E-5</v>
      </c>
      <c r="E38">
        <f>$P$5/Table1[[#This Row],[Steigzeit '[s']]]</f>
        <v>6.2837752921955517E-5</v>
      </c>
      <c r="F38">
        <f>SQRT((9 * $P$11)/(2 * ($Q$14-$P$15) * $P$7) * Table1[[#This Row],[V_{fall}]] )</f>
        <v>8.5952584593522415E-7</v>
      </c>
      <c r="G38" s="65">
        <f>(Table1[[#This Row],[V_{fall}]]+Table1[[#This Row],[V_{steig}]])*SQRT((9*Table1[[#This Row],[V_{fall}]]*$P$11^3)/(2*($Q$14-$P$15)*$P$7))*(6*3.141*$P$9)/$P$29</f>
        <v>4.9335993087873934E-19</v>
      </c>
      <c r="H38" s="27">
        <f>1/(1+($P$18/(Table1[[#This Row],[Radius]]*$P$28)))</f>
        <v>0.91753481933673664</v>
      </c>
      <c r="I38" s="3">
        <f>(Table1[[#This Row],[V_{fall}]]+Table1[[#This Row],[V_{steig}]])*SQRT((9 * Table1[[#This Row],[V_{fall}]] * $P$11^3*Table1[[#This Row],[Korrekturstherm]]^3)/(2*($Q$14-$P$15)*$P$7))* 6 * PI() * $P$9 / $P$29 /$P$22</f>
        <v>4.3369023349719757</v>
      </c>
      <c r="J38" s="27" t="str">
        <f>IF(Table1[[#This Row],[Q_{ges} korrigiert]]&lt;$P$20,Table1[[#This Row],[Q_{ges} korrigiert]], "")</f>
        <v/>
      </c>
      <c r="K38">
        <f>Table1[[#This Row],[Q_{ges} korrigiert]]/Table1[[#Totals],[if Q&gt;q]]</f>
        <v>2.7474527808288109</v>
      </c>
      <c r="L38">
        <f>INT(Table1[[#This Row],[Abweichung von q]]+0.5)</f>
        <v>3</v>
      </c>
      <c r="M38">
        <f>Table1[[#This Row],[Q_{ges} korrigiert]]/Table1[[#This Row],[Anzahl Ladungen n]]</f>
        <v>1.4456341116573252</v>
      </c>
    </row>
    <row r="39" spans="1:18">
      <c r="A39">
        <v>40</v>
      </c>
      <c r="B39" s="66">
        <v>6.29</v>
      </c>
      <c r="C39" s="66">
        <v>8.6039999999999992</v>
      </c>
      <c r="D39">
        <f>$P$5/Table1[[#This Row],[Fallzeit '[s']]]</f>
        <v>7.9491255961844197E-5</v>
      </c>
      <c r="E39">
        <f>$P$5/Table1[[#This Row],[Steigzeit '[s']]]</f>
        <v>5.8112505811250586E-5</v>
      </c>
      <c r="F39">
        <f>SQRT((9 * $P$11)/(2 * ($Q$14-$P$15) * $P$7) * Table1[[#This Row],[V_{fall}]] )</f>
        <v>8.711310390427893E-7</v>
      </c>
      <c r="G39" s="65">
        <f>(Table1[[#This Row],[V_{fall}]]+Table1[[#This Row],[V_{steig}]])*SQRT((9*Table1[[#This Row],[V_{fall}]]*$P$11^3)/(2*($Q$14-$P$15)*$P$7))*(6*3.141*$P$9)/$P$29</f>
        <v>4.9067372498242119E-19</v>
      </c>
      <c r="H39" s="27">
        <f>1/(1+($P$18/(Table1[[#This Row],[Radius]]*$P$28)))</f>
        <v>0.91854393147500391</v>
      </c>
      <c r="I39" s="3">
        <f>(Table1[[#This Row],[V_{fall}]]+Table1[[#This Row],[V_{steig}]])*SQRT((9 * Table1[[#This Row],[V_{fall}]] * $P$11^3*Table1[[#This Row],[Korrekturstherm]]^3)/(2*($Q$14-$P$15)*$P$7))* 6 * PI() * $P$9 / $P$29 /$P$22</f>
        <v>4.3204067639697525</v>
      </c>
      <c r="J39" s="27" t="str">
        <f>IF(Table1[[#This Row],[Q_{ges} korrigiert]]&lt;$P$20,Table1[[#This Row],[Q_{ges} korrigiert]], "")</f>
        <v/>
      </c>
      <c r="K39">
        <f>Table1[[#This Row],[Q_{ges} korrigiert]]/Table1[[#Totals],[if Q&gt;q]]</f>
        <v>2.7370027409337552</v>
      </c>
      <c r="L39">
        <f>INT(Table1[[#This Row],[Abweichung von q]]+0.5)</f>
        <v>3</v>
      </c>
      <c r="M39">
        <f>Table1[[#This Row],[Q_{ges} korrigiert]]/Table1[[#This Row],[Anzahl Ladungen n]]</f>
        <v>1.4401355879899176</v>
      </c>
    </row>
    <row r="40" spans="1:18">
      <c r="A40">
        <v>41</v>
      </c>
      <c r="B40" s="3">
        <v>13.914</v>
      </c>
      <c r="C40" s="3">
        <v>12.462999999999999</v>
      </c>
      <c r="D40">
        <f>$P$5/Table1[[#This Row],[Fallzeit '[s']]]</f>
        <v>3.5935029466724166E-5</v>
      </c>
      <c r="E40">
        <f>$P$5/Table1[[#This Row],[Steigzeit '[s']]]</f>
        <v>4.0118751504453188E-5</v>
      </c>
      <c r="F40">
        <f>SQRT((9 * $P$11)/(2 * ($Q$14-$P$15) * $P$7) * Table1[[#This Row],[V_{fall}]] )</f>
        <v>5.8571023268333495E-7</v>
      </c>
      <c r="G40" s="65">
        <f>(Table1[[#This Row],[V_{fall}]]+Table1[[#This Row],[V_{steig}]])*SQRT((9*Table1[[#This Row],[V_{fall}]]*$P$11^3)/(2*($Q$14-$P$15)*$P$7))*(6*3.141*$P$9)/$P$29</f>
        <v>1.8234028479875223E-19</v>
      </c>
      <c r="H40" s="27">
        <f>1/(1+($P$18/(Table1[[#This Row],[Radius]]*$P$28)))</f>
        <v>0.88347515583468894</v>
      </c>
      <c r="I40" s="3">
        <f>(Table1[[#This Row],[V_{fall}]]+Table1[[#This Row],[V_{steig}]])*SQRT((9 * Table1[[#This Row],[V_{fall}]] * $P$11^3*Table1[[#This Row],[Korrekturstherm]]^3)/(2*($Q$14-$P$15)*$P$7))* 6 * PI() * $P$9 / $P$29 /$P$22</f>
        <v>1.5144539662791172</v>
      </c>
      <c r="J40" s="27">
        <f>IF(Table1[[#This Row],[Q_{ges} korrigiert]]&lt;$P$20,Table1[[#This Row],[Q_{ges} korrigiert]], "")</f>
        <v>1.5144539662791172</v>
      </c>
      <c r="K40">
        <f>Table1[[#This Row],[Q_{ges} korrigiert]]/Table1[[#Totals],[if Q&gt;q]]</f>
        <v>0.95941537062943094</v>
      </c>
      <c r="L40">
        <f>INT(Table1[[#This Row],[Abweichung von q]]+0.5)</f>
        <v>1</v>
      </c>
      <c r="M40">
        <f>Table1[[#This Row],[Q_{ges} korrigiert]]/Table1[[#This Row],[Anzahl Ladungen n]]</f>
        <v>1.5144539662791172</v>
      </c>
      <c r="O40" s="64" t="s">
        <v>99</v>
      </c>
      <c r="P40" s="64"/>
      <c r="Q40" s="64"/>
      <c r="R40" s="64"/>
    </row>
    <row r="41" spans="1:18">
      <c r="A41">
        <v>42</v>
      </c>
      <c r="B41" s="3">
        <v>13.294</v>
      </c>
      <c r="C41" s="3">
        <v>12.143000000000001</v>
      </c>
      <c r="D41">
        <f>$P$5/Table1[[#This Row],[Fallzeit '[s']]]</f>
        <v>3.761095230931247E-5</v>
      </c>
      <c r="E41">
        <f>$P$5/Table1[[#This Row],[Steigzeit '[s']]]</f>
        <v>4.117598616486865E-5</v>
      </c>
      <c r="F41">
        <f>SQRT((9 * $P$11)/(2 * ($Q$14-$P$15) * $P$7) * Table1[[#This Row],[V_{fall}]] )</f>
        <v>5.9921265076884477E-7</v>
      </c>
      <c r="G41" s="65">
        <f>(Table1[[#This Row],[V_{fall}]]+Table1[[#This Row],[V_{steig}]])*SQRT((9*Table1[[#This Row],[V_{fall}]]*$P$11^3)/(2*($Q$14-$P$15)*$P$7))*(6*3.141*$P$9)/$P$29</f>
        <v>1.9324764330721132E-19</v>
      </c>
      <c r="H41" s="27">
        <f>1/(1+($P$18/(Table1[[#This Row],[Radius]]*$P$28)))</f>
        <v>0.88580102503018099</v>
      </c>
      <c r="I41" s="3">
        <f>(Table1[[#This Row],[V_{fall}]]+Table1[[#This Row],[V_{steig}]])*SQRT((9 * Table1[[#This Row],[V_{fall}]] * $P$11^3*Table1[[#This Row],[Korrekturstherm]]^3)/(2*($Q$14-$P$15)*$P$7))* 6 * PI() * $P$9 / $P$29 /$P$22</f>
        <v>1.6113890583409496</v>
      </c>
      <c r="J41" s="27">
        <f>IF(Table1[[#This Row],[Q_{ges} korrigiert]]&lt;$P$20,Table1[[#This Row],[Q_{ges} korrigiert]], "")</f>
        <v>1.6113890583409496</v>
      </c>
      <c r="K41">
        <f>Table1[[#This Row],[Q_{ges} korrigiert]]/Table1[[#Totals],[if Q&gt;q]]</f>
        <v>1.020824313620281</v>
      </c>
      <c r="L41">
        <f>INT(Table1[[#This Row],[Abweichung von q]]+0.5)</f>
        <v>1</v>
      </c>
      <c r="M41">
        <f>Table1[[#This Row],[Q_{ges} korrigiert]]/Table1[[#This Row],[Anzahl Ladungen n]]</f>
        <v>1.6113890583409496</v>
      </c>
      <c r="O41" t="s">
        <v>107</v>
      </c>
      <c r="P41" s="68">
        <f>Table1[[#Totals],[if Q&gt;q]]</f>
        <v>1.5785175145625918</v>
      </c>
      <c r="Q41" t="s">
        <v>115</v>
      </c>
    </row>
    <row r="42" spans="1:18">
      <c r="A42">
        <v>43</v>
      </c>
      <c r="B42" s="3">
        <v>13.44</v>
      </c>
      <c r="C42" s="3">
        <v>12.842000000000001</v>
      </c>
      <c r="D42">
        <f>$P$5/Table1[[#This Row],[Fallzeit '[s']]]</f>
        <v>3.7202380952380956E-5</v>
      </c>
      <c r="E42">
        <f>$P$5/Table1[[#This Row],[Steigzeit '[s']]]</f>
        <v>3.8934745366765302E-5</v>
      </c>
      <c r="F42">
        <f>SQRT((9 * $P$11)/(2 * ($Q$14-$P$15) * $P$7) * Table1[[#This Row],[V_{fall}]] )</f>
        <v>5.9594911148611903E-7</v>
      </c>
      <c r="G42" s="65">
        <f>(Table1[[#This Row],[V_{fall}]]+Table1[[#This Row],[V_{steig}]])*SQRT((9*Table1[[#This Row],[V_{fall}]]*$P$11^3)/(2*($Q$14-$P$15)*$P$7))*(6*3.141*$P$9)/$P$29</f>
        <v>1.8573111472973629E-19</v>
      </c>
      <c r="H42" s="27">
        <f>1/(1+($P$18/(Table1[[#This Row],[Radius]]*$P$28)))</f>
        <v>0.88524741169915644</v>
      </c>
      <c r="I42" s="3">
        <f>(Table1[[#This Row],[V_{fall}]]+Table1[[#This Row],[V_{steig}]])*SQRT((9 * Table1[[#This Row],[V_{fall}]] * $P$11^3*Table1[[#This Row],[Korrekturstherm]]^3)/(2*($Q$14-$P$15)*$P$7))* 6 * PI() * $P$9 / $P$29 /$P$22</f>
        <v>1.5472610752991776</v>
      </c>
      <c r="J42" s="27">
        <f>IF(Table1[[#This Row],[Q_{ges} korrigiert]]&lt;$P$20,Table1[[#This Row],[Q_{ges} korrigiert]], "")</f>
        <v>1.5472610752991776</v>
      </c>
      <c r="K42">
        <f>Table1[[#This Row],[Q_{ges} korrigiert]]/Table1[[#Totals],[if Q&gt;q]]</f>
        <v>0.98019886445664461</v>
      </c>
      <c r="L42">
        <f>INT(Table1[[#This Row],[Abweichung von q]]+0.5)</f>
        <v>1</v>
      </c>
      <c r="M42">
        <f>Table1[[#This Row],[Q_{ges} korrigiert]]/Table1[[#This Row],[Anzahl Ladungen n]]</f>
        <v>1.5472610752991776</v>
      </c>
      <c r="O42" t="s">
        <v>110</v>
      </c>
      <c r="P42" s="69">
        <f>COUNTIF(Table1[Anzahl Ladungen n],"&lt;6")</f>
        <v>60</v>
      </c>
    </row>
    <row r="43" spans="1:18">
      <c r="A43">
        <v>44</v>
      </c>
      <c r="B43" s="3">
        <v>14.279</v>
      </c>
      <c r="C43" s="3">
        <v>14.413</v>
      </c>
      <c r="D43">
        <f>$P$5/Table1[[#This Row],[Fallzeit '[s']]]</f>
        <v>3.5016457735135512E-5</v>
      </c>
      <c r="E43">
        <f>$P$5/Table1[[#This Row],[Steigzeit '[s']]]</f>
        <v>3.4690904044959412E-5</v>
      </c>
      <c r="F43">
        <f>SQRT((9 * $P$11)/(2 * ($Q$14-$P$15) * $P$7) * Table1[[#This Row],[V_{fall}]] )</f>
        <v>5.7817580558185683E-7</v>
      </c>
      <c r="G43" s="65">
        <f>(Table1[[#This Row],[V_{fall}]]+Table1[[#This Row],[V_{steig}]])*SQRT((9*Table1[[#This Row],[V_{fall}]]*$P$11^3)/(2*($Q$14-$P$15)*$P$7))*(6*3.141*$P$9)/$P$29</f>
        <v>1.6497478389587352E-19</v>
      </c>
      <c r="H43" s="27">
        <f>1/(1+($P$18/(Table1[[#This Row],[Radius]]*$P$28)))</f>
        <v>0.882135651182821</v>
      </c>
      <c r="I43" s="3">
        <f>(Table1[[#This Row],[V_{fall}]]+Table1[[#This Row],[V_{steig}]])*SQRT((9 * Table1[[#This Row],[V_{fall}]] * $P$11^3*Table1[[#This Row],[Korrekturstherm]]^3)/(2*($Q$14-$P$15)*$P$7))* 6 * PI() * $P$9 / $P$29 /$P$22</f>
        <v>1.3671071852035903</v>
      </c>
      <c r="J43" s="27">
        <f>IF(Table1[[#This Row],[Q_{ges} korrigiert]]&lt;$P$20,Table1[[#This Row],[Q_{ges} korrigiert]], "")</f>
        <v>1.3671071852035903</v>
      </c>
      <c r="K43">
        <f>Table1[[#This Row],[Q_{ges} korrigiert]]/Table1[[#Totals],[if Q&gt;q]]</f>
        <v>0.8660703302886168</v>
      </c>
      <c r="L43">
        <f>INT(Table1[[#This Row],[Abweichung von q]]+0.5)</f>
        <v>1</v>
      </c>
      <c r="M43">
        <f>Table1[[#This Row],[Q_{ges} korrigiert]]/Table1[[#This Row],[Anzahl Ladungen n]]</f>
        <v>1.3671071852035903</v>
      </c>
      <c r="O43" t="s">
        <v>111</v>
      </c>
      <c r="P43" s="68">
        <f>Table1[[#Totals],[Q/n]]</f>
        <v>1.5674657735215582</v>
      </c>
    </row>
    <row r="44" spans="1:18">
      <c r="A44">
        <v>45</v>
      </c>
      <c r="B44" s="66">
        <v>13.651</v>
      </c>
      <c r="C44" s="66">
        <v>13.007999999999999</v>
      </c>
      <c r="D44">
        <f>$P$5/Table1[[#This Row],[Fallzeit '[s']]]</f>
        <v>3.6627353307450008E-5</v>
      </c>
      <c r="E44">
        <f>$P$5/Table1[[#This Row],[Steigzeit '[s']]]</f>
        <v>3.843788437884379E-5</v>
      </c>
      <c r="F44">
        <f>SQRT((9 * $P$11)/(2 * ($Q$14-$P$15) * $P$7) * Table1[[#This Row],[V_{fall}]] )</f>
        <v>5.9132545909830969E-7</v>
      </c>
      <c r="G44" s="65">
        <f>(Table1[[#This Row],[V_{fall}]]+Table1[[#This Row],[V_{steig}]])*SQRT((9*Table1[[#This Row],[V_{fall}]]*$P$11^3)/(2*($Q$14-$P$15)*$P$7))*(6*3.141*$P$9)/$P$29</f>
        <v>1.8169561632017401E-19</v>
      </c>
      <c r="H44" s="27">
        <f>1/(1+($P$18/(Table1[[#This Row],[Radius]]*$P$28)))</f>
        <v>0.8844538215815545</v>
      </c>
      <c r="I44" s="3">
        <f>(Table1[[#This Row],[V_{fall}]]+Table1[[#This Row],[V_{steig}]])*SQRT((9 * Table1[[#This Row],[V_{fall}]] * $P$11^3*Table1[[#This Row],[Korrekturstherm]]^3)/(2*($Q$14-$P$15)*$P$7))* 6 * PI() * $P$9 / $P$29 /$P$22</f>
        <v>1.511607819729063</v>
      </c>
      <c r="J44" s="27">
        <f>IF(Table1[[#This Row],[Q_{ges} korrigiert]]&lt;$P$20,Table1[[#This Row],[Q_{ges} korrigiert]], "")</f>
        <v>1.511607819729063</v>
      </c>
      <c r="K44">
        <f>Table1[[#This Row],[Q_{ges} korrigiert]]/Table1[[#Totals],[if Q&gt;q]]</f>
        <v>0.95761232028390286</v>
      </c>
      <c r="L44">
        <f>INT(Table1[[#This Row],[Abweichung von q]]+0.5)</f>
        <v>1</v>
      </c>
      <c r="M44">
        <f>Table1[[#This Row],[Q_{ges} korrigiert]]/Table1[[#This Row],[Anzahl Ladungen n]]</f>
        <v>1.511607819729063</v>
      </c>
      <c r="O44" t="s">
        <v>117</v>
      </c>
      <c r="P44" s="72">
        <f>Table1[[#Totals],[Korrekturstherm]]</f>
        <v>0.91013129538316373</v>
      </c>
      <c r="Q44" s="27">
        <f>P44*0.02</f>
        <v>1.8202625907663274E-2</v>
      </c>
    </row>
    <row r="45" spans="1:18">
      <c r="A45">
        <v>46</v>
      </c>
      <c r="B45" s="3">
        <v>9.2569999999999997</v>
      </c>
      <c r="C45" s="3">
        <v>2.585</v>
      </c>
      <c r="D45">
        <f>$P$5/Table1[[#This Row],[Fallzeit '[s']]]</f>
        <v>5.4013179215728642E-5</v>
      </c>
      <c r="E45">
        <f>$P$5/Table1[[#This Row],[Steigzeit '[s']]]</f>
        <v>1.9342359767891682E-4</v>
      </c>
      <c r="F45">
        <f>SQRT((9 * $P$11)/(2 * ($Q$14-$P$15) * $P$7) * Table1[[#This Row],[V_{fall}]] )</f>
        <v>7.1808140245337961E-7</v>
      </c>
      <c r="G45" s="65">
        <f>(Table1[[#This Row],[V_{fall}]]+Table1[[#This Row],[V_{steig}]])*SQRT((9*Table1[[#This Row],[V_{fall}]]*$P$11^3)/(2*($Q$14-$P$15)*$P$7))*(6*3.141*$P$9)/$P$29</f>
        <v>7.2730560875432902E-19</v>
      </c>
      <c r="H45" s="27">
        <f>1/(1+($P$18/(Table1[[#This Row],[Radius]]*$P$28)))</f>
        <v>0.90286895886423157</v>
      </c>
      <c r="I45" s="3">
        <f>(Table1[[#This Row],[V_{fall}]]+Table1[[#This Row],[V_{steig}]])*SQRT((9 * Table1[[#This Row],[V_{fall}]] * $P$11^3*Table1[[#This Row],[Korrekturstherm]]^3)/(2*($Q$14-$P$15)*$P$7))* 6 * PI() * $P$9 / $P$29 /$P$22</f>
        <v>6.2407380818527463</v>
      </c>
      <c r="J45" s="27" t="str">
        <f>IF(Table1[[#This Row],[Q_{ges} korrigiert]]&lt;$P$20,Table1[[#This Row],[Q_{ges} korrigiert]], "")</f>
        <v/>
      </c>
      <c r="K45">
        <f>Table1[[#This Row],[Q_{ges} korrigiert]]/Table1[[#Totals],[if Q&gt;q]]</f>
        <v>3.9535437676673855</v>
      </c>
      <c r="L45">
        <f>INT(Table1[[#This Row],[Abweichung von q]]+0.5)</f>
        <v>4</v>
      </c>
      <c r="M45">
        <f>Table1[[#This Row],[Q_{ges} korrigiert]]/Table1[[#This Row],[Anzahl Ladungen n]]</f>
        <v>1.5601845204631866</v>
      </c>
    </row>
    <row r="46" spans="1:18">
      <c r="A46">
        <v>47</v>
      </c>
      <c r="B46" s="3">
        <v>9.9160000000000004</v>
      </c>
      <c r="C46" s="3">
        <v>2.6739999999999999</v>
      </c>
      <c r="D46">
        <f>$P$5/Table1[[#This Row],[Fallzeit '[s']]]</f>
        <v>5.0423557886244452E-5</v>
      </c>
      <c r="E46">
        <f>$P$5/Table1[[#This Row],[Steigzeit '[s']]]</f>
        <v>1.8698578908002991E-4</v>
      </c>
      <c r="F46">
        <f>SQRT((9 * $P$11)/(2 * ($Q$14-$P$15) * $P$7) * Table1[[#This Row],[V_{fall}]] )</f>
        <v>6.938099949081743E-7</v>
      </c>
      <c r="G46" s="65">
        <f>(Table1[[#This Row],[V_{fall}]]+Table1[[#This Row],[V_{steig}]])*SQRT((9*Table1[[#This Row],[V_{fall}]]*$P$11^3)/(2*($Q$14-$P$15)*$P$7))*(6*3.141*$P$9)/$P$29</f>
        <v>6.7424443877821574E-19</v>
      </c>
      <c r="H46" s="27">
        <f>1/(1+($P$18/(Table1[[#This Row],[Radius]]*$P$28)))</f>
        <v>0.89981147634604219</v>
      </c>
      <c r="I46" s="3">
        <f>(Table1[[#This Row],[V_{fall}]]+Table1[[#This Row],[V_{steig}]])*SQRT((9 * Table1[[#This Row],[V_{fall}]] * $P$11^3*Table1[[#This Row],[Korrekturstherm]]^3)/(2*($Q$14-$P$15)*$P$7))* 6 * PI() * $P$9 / $P$29 /$P$22</f>
        <v>5.7560770835108928</v>
      </c>
      <c r="J46" s="27" t="str">
        <f>IF(Table1[[#This Row],[Q_{ges} korrigiert]]&lt;$P$20,Table1[[#This Row],[Q_{ges} korrigiert]], "")</f>
        <v/>
      </c>
      <c r="K46">
        <f>Table1[[#This Row],[Q_{ges} korrigiert]]/Table1[[#Totals],[if Q&gt;q]]</f>
        <v>3.6465082144532968</v>
      </c>
      <c r="L46">
        <f>INT(Table1[[#This Row],[Abweichung von q]]+0.5)</f>
        <v>4</v>
      </c>
      <c r="M46">
        <f>Table1[[#This Row],[Q_{ges} korrigiert]]/Table1[[#This Row],[Anzahl Ladungen n]]</f>
        <v>1.4390192708777232</v>
      </c>
      <c r="O46" t="s">
        <v>112</v>
      </c>
      <c r="P46">
        <v>1.6021700000000001</v>
      </c>
    </row>
    <row r="47" spans="1:18">
      <c r="A47">
        <v>48</v>
      </c>
      <c r="B47" s="3">
        <v>6.35</v>
      </c>
      <c r="C47" s="3">
        <v>3.62</v>
      </c>
      <c r="D47">
        <f>$P$5/Table1[[#This Row],[Fallzeit '[s']]]</f>
        <v>7.874015748031497E-5</v>
      </c>
      <c r="E47">
        <f>$P$5/Table1[[#This Row],[Steigzeit '[s']]]</f>
        <v>1.3812154696132598E-4</v>
      </c>
      <c r="F47">
        <f>SQRT((9 * $P$11)/(2 * ($Q$14-$P$15) * $P$7) * Table1[[#This Row],[V_{fall}]] )</f>
        <v>8.6700569128592859E-7</v>
      </c>
      <c r="G47" s="65">
        <f>(Table1[[#This Row],[V_{fall}]]+Table1[[#This Row],[V_{steig}]])*SQRT((9*Table1[[#This Row],[V_{fall}]]*$P$11^3)/(2*($Q$14-$P$15)*$P$7))*(6*3.141*$P$9)/$P$29</f>
        <v>7.6963325150554429E-19</v>
      </c>
      <c r="H47" s="27">
        <f>1/(1+($P$18/(Table1[[#This Row],[Radius]]*$P$28)))</f>
        <v>0.91818805957103244</v>
      </c>
      <c r="I47" s="3">
        <f>(Table1[[#This Row],[V_{fall}]]+Table1[[#This Row],[V_{steig}]])*SQRT((9 * Table1[[#This Row],[V_{fall}]] * $P$11^3*Table1[[#This Row],[Korrekturstherm]]^3)/(2*($Q$14-$P$15)*$P$7))* 6 * PI() * $P$9 / $P$29 /$P$22</f>
        <v>6.7727215445028408</v>
      </c>
      <c r="J47" s="27" t="str">
        <f>IF(Table1[[#This Row],[Q_{ges} korrigiert]]&lt;$P$20,Table1[[#This Row],[Q_{ges} korrigiert]], "")</f>
        <v/>
      </c>
      <c r="K47">
        <f>Table1[[#This Row],[Q_{ges} korrigiert]]/Table1[[#Totals],[if Q&gt;q]]</f>
        <v>4.2905583764647464</v>
      </c>
      <c r="L47">
        <f>INT(Table1[[#This Row],[Abweichung von q]]+0.5)</f>
        <v>4</v>
      </c>
      <c r="M47">
        <f>Table1[[#This Row],[Q_{ges} korrigiert]]/Table1[[#This Row],[Anzahl Ladungen n]]</f>
        <v>1.6931803861257102</v>
      </c>
      <c r="O47" t="s">
        <v>113</v>
      </c>
      <c r="P47">
        <v>1.5920000000000001</v>
      </c>
    </row>
    <row r="48" spans="1:18">
      <c r="A48">
        <v>49</v>
      </c>
      <c r="B48" s="3">
        <v>7.6340000000000003</v>
      </c>
      <c r="C48" s="3">
        <v>2.343</v>
      </c>
      <c r="D48">
        <f>$P$5/Table1[[#This Row],[Fallzeit '[s']]]</f>
        <v>6.5496463190987679E-5</v>
      </c>
      <c r="E48">
        <f>$P$5/Table1[[#This Row],[Steigzeit '[s']]]</f>
        <v>2.1340162185232609E-4</v>
      </c>
      <c r="F48">
        <f>SQRT((9 * $P$11)/(2 * ($Q$14-$P$15) * $P$7) * Table1[[#This Row],[V_{fall}]] )</f>
        <v>7.9073822440288017E-7</v>
      </c>
      <c r="G48" s="65">
        <f>(Table1[[#This Row],[V_{fall}]]+Table1[[#This Row],[V_{steig}]])*SQRT((9*Table1[[#This Row],[V_{fall}]]*$P$11^3)/(2*($Q$14-$P$15)*$P$7))*(6*3.141*$P$9)/$P$29</f>
        <v>9.027287482700562E-19</v>
      </c>
      <c r="H48" s="27">
        <f>1/(1+($P$18/(Table1[[#This Row],[Radius]]*$P$28)))</f>
        <v>0.91099950747248304</v>
      </c>
      <c r="I48" s="3">
        <f>(Table1[[#This Row],[V_{fall}]]+Table1[[#This Row],[V_{steig}]])*SQRT((9 * Table1[[#This Row],[V_{fall}]] * $P$11^3*Table1[[#This Row],[Korrekturstherm]]^3)/(2*($Q$14-$P$15)*$P$7))* 6 * PI() * $P$9 / $P$29 /$P$22</f>
        <v>7.8508453550073103</v>
      </c>
      <c r="J48" s="27" t="str">
        <f>IF(Table1[[#This Row],[Q_{ges} korrigiert]]&lt;$P$20,Table1[[#This Row],[Q_{ges} korrigiert]], "")</f>
        <v/>
      </c>
      <c r="K48">
        <f>Table1[[#This Row],[Q_{ges} korrigiert]]/Table1[[#Totals],[if Q&gt;q]]</f>
        <v>4.9735560629384494</v>
      </c>
      <c r="L48">
        <f>INT(Table1[[#This Row],[Abweichung von q]]+0.5)</f>
        <v>5</v>
      </c>
      <c r="M48">
        <f>Table1[[#This Row],[Q_{ges} korrigiert]]/Table1[[#This Row],[Anzahl Ladungen n]]</f>
        <v>1.570169071001462</v>
      </c>
    </row>
    <row r="49" spans="1:16">
      <c r="A49">
        <v>50</v>
      </c>
      <c r="B49" s="66">
        <v>8.5350000000000001</v>
      </c>
      <c r="C49" s="66">
        <v>2.3239999999999998</v>
      </c>
      <c r="D49">
        <f>$P$5/Table1[[#This Row],[Fallzeit '[s']]]</f>
        <v>5.8582308142940833E-5</v>
      </c>
      <c r="E49">
        <f>$P$5/Table1[[#This Row],[Steigzeit '[s']]]</f>
        <v>2.1514629948364889E-4</v>
      </c>
      <c r="F49">
        <f>SQRT((9 * $P$11)/(2 * ($Q$14-$P$15) * $P$7) * Table1[[#This Row],[V_{fall}]] )</f>
        <v>7.4783717173521762E-7</v>
      </c>
      <c r="G49" s="65">
        <f>(Table1[[#This Row],[V_{fall}]]+Table1[[#This Row],[V_{steig}]])*SQRT((9*Table1[[#This Row],[V_{fall}]]*$P$11^3)/(2*($Q$14-$P$15)*$P$7))*(6*3.141*$P$9)/$P$29</f>
        <v>8.3792711497777328E-19</v>
      </c>
      <c r="H49" s="27">
        <f>1/(1+($P$18/(Table1[[#This Row],[Radius]]*$P$28)))</f>
        <v>0.90637186576289264</v>
      </c>
      <c r="I49" s="3">
        <f>(Table1[[#This Row],[V_{fall}]]+Table1[[#This Row],[V_{steig}]])*SQRT((9 * Table1[[#This Row],[V_{fall}]] * $P$11^3*Table1[[#This Row],[Korrekturstherm]]^3)/(2*($Q$14-$P$15)*$P$7))* 6 * PI() * $P$9 / $P$29 /$P$22</f>
        <v>7.2318232811208221</v>
      </c>
      <c r="J49" s="27" t="str">
        <f>IF(Table1[[#This Row],[Q_{ges} korrigiert]]&lt;$P$20,Table1[[#This Row],[Q_{ges} korrigiert]], "")</f>
        <v/>
      </c>
      <c r="K49">
        <f>Table1[[#This Row],[Q_{ges} korrigiert]]/Table1[[#Totals],[if Q&gt;q]]</f>
        <v>4.5814019891472437</v>
      </c>
      <c r="L49">
        <f>INT(Table1[[#This Row],[Abweichung von q]]+0.5)</f>
        <v>5</v>
      </c>
      <c r="M49">
        <f>Table1[[#This Row],[Q_{ges} korrigiert]]/Table1[[#This Row],[Anzahl Ladungen n]]</f>
        <v>1.4463646562241643</v>
      </c>
    </row>
    <row r="50" spans="1:16">
      <c r="A50">
        <v>51</v>
      </c>
      <c r="B50" s="3">
        <v>9.8840000000000003</v>
      </c>
      <c r="C50" s="3">
        <v>3.347</v>
      </c>
      <c r="D50">
        <f>$P$5/Table1[[#This Row],[Fallzeit '[s']]]</f>
        <v>5.0586806960744638E-5</v>
      </c>
      <c r="E50">
        <f>$P$5/Table1[[#This Row],[Steigzeit '[s']]]</f>
        <v>1.4938751120406333E-4</v>
      </c>
      <c r="F50">
        <f>SQRT((9 * $P$11)/(2 * ($Q$14-$P$15) * $P$7) * Table1[[#This Row],[V_{fall}]] )</f>
        <v>6.9493221156539933E-7</v>
      </c>
      <c r="G50" s="65">
        <f>(Table1[[#This Row],[V_{fall}]]+Table1[[#This Row],[V_{steig}]])*SQRT((9*Table1[[#This Row],[V_{fall}]]*$P$11^3)/(2*($Q$14-$P$15)*$P$7))*(6*3.141*$P$9)/$P$29</f>
        <v>5.6884726583644339E-19</v>
      </c>
      <c r="H50" s="27">
        <f>1/(1+($P$18/(Table1[[#This Row],[Radius]]*$P$28)))</f>
        <v>0.89995708059325508</v>
      </c>
      <c r="I50" s="3">
        <f>(Table1[[#This Row],[V_{fall}]]+Table1[[#This Row],[V_{steig}]])*SQRT((9 * Table1[[#This Row],[V_{fall}]] * $P$11^3*Table1[[#This Row],[Korrekturstherm]]^3)/(2*($Q$14-$P$15)*$P$7))* 6 * PI() * $P$9 / $P$29 /$P$22</f>
        <v>4.8574720305813264</v>
      </c>
      <c r="J50" s="27" t="str">
        <f>IF(Table1[[#This Row],[Q_{ges} korrigiert]]&lt;$P$20,Table1[[#This Row],[Q_{ges} korrigiert]], "")</f>
        <v/>
      </c>
      <c r="K50">
        <f>Table1[[#This Row],[Q_{ges} korrigiert]]/Table1[[#Totals],[if Q&gt;q]]</f>
        <v>3.0772367020123528</v>
      </c>
      <c r="L50">
        <f>INT(Table1[[#This Row],[Abweichung von q]]+0.5)</f>
        <v>3</v>
      </c>
      <c r="M50">
        <f>Table1[[#This Row],[Q_{ges} korrigiert]]/Table1[[#This Row],[Anzahl Ladungen n]]</f>
        <v>1.6191573435271087</v>
      </c>
      <c r="O50" t="s">
        <v>114</v>
      </c>
      <c r="P50" t="e">
        <f>(ABS(P46-P41)/SQRT(R41^2))</f>
        <v>#DIV/0!</v>
      </c>
    </row>
    <row r="51" spans="1:16">
      <c r="A51">
        <v>52</v>
      </c>
      <c r="B51" s="3">
        <v>9.6549999999999994</v>
      </c>
      <c r="C51" s="3">
        <v>3.633</v>
      </c>
      <c r="D51">
        <f>$P$5/Table1[[#This Row],[Fallzeit '[s']]]</f>
        <v>5.1786639047125847E-5</v>
      </c>
      <c r="E51">
        <f>$P$5/Table1[[#This Row],[Steigzeit '[s']]]</f>
        <v>1.3762730525736306E-4</v>
      </c>
      <c r="F51">
        <f>SQRT((9 * $P$11)/(2 * ($Q$14-$P$15) * $P$7) * Table1[[#This Row],[V_{fall}]] )</f>
        <v>7.0312521390605915E-7</v>
      </c>
      <c r="G51" s="65">
        <f>(Table1[[#This Row],[V_{fall}]]+Table1[[#This Row],[V_{steig}]])*SQRT((9*Table1[[#This Row],[V_{fall}]]*$P$11^3)/(2*($Q$14-$P$15)*$P$7))*(6*3.141*$P$9)/$P$29</f>
        <v>5.45159553813485E-19</v>
      </c>
      <c r="H51" s="27">
        <f>1/(1+($P$18/(Table1[[#This Row],[Radius]]*$P$28)))</f>
        <v>0.90100740903501153</v>
      </c>
      <c r="I51" s="3">
        <f>(Table1[[#This Row],[V_{fall}]]+Table1[[#This Row],[V_{steig}]])*SQRT((9 * Table1[[#This Row],[V_{fall}]] * $P$11^3*Table1[[#This Row],[Korrekturstherm]]^3)/(2*($Q$14-$P$15)*$P$7))* 6 * PI() * $P$9 / $P$29 /$P$22</f>
        <v>4.6633510212922262</v>
      </c>
      <c r="J51" s="27" t="str">
        <f>IF(Table1[[#This Row],[Q_{ges} korrigiert]]&lt;$P$20,Table1[[#This Row],[Q_{ges} korrigiert]], "")</f>
        <v/>
      </c>
      <c r="K51">
        <f>Table1[[#This Row],[Q_{ges} korrigiert]]/Table1[[#Totals],[if Q&gt;q]]</f>
        <v>2.9542599168337031</v>
      </c>
      <c r="L51">
        <f>INT(Table1[[#This Row],[Abweichung von q]]+0.5)</f>
        <v>3</v>
      </c>
      <c r="M51">
        <f>Table1[[#This Row],[Q_{ges} korrigiert]]/Table1[[#This Row],[Anzahl Ladungen n]]</f>
        <v>1.5544503404307422</v>
      </c>
    </row>
    <row r="52" spans="1:16">
      <c r="A52">
        <v>53</v>
      </c>
      <c r="B52" s="3">
        <v>9.4160000000000004</v>
      </c>
      <c r="C52" s="3">
        <v>3.6059999999999999</v>
      </c>
      <c r="D52">
        <f>$P$5/Table1[[#This Row],[Fallzeit '[s']]]</f>
        <v>5.3101104502973663E-5</v>
      </c>
      <c r="E52">
        <f>$P$5/Table1[[#This Row],[Steigzeit '[s']]]</f>
        <v>1.3865779256794233E-4</v>
      </c>
      <c r="F52">
        <f>SQRT((9 * $P$11)/(2 * ($Q$14-$P$15) * $P$7) * Table1[[#This Row],[V_{fall}]] )</f>
        <v>7.1199277406541039E-7</v>
      </c>
      <c r="G52" s="65">
        <f>(Table1[[#This Row],[V_{fall}]]+Table1[[#This Row],[V_{steig}]])*SQRT((9*Table1[[#This Row],[V_{fall}]]*$P$11^3)/(2*($Q$14-$P$15)*$P$7))*(6*3.141*$P$9)/$P$29</f>
        <v>5.5886912424247968E-19</v>
      </c>
      <c r="H52" s="27">
        <f>1/(1+($P$18/(Table1[[#This Row],[Radius]]*$P$28)))</f>
        <v>0.90211964103809261</v>
      </c>
      <c r="I52" s="3">
        <f>(Table1[[#This Row],[V_{fall}]]+Table1[[#This Row],[V_{steig}]])*SQRT((9 * Table1[[#This Row],[V_{fall}]] * $P$11^3*Table1[[#This Row],[Korrekturstherm]]^3)/(2*($Q$14-$P$15)*$P$7))* 6 * PI() * $P$9 / $P$29 /$P$22</f>
        <v>4.7894788613125234</v>
      </c>
      <c r="J52" s="27" t="str">
        <f>IF(Table1[[#This Row],[Q_{ges} korrigiert]]&lt;$P$20,Table1[[#This Row],[Q_{ges} korrigiert]], "")</f>
        <v/>
      </c>
      <c r="K52">
        <f>Table1[[#This Row],[Q_{ges} korrigiert]]/Table1[[#Totals],[if Q&gt;q]]</f>
        <v>3.0341626349579598</v>
      </c>
      <c r="L52">
        <f>INT(Table1[[#This Row],[Abweichung von q]]+0.5)</f>
        <v>3</v>
      </c>
      <c r="M52">
        <f>Table1[[#This Row],[Q_{ges} korrigiert]]/Table1[[#This Row],[Anzahl Ladungen n]]</f>
        <v>1.5964929537708412</v>
      </c>
    </row>
    <row r="53" spans="1:16">
      <c r="A53">
        <v>54</v>
      </c>
      <c r="B53" s="3">
        <v>9.5869999999999997</v>
      </c>
      <c r="C53" s="3">
        <v>3.5</v>
      </c>
      <c r="D53">
        <f>$P$5/Table1[[#This Row],[Fallzeit '[s']]]</f>
        <v>5.215395848544905E-5</v>
      </c>
      <c r="E53">
        <f>$P$5/Table1[[#This Row],[Steigzeit '[s']]]</f>
        <v>1.4285714285714287E-4</v>
      </c>
      <c r="F53">
        <f>SQRT((9 * $P$11)/(2 * ($Q$14-$P$15) * $P$7) * Table1[[#This Row],[V_{fall}]] )</f>
        <v>7.0561441965834372E-7</v>
      </c>
      <c r="G53" s="65">
        <f>(Table1[[#This Row],[V_{fall}]]+Table1[[#This Row],[V_{steig}]])*SQRT((9*Table1[[#This Row],[V_{fall}]]*$P$11^3)/(2*($Q$14-$P$15)*$P$7))*(6*3.141*$P$9)/$P$29</f>
        <v>5.6325595244648243E-19</v>
      </c>
      <c r="H53" s="27">
        <f>1/(1+($P$18/(Table1[[#This Row],[Radius]]*$P$28)))</f>
        <v>0.90132216653842445</v>
      </c>
      <c r="I53" s="3">
        <f>(Table1[[#This Row],[V_{fall}]]+Table1[[#This Row],[V_{steig}]])*SQRT((9 * Table1[[#This Row],[V_{fall}]] * $P$11^3*Table1[[#This Row],[Korrekturstherm]]^3)/(2*($Q$14-$P$15)*$P$7))* 6 * PI() * $P$9 / $P$29 /$P$22</f>
        <v>4.8206744562605532</v>
      </c>
      <c r="J53" s="27" t="str">
        <f>IF(Table1[[#This Row],[Q_{ges} korrigiert]]&lt;$P$20,Table1[[#This Row],[Q_{ges} korrigiert]], "")</f>
        <v/>
      </c>
      <c r="K53">
        <f>Table1[[#This Row],[Q_{ges} korrigiert]]/Table1[[#Totals],[if Q&gt;q]]</f>
        <v>3.0539252252746558</v>
      </c>
      <c r="L53">
        <f>INT(Table1[[#This Row],[Abweichung von q]]+0.5)</f>
        <v>3</v>
      </c>
      <c r="M53">
        <f>Table1[[#This Row],[Q_{ges} korrigiert]]/Table1[[#This Row],[Anzahl Ladungen n]]</f>
        <v>1.6068914854201843</v>
      </c>
    </row>
    <row r="54" spans="1:16">
      <c r="A54">
        <v>55</v>
      </c>
      <c r="B54" s="66">
        <v>9.1300000000000008</v>
      </c>
      <c r="C54" s="66">
        <v>3.8330000000000002</v>
      </c>
      <c r="D54">
        <f>$P$5/Table1[[#This Row],[Fallzeit '[s']]]</f>
        <v>5.4764512595837893E-5</v>
      </c>
      <c r="E54">
        <f>$P$5/Table1[[#This Row],[Steigzeit '[s']]]</f>
        <v>1.3044612575006522E-4</v>
      </c>
      <c r="F54">
        <f>SQRT((9 * $P$11)/(2 * ($Q$14-$P$15) * $P$7) * Table1[[#This Row],[V_{fall}]] )</f>
        <v>7.230584772257716E-7</v>
      </c>
      <c r="G54" s="65">
        <f>(Table1[[#This Row],[V_{fall}]]+Table1[[#This Row],[V_{steig}]])*SQRT((9*Table1[[#This Row],[V_{fall}]]*$P$11^3)/(2*($Q$14-$P$15)*$P$7))*(6*3.141*$P$9)/$P$29</f>
        <v>5.4817390591604007E-19</v>
      </c>
      <c r="H54" s="27">
        <f>1/(1+($P$18/(Table1[[#This Row],[Radius]]*$P$28)))</f>
        <v>0.90347301036877714</v>
      </c>
      <c r="I54" s="3">
        <f>(Table1[[#This Row],[V_{fall}]]+Table1[[#This Row],[V_{steig}]])*SQRT((9 * Table1[[#This Row],[V_{fall}]] * $P$11^3*Table1[[#This Row],[Korrekturstherm]]^3)/(2*($Q$14-$P$15)*$P$7))* 6 * PI() * $P$9 / $P$29 /$P$22</f>
        <v>4.7083969506403083</v>
      </c>
      <c r="J54" s="27" t="str">
        <f>IF(Table1[[#This Row],[Q_{ges} korrigiert]]&lt;$P$20,Table1[[#This Row],[Q_{ges} korrigiert]], "")</f>
        <v/>
      </c>
      <c r="K54">
        <f>Table1[[#This Row],[Q_{ges} korrigiert]]/Table1[[#Totals],[if Q&gt;q]]</f>
        <v>2.9827967743170767</v>
      </c>
      <c r="L54">
        <f>INT(Table1[[#This Row],[Abweichung von q]]+0.5)</f>
        <v>3</v>
      </c>
      <c r="M54">
        <f>Table1[[#This Row],[Q_{ges} korrigiert]]/Table1[[#This Row],[Anzahl Ladungen n]]</f>
        <v>1.5694656502134361</v>
      </c>
    </row>
    <row r="55" spans="1:16">
      <c r="A55">
        <v>56</v>
      </c>
      <c r="B55" s="3">
        <v>11.201000000000001</v>
      </c>
      <c r="C55" s="3">
        <v>5.9429999999999996</v>
      </c>
      <c r="D55">
        <f>$P$5/Table1[[#This Row],[Fallzeit '[s']]]</f>
        <v>4.4638871529327739E-5</v>
      </c>
      <c r="E55">
        <f>$P$5/Table1[[#This Row],[Steigzeit '[s']]]</f>
        <v>8.4132592966515231E-5</v>
      </c>
      <c r="F55">
        <f>SQRT((9 * $P$11)/(2 * ($Q$14-$P$15) * $P$7) * Table1[[#This Row],[V_{fall}]] )</f>
        <v>6.5280040074766507E-7</v>
      </c>
      <c r="G55" s="65">
        <f>(Table1[[#This Row],[V_{fall}]]+Table1[[#This Row],[V_{steig}]])*SQRT((9*Table1[[#This Row],[V_{fall}]]*$P$11^3)/(2*($Q$14-$P$15)*$P$7))*(6*3.141*$P$9)/$P$29</f>
        <v>3.4409554902512691E-19</v>
      </c>
      <c r="H55" s="27">
        <f>1/(1+($P$18/(Table1[[#This Row],[Radius]]*$P$28)))</f>
        <v>0.89418353316804355</v>
      </c>
      <c r="I55" s="3">
        <f>(Table1[[#This Row],[V_{fall}]]+Table1[[#This Row],[V_{steig}]])*SQRT((9 * Table1[[#This Row],[V_{fall}]] * $P$11^3*Table1[[#This Row],[Korrekturstherm]]^3)/(2*($Q$14-$P$15)*$P$7))* 6 * PI() * $P$9 / $P$29 /$P$22</f>
        <v>2.9100536316781471</v>
      </c>
      <c r="J55" s="27" t="str">
        <f>IF(Table1[[#This Row],[Q_{ges} korrigiert]]&lt;$P$20,Table1[[#This Row],[Q_{ges} korrigiert]], "")</f>
        <v/>
      </c>
      <c r="K55">
        <f>Table1[[#This Row],[Q_{ges} korrigiert]]/Table1[[#Totals],[if Q&gt;q]]</f>
        <v>1.8435358523624141</v>
      </c>
      <c r="L55">
        <f>INT(Table1[[#This Row],[Abweichung von q]]+0.5)</f>
        <v>2</v>
      </c>
      <c r="M55">
        <f>Table1[[#This Row],[Q_{ges} korrigiert]]/Table1[[#This Row],[Anzahl Ladungen n]]</f>
        <v>1.4550268158390736</v>
      </c>
    </row>
    <row r="56" spans="1:16">
      <c r="A56">
        <v>57</v>
      </c>
      <c r="B56" s="3">
        <v>11.827</v>
      </c>
      <c r="C56" s="3">
        <v>5.5309999999999997</v>
      </c>
      <c r="D56">
        <f>$P$5/Table1[[#This Row],[Fallzeit '[s']]]</f>
        <v>4.2276147797412702E-5</v>
      </c>
      <c r="E56">
        <f>$P$5/Table1[[#This Row],[Steigzeit '[s']]]</f>
        <v>9.0399566082082806E-5</v>
      </c>
      <c r="F56">
        <f>SQRT((9 * $P$11)/(2 * ($Q$14-$P$15) * $P$7) * Table1[[#This Row],[V_{fall}]] )</f>
        <v>6.3528925885004561E-7</v>
      </c>
      <c r="G56" s="65">
        <f>(Table1[[#This Row],[V_{fall}]]+Table1[[#This Row],[V_{steig}]])*SQRT((9*Table1[[#This Row],[V_{fall}]]*$P$11^3)/(2*($Q$14-$P$15)*$P$7))*(6*3.141*$P$9)/$P$29</f>
        <v>3.4501815890837231E-19</v>
      </c>
      <c r="H56" s="27">
        <f>1/(1+($P$18/(Table1[[#This Row],[Radius]]*$P$28)))</f>
        <v>0.89158302631179664</v>
      </c>
      <c r="I56" s="3">
        <f>(Table1[[#This Row],[V_{fall}]]+Table1[[#This Row],[V_{steig}]])*SQRT((9 * Table1[[#This Row],[V_{fall}]] * $P$11^3*Table1[[#This Row],[Korrekturstherm]]^3)/(2*($Q$14-$P$15)*$P$7))* 6 * PI() * $P$9 / $P$29 /$P$22</f>
        <v>2.9051367319337982</v>
      </c>
      <c r="J56" s="27" t="str">
        <f>IF(Table1[[#This Row],[Q_{ges} korrigiert]]&lt;$P$20,Table1[[#This Row],[Q_{ges} korrigiert]], "")</f>
        <v/>
      </c>
      <c r="K56">
        <f>Table1[[#This Row],[Q_{ges} korrigiert]]/Table1[[#Totals],[if Q&gt;q]]</f>
        <v>1.8404209678590822</v>
      </c>
      <c r="L56">
        <f>INT(Table1[[#This Row],[Abweichung von q]]+0.5)</f>
        <v>2</v>
      </c>
      <c r="M56">
        <f>Table1[[#This Row],[Q_{ges} korrigiert]]/Table1[[#This Row],[Anzahl Ladungen n]]</f>
        <v>1.4525683659668991</v>
      </c>
    </row>
    <row r="57" spans="1:16">
      <c r="A57">
        <v>58</v>
      </c>
      <c r="B57" s="3">
        <v>10.846</v>
      </c>
      <c r="C57" s="3">
        <v>5.9850000000000003</v>
      </c>
      <c r="D57">
        <f>$P$5/Table1[[#This Row],[Fallzeit '[s']]]</f>
        <v>4.6099944680066385E-5</v>
      </c>
      <c r="E57">
        <f>$P$5/Table1[[#This Row],[Steigzeit '[s']]]</f>
        <v>8.3542188805346704E-5</v>
      </c>
      <c r="F57">
        <f>SQRT((9 * $P$11)/(2 * ($Q$14-$P$15) * $P$7) * Table1[[#This Row],[V_{fall}]] )</f>
        <v>6.6339777551243783E-7</v>
      </c>
      <c r="G57" s="65">
        <f>(Table1[[#This Row],[V_{fall}]]+Table1[[#This Row],[V_{steig}]])*SQRT((9*Table1[[#This Row],[V_{fall}]]*$P$11^3)/(2*($Q$14-$P$15)*$P$7))*(6*3.141*$P$9)/$P$29</f>
        <v>3.520458167547629E-19</v>
      </c>
      <c r="H57" s="27">
        <f>1/(1+($P$18/(Table1[[#This Row],[Radius]]*$P$28)))</f>
        <v>0.89569757870998123</v>
      </c>
      <c r="I57" s="3">
        <f>(Table1[[#This Row],[V_{fall}]]+Table1[[#This Row],[V_{steig}]])*SQRT((9 * Table1[[#This Row],[V_{fall}]] * $P$11^3*Table1[[#This Row],[Korrekturstherm]]^3)/(2*($Q$14-$P$15)*$P$7))* 6 * PI() * $P$9 / $P$29 /$P$22</f>
        <v>2.9848549047949233</v>
      </c>
      <c r="J57" s="27" t="str">
        <f>IF(Table1[[#This Row],[Q_{ges} korrigiert]]&lt;$P$20,Table1[[#This Row],[Q_{ges} korrigiert]], "")</f>
        <v/>
      </c>
      <c r="K57">
        <f>Table1[[#This Row],[Q_{ges} korrigiert]]/Table1[[#Totals],[if Q&gt;q]]</f>
        <v>1.8909228926877182</v>
      </c>
      <c r="L57">
        <f>INT(Table1[[#This Row],[Abweichung von q]]+0.5)</f>
        <v>2</v>
      </c>
      <c r="M57">
        <f>Table1[[#This Row],[Q_{ges} korrigiert]]/Table1[[#This Row],[Anzahl Ladungen n]]</f>
        <v>1.4924274523974617</v>
      </c>
    </row>
    <row r="58" spans="1:16">
      <c r="A58">
        <v>59</v>
      </c>
      <c r="B58" s="3">
        <v>10.217000000000001</v>
      </c>
      <c r="C58" s="3">
        <v>5.4859999999999998</v>
      </c>
      <c r="D58">
        <f>$P$5/Table1[[#This Row],[Fallzeit '[s']]]</f>
        <v>4.8938044435744348E-5</v>
      </c>
      <c r="E58">
        <f>$P$5/Table1[[#This Row],[Steigzeit '[s']]]</f>
        <v>9.1141086401749918E-5</v>
      </c>
      <c r="F58">
        <f>SQRT((9 * $P$11)/(2 * ($Q$14-$P$15) * $P$7) * Table1[[#This Row],[V_{fall}]] )</f>
        <v>6.8351352768308966E-7</v>
      </c>
      <c r="G58" s="65">
        <f>(Table1[[#This Row],[V_{fall}]]+Table1[[#This Row],[V_{steig}]])*SQRT((9*Table1[[#This Row],[V_{fall}]]*$P$11^3)/(2*($Q$14-$P$15)*$P$7))*(6*3.141*$P$9)/$P$29</f>
        <v>3.9192192570378703E-19</v>
      </c>
      <c r="H58" s="27">
        <f>1/(1+($P$18/(Table1[[#This Row],[Radius]]*$P$28)))</f>
        <v>0.89845548889489313</v>
      </c>
      <c r="I58" s="3">
        <f>(Table1[[#This Row],[V_{fall}]]+Table1[[#This Row],[V_{steig}]])*SQRT((9 * Table1[[#This Row],[V_{fall}]] * $P$11^3*Table1[[#This Row],[Korrekturstherm]]^3)/(2*($Q$14-$P$15)*$P$7))* 6 * PI() * $P$9 / $P$29 /$P$22</f>
        <v>3.3383075604438628</v>
      </c>
      <c r="J58" s="27" t="str">
        <f>IF(Table1[[#This Row],[Q_{ges} korrigiert]]&lt;$P$20,Table1[[#This Row],[Q_{ges} korrigiert]], "")</f>
        <v/>
      </c>
      <c r="K58">
        <f>Table1[[#This Row],[Q_{ges} korrigiert]]/Table1[[#Totals],[if Q&gt;q]]</f>
        <v>2.1148371998703541</v>
      </c>
      <c r="L58">
        <f>INT(Table1[[#This Row],[Abweichung von q]]+0.5)</f>
        <v>2</v>
      </c>
      <c r="M58">
        <f>Table1[[#This Row],[Q_{ges} korrigiert]]/Table1[[#This Row],[Anzahl Ladungen n]]</f>
        <v>1.6691537802219314</v>
      </c>
    </row>
    <row r="59" spans="1:16">
      <c r="A59">
        <v>60</v>
      </c>
      <c r="B59" s="67">
        <v>9.42</v>
      </c>
      <c r="C59" s="67">
        <v>5.6150000000000002</v>
      </c>
      <c r="D59">
        <f>$P$5/Table1[[#This Row],[Fallzeit '[s']]]</f>
        <v>5.3078556263269641E-5</v>
      </c>
      <c r="E59">
        <f>$P$5/Table1[[#This Row],[Steigzeit '[s']]]</f>
        <v>8.9047195013357083E-5</v>
      </c>
      <c r="F59">
        <f>SQRT((9 * $P$11)/(2 * ($Q$14-$P$15) * $P$7) * Table1[[#This Row],[V_{fall}]] )</f>
        <v>7.1184159182056666E-7</v>
      </c>
      <c r="G59" s="65">
        <f>(Table1[[#This Row],[V_{fall}]]+Table1[[#This Row],[V_{steig}]])*SQRT((9*Table1[[#This Row],[V_{fall}]]*$P$11^3)/(2*($Q$14-$P$15)*$P$7))*(6*3.141*$P$9)/$P$29</f>
        <v>4.1412852032792919E-19</v>
      </c>
      <c r="H59" s="27">
        <f>1/(1+($P$18/(Table1[[#This Row],[Radius]]*$P$28)))</f>
        <v>0.90210088815293854</v>
      </c>
      <c r="I59" s="3">
        <f>(Table1[[#This Row],[V_{fall}]]+Table1[[#This Row],[V_{steig}]])*SQRT((9 * Table1[[#This Row],[V_{fall}]] * $P$11^3*Table1[[#This Row],[Korrekturstherm]]^3)/(2*($Q$14-$P$15)*$P$7))* 6 * PI() * $P$9 / $P$29 /$P$22</f>
        <v>3.5489488706147934</v>
      </c>
      <c r="J59" s="27" t="str">
        <f>IF(Table1[[#This Row],[Q_{ges} korrigiert]]&lt;$P$20,Table1[[#This Row],[Q_{ges} korrigiert]], "")</f>
        <v/>
      </c>
      <c r="K59">
        <f>Table1[[#This Row],[Q_{ges} korrigiert]]/Table1[[#Totals],[if Q&gt;q]]</f>
        <v>2.2482796914662107</v>
      </c>
      <c r="L59">
        <f>INT(Table1[[#This Row],[Abweichung von q]]+0.5)</f>
        <v>2</v>
      </c>
      <c r="M59">
        <f>Table1[[#This Row],[Q_{ges} korrigiert]]/Table1[[#This Row],[Anzahl Ladungen n]]</f>
        <v>1.7744744353073967</v>
      </c>
    </row>
    <row r="60" spans="1:16">
      <c r="A60">
        <v>61</v>
      </c>
      <c r="B60" s="3">
        <v>12.805999999999999</v>
      </c>
      <c r="C60" s="3">
        <v>13.23</v>
      </c>
      <c r="D60">
        <f>$P$5/Table1[[#This Row],[Fallzeit '[s']]]</f>
        <v>3.9044198032172421E-5</v>
      </c>
      <c r="E60">
        <f>$P$5/Table1[[#This Row],[Steigzeit '[s']]]</f>
        <v>3.7792894935752078E-5</v>
      </c>
      <c r="F60">
        <f>SQRT((9 * $P$11)/(2 * ($Q$14-$P$15) * $P$7) * Table1[[#This Row],[V_{fall}]] )</f>
        <v>6.1052304586727499E-7</v>
      </c>
      <c r="G60" s="65">
        <f>(Table1[[#This Row],[V_{fall}]]+Table1[[#This Row],[V_{steig}]])*SQRT((9*Table1[[#This Row],[V_{fall}]]*$P$11^3)/(2*($Q$14-$P$15)*$P$7))*(6*3.141*$P$9)/$P$29</f>
        <v>1.9202244510724409E-19</v>
      </c>
      <c r="H60" s="27">
        <f>1/(1+($P$18/(Table1[[#This Row],[Radius]]*$P$28)))</f>
        <v>0.88767901761909906</v>
      </c>
      <c r="I60" s="3">
        <f>(Table1[[#This Row],[V_{fall}]]+Table1[[#This Row],[V_{steig}]])*SQRT((9 * Table1[[#This Row],[V_{fall}]] * $P$11^3*Table1[[#This Row],[Korrekturstherm]]^3)/(2*($Q$14-$P$15)*$P$7))* 6 * PI() * $P$9 / $P$29 /$P$22</f>
        <v>1.6062674672108808</v>
      </c>
      <c r="J60" s="27">
        <f>IF(Table1[[#This Row],[Q_{ges} korrigiert]]&lt;$P$20,Table1[[#This Row],[Q_{ges} korrigiert]], "")</f>
        <v>1.6062674672108808</v>
      </c>
      <c r="K60">
        <f>Table1[[#This Row],[Q_{ges} korrigiert]]/Table1[[#Totals],[if Q&gt;q]]</f>
        <v>1.0175797559369992</v>
      </c>
      <c r="L60">
        <f>INT(Table1[[#This Row],[Abweichung von q]]+0.5)</f>
        <v>1</v>
      </c>
      <c r="M60">
        <f>Table1[[#This Row],[Q_{ges} korrigiert]]/Table1[[#This Row],[Anzahl Ladungen n]]</f>
        <v>1.6062674672108808</v>
      </c>
    </row>
    <row r="61" spans="1:16">
      <c r="A61">
        <v>62</v>
      </c>
      <c r="B61" s="3">
        <v>12.935</v>
      </c>
      <c r="C61" s="3">
        <v>14.782999999999999</v>
      </c>
      <c r="D61">
        <f>$P$5/Table1[[#This Row],[Fallzeit '[s']]]</f>
        <v>3.8654812524159255E-5</v>
      </c>
      <c r="E61">
        <f>$P$5/Table1[[#This Row],[Steigzeit '[s']]]</f>
        <v>3.3822634106744234E-5</v>
      </c>
      <c r="F61">
        <f>SQRT((9 * $P$11)/(2 * ($Q$14-$P$15) * $P$7) * Table1[[#This Row],[V_{fall}]] )</f>
        <v>6.0747106213588628E-7</v>
      </c>
      <c r="G61" s="65">
        <f>(Table1[[#This Row],[V_{fall}]]+Table1[[#This Row],[V_{steig}]])*SQRT((9*Table1[[#This Row],[V_{fall}]]*$P$11^3)/(2*($Q$14-$P$15)*$P$7))*(6*3.141*$P$9)/$P$29</f>
        <v>1.8022186804782645E-19</v>
      </c>
      <c r="H61" s="27">
        <f>1/(1+($P$18/(Table1[[#This Row],[Radius]]*$P$28)))</f>
        <v>0.88717837425966728</v>
      </c>
      <c r="I61" s="3">
        <f>(Table1[[#This Row],[V_{fall}]]+Table1[[#This Row],[V_{steig}]])*SQRT((9 * Table1[[#This Row],[V_{fall}]] * $P$11^3*Table1[[#This Row],[Korrekturstherm]]^3)/(2*($Q$14-$P$15)*$P$7))* 6 * PI() * $P$9 / $P$29 /$P$22</f>
        <v>1.5062804648242198</v>
      </c>
      <c r="J61" s="27">
        <f>IF(Table1[[#This Row],[Q_{ges} korrigiert]]&lt;$P$20,Table1[[#This Row],[Q_{ges} korrigiert]], "")</f>
        <v>1.5062804648242198</v>
      </c>
      <c r="K61">
        <f>Table1[[#This Row],[Q_{ges} korrigiert]]/Table1[[#Totals],[if Q&gt;q]]</f>
        <v>0.95423741005598606</v>
      </c>
      <c r="L61">
        <f>INT(Table1[[#This Row],[Abweichung von q]]+0.5)</f>
        <v>1</v>
      </c>
      <c r="M61">
        <f>Table1[[#This Row],[Q_{ges} korrigiert]]/Table1[[#This Row],[Anzahl Ladungen n]]</f>
        <v>1.5062804648242198</v>
      </c>
    </row>
    <row r="62" spans="1:16">
      <c r="A62">
        <v>63</v>
      </c>
      <c r="B62" s="3">
        <v>12.603999999999999</v>
      </c>
      <c r="C62" s="3">
        <v>13.723000000000001</v>
      </c>
      <c r="D62">
        <f>$P$5/Table1[[#This Row],[Fallzeit '[s']]]</f>
        <v>3.9669946048873378E-5</v>
      </c>
      <c r="E62">
        <f>$P$5/Table1[[#This Row],[Steigzeit '[s']]]</f>
        <v>3.6435181811557237E-5</v>
      </c>
      <c r="F62">
        <f>SQRT((9 * $P$11)/(2 * ($Q$14-$P$15) * $P$7) * Table1[[#This Row],[V_{fall}]] )</f>
        <v>6.1539592158507805E-7</v>
      </c>
      <c r="G62" s="65">
        <f>(Table1[[#This Row],[V_{fall}]]+Table1[[#This Row],[V_{steig}]])*SQRT((9*Table1[[#This Row],[V_{fall}]]*$P$11^3)/(2*($Q$14-$P$15)*$P$7))*(6*3.141*$P$9)/$P$29</f>
        <v>1.9171122459729874E-19</v>
      </c>
      <c r="H62" s="27">
        <f>1/(1+($P$18/(Table1[[#This Row],[Radius]]*$P$28)))</f>
        <v>0.88846921210958296</v>
      </c>
      <c r="I62" s="3">
        <f>(Table1[[#This Row],[V_{fall}]]+Table1[[#This Row],[V_{steig}]])*SQRT((9 * Table1[[#This Row],[V_{fall}]] * $P$11^3*Table1[[#This Row],[Korrekturstherm]]^3)/(2*($Q$14-$P$15)*$P$7))* 6 * PI() * $P$9 / $P$29 /$P$22</f>
        <v>1.6058059101901399</v>
      </c>
      <c r="J62" s="27">
        <f>IF(Table1[[#This Row],[Q_{ges} korrigiert]]&lt;$P$20,Table1[[#This Row],[Q_{ges} korrigiert]], "")</f>
        <v>1.6058059101901399</v>
      </c>
      <c r="K62">
        <f>Table1[[#This Row],[Q_{ges} korrigiert]]/Table1[[#Totals],[if Q&gt;q]]</f>
        <v>1.0172873568875855</v>
      </c>
      <c r="L62">
        <f>INT(Table1[[#This Row],[Abweichung von q]]+0.5)</f>
        <v>1</v>
      </c>
      <c r="M62">
        <f>Table1[[#This Row],[Q_{ges} korrigiert]]/Table1[[#This Row],[Anzahl Ladungen n]]</f>
        <v>1.6058059101901399</v>
      </c>
    </row>
    <row r="63" spans="1:16">
      <c r="A63">
        <v>64</v>
      </c>
      <c r="B63" s="3">
        <v>11.901</v>
      </c>
      <c r="C63" s="3">
        <v>13.307</v>
      </c>
      <c r="D63">
        <f>$P$5/Table1[[#This Row],[Fallzeit '[s']]]</f>
        <v>4.2013276195277707E-5</v>
      </c>
      <c r="E63">
        <f>$P$5/Table1[[#This Row],[Steigzeit '[s']]]</f>
        <v>3.7574209062899225E-5</v>
      </c>
      <c r="F63">
        <f>SQRT((9 * $P$11)/(2 * ($Q$14-$P$15) * $P$7) * Table1[[#This Row],[V_{fall}]] )</f>
        <v>6.33311075837736E-7</v>
      </c>
      <c r="G63" s="65">
        <f>(Table1[[#This Row],[V_{fall}]]+Table1[[#This Row],[V_{steig}]])*SQRT((9*Table1[[#This Row],[V_{fall}]]*$P$11^3)/(2*($Q$14-$P$15)*$P$7))*(6*3.141*$P$9)/$P$29</f>
        <v>2.0631978354505937E-19</v>
      </c>
      <c r="H63" s="27">
        <f>1/(1+($P$18/(Table1[[#This Row],[Radius]]*$P$28)))</f>
        <v>0.89128119700275588</v>
      </c>
      <c r="I63" s="3">
        <f>(Table1[[#This Row],[V_{fall}]]+Table1[[#This Row],[V_{steig}]])*SQRT((9 * Table1[[#This Row],[V_{fall}]] * $P$11^3*Table1[[#This Row],[Korrekturstherm]]^3)/(2*($Q$14-$P$15)*$P$7))* 6 * PI() * $P$9 / $P$29 /$P$22</f>
        <v>1.7363806062336444</v>
      </c>
      <c r="J63" s="27">
        <f>IF(Table1[[#This Row],[Q_{ges} korrigiert]]&lt;$P$20,Table1[[#This Row],[Q_{ges} korrigiert]], "")</f>
        <v>1.7363806062336444</v>
      </c>
      <c r="K63">
        <f>Table1[[#This Row],[Q_{ges} korrigiert]]/Table1[[#Totals],[if Q&gt;q]]</f>
        <v>1.1000071840918386</v>
      </c>
      <c r="L63">
        <f>INT(Table1[[#This Row],[Abweichung von q]]+0.5)</f>
        <v>1</v>
      </c>
      <c r="M63">
        <f>Table1[[#This Row],[Q_{ges} korrigiert]]/Table1[[#This Row],[Anzahl Ladungen n]]</f>
        <v>1.7363806062336444</v>
      </c>
    </row>
    <row r="64" spans="1:16">
      <c r="A64">
        <v>65</v>
      </c>
      <c r="B64" s="3">
        <v>11.593999999999999</v>
      </c>
      <c r="C64" s="3">
        <v>13.452</v>
      </c>
      <c r="D64">
        <f>$P$5/Table1[[#This Row],[Fallzeit '[s']]]</f>
        <v>4.3125754700707268E-5</v>
      </c>
      <c r="E64">
        <f>$P$5/Table1[[#This Row],[Steigzeit '[s']]]</f>
        <v>3.7169194171870358E-5</v>
      </c>
      <c r="F64">
        <f>SQRT((9 * $P$11)/(2 * ($Q$14-$P$15) * $P$7) * Table1[[#This Row],[V_{fall}]] )</f>
        <v>6.4164108267057447E-7</v>
      </c>
      <c r="G64" s="65">
        <f>(Table1[[#This Row],[V_{fall}]]+Table1[[#This Row],[V_{steig}]])*SQRT((9*Table1[[#This Row],[V_{fall}]]*$P$11^3)/(2*($Q$14-$P$15)*$P$7))*(6*3.141*$P$9)/$P$29</f>
        <v>2.1089165575050157E-19</v>
      </c>
      <c r="H64" s="27">
        <f>1/(1+($P$18/(Table1[[#This Row],[Radius]]*$P$28)))</f>
        <v>0.89254095176404546</v>
      </c>
      <c r="I64" s="3">
        <f>(Table1[[#This Row],[V_{fall}]]+Table1[[#This Row],[V_{steig}]])*SQRT((9 * Table1[[#This Row],[V_{fall}]] * $P$11^3*Table1[[#This Row],[Korrekturstherm]]^3)/(2*($Q$14-$P$15)*$P$7))* 6 * PI() * $P$9 / $P$29 /$P$22</f>
        <v>1.7786215923151323</v>
      </c>
      <c r="J64" s="27">
        <f>IF(Table1[[#This Row],[Q_{ges} korrigiert]]&lt;$P$20,Table1[[#This Row],[Q_{ges} korrigiert]], "")</f>
        <v>1.7786215923151323</v>
      </c>
      <c r="K64">
        <f>Table1[[#This Row],[Q_{ges} korrigiert]]/Table1[[#Totals],[if Q&gt;q]]</f>
        <v>1.1267670937487124</v>
      </c>
      <c r="L64">
        <f>INT(Table1[[#This Row],[Abweichung von q]]+0.5)</f>
        <v>1</v>
      </c>
      <c r="M64">
        <f>Table1[[#This Row],[Q_{ges} korrigiert]]/Table1[[#This Row],[Anzahl Ladungen n]]</f>
        <v>1.7786215923151323</v>
      </c>
    </row>
    <row r="65" spans="2:13">
      <c r="B65" s="3">
        <f>SUBTOTAL(101,Table1[Fallzeit '[s']])</f>
        <v>8.0845873015873018</v>
      </c>
      <c r="C65" s="3">
        <f>SUBTOTAL(101,Table1[Steigzeit '[s']])</f>
        <v>7.8249365079365081</v>
      </c>
      <c r="G65" s="65"/>
      <c r="H65" s="27">
        <f>SUBTOTAL(101,Table1[Korrekturstherm])</f>
        <v>0.91013129538316373</v>
      </c>
      <c r="I65" s="3"/>
      <c r="J65" s="27">
        <f>AVERAGE(Table1[if Q&gt;q])</f>
        <v>1.5785175145625918</v>
      </c>
      <c r="M65" s="27">
        <f>SUBTOTAL(101,Table1[Q/n])</f>
        <v>1.5674657735215582</v>
      </c>
    </row>
  </sheetData>
  <mergeCells count="3">
    <mergeCell ref="O1:R1"/>
    <mergeCell ref="O27:R27"/>
    <mergeCell ref="O40:R40"/>
  </mergeCells>
  <phoneticPr fontId="27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CA79-7707-433C-B776-E673C837166D}">
  <sheetPr>
    <pageSetUpPr fitToPage="1"/>
  </sheetPr>
  <dimension ref="A1:Q128"/>
  <sheetViews>
    <sheetView zoomScale="70" zoomScaleNormal="70" workbookViewId="0">
      <selection activeCell="D19" sqref="D19"/>
    </sheetView>
  </sheetViews>
  <sheetFormatPr defaultColWidth="11.7109375" defaultRowHeight="12.75"/>
  <cols>
    <col min="1" max="1" width="4.5703125" customWidth="1"/>
    <col min="2" max="2" width="20.42578125" customWidth="1"/>
    <col min="3" max="3" width="19.7109375" style="3" customWidth="1"/>
    <col min="4" max="4" width="20.42578125" customWidth="1"/>
    <col min="5" max="5" width="9.140625" style="3" customWidth="1"/>
    <col min="6" max="6" width="21.28515625" customWidth="1"/>
    <col min="7" max="7" width="23.7109375" customWidth="1"/>
    <col min="8" max="8" width="24.7109375" customWidth="1"/>
    <col min="9" max="9" width="15.85546875" customWidth="1"/>
    <col min="10" max="10" width="14.5703125" customWidth="1"/>
    <col min="11" max="11" width="27.85546875" customWidth="1"/>
    <col min="12" max="12" width="29.5703125" customWidth="1"/>
    <col min="13" max="13" width="8.5703125" customWidth="1"/>
    <col min="14" max="14" width="3.28515625" customWidth="1"/>
    <col min="15" max="15" width="14.5703125" customWidth="1"/>
    <col min="16" max="16" width="6.140625" customWidth="1"/>
    <col min="17" max="17" width="2.42578125" customWidth="1"/>
    <col min="18" max="18" width="11.7109375" customWidth="1"/>
  </cols>
  <sheetData>
    <row r="1" spans="1:16" ht="24.6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>
      <c r="B2" s="1" t="s">
        <v>1</v>
      </c>
      <c r="C2" s="2" t="s">
        <v>2</v>
      </c>
      <c r="D2" s="1" t="s">
        <v>3</v>
      </c>
    </row>
    <row r="3" spans="1:16" ht="25.5">
      <c r="B3" s="4" t="s">
        <v>4</v>
      </c>
      <c r="D3" s="5" t="s">
        <v>5</v>
      </c>
      <c r="H3" s="1" t="s">
        <v>6</v>
      </c>
      <c r="I3" s="6" t="s">
        <v>7</v>
      </c>
    </row>
    <row r="4" spans="1:16" ht="25.5">
      <c r="B4" s="7">
        <v>500</v>
      </c>
      <c r="C4" s="3" t="s">
        <v>8</v>
      </c>
      <c r="D4" s="5" t="s">
        <v>9</v>
      </c>
      <c r="K4" s="7"/>
    </row>
    <row r="5" spans="1:16" ht="25.5">
      <c r="B5" s="8">
        <v>100710</v>
      </c>
      <c r="C5" s="3" t="s">
        <v>10</v>
      </c>
      <c r="D5" s="5" t="s">
        <v>11</v>
      </c>
      <c r="K5" s="7"/>
      <c r="L5" s="9" t="s">
        <v>12</v>
      </c>
    </row>
    <row r="6" spans="1:16">
      <c r="B6" s="10">
        <v>23</v>
      </c>
      <c r="C6" s="11" t="s">
        <v>13</v>
      </c>
      <c r="D6" s="5" t="s">
        <v>14</v>
      </c>
      <c r="I6" t="s">
        <v>15</v>
      </c>
      <c r="L6" s="12"/>
    </row>
    <row r="7" spans="1:16" ht="25.5">
      <c r="B7" s="13">
        <v>6.0000000000000001E-3</v>
      </c>
      <c r="C7" s="3" t="s">
        <v>16</v>
      </c>
      <c r="D7" s="5" t="s">
        <v>17</v>
      </c>
      <c r="M7" s="14"/>
    </row>
    <row r="8" spans="1:16">
      <c r="B8" s="13">
        <v>5.0000000000000002E-5</v>
      </c>
      <c r="C8" s="3" t="s">
        <v>16</v>
      </c>
      <c r="D8" s="5" t="s">
        <v>18</v>
      </c>
      <c r="H8" s="15" t="s">
        <v>19</v>
      </c>
      <c r="I8" s="16">
        <f>SQRT(B11)*B11*6*B9*B7*SQRT(9/(2*I10*B14))</f>
        <v>1.9987356090762578E-10</v>
      </c>
      <c r="J8" t="s">
        <v>20</v>
      </c>
    </row>
    <row r="9" spans="1:16">
      <c r="B9" s="17">
        <v>3.1415926500000002</v>
      </c>
      <c r="D9" s="5" t="s">
        <v>21</v>
      </c>
      <c r="H9" s="15" t="s">
        <v>22</v>
      </c>
      <c r="I9" s="16">
        <f>9*B11/(2*I10*B14)</f>
        <v>9.5334217009541517E-9</v>
      </c>
      <c r="J9" t="s">
        <v>23</v>
      </c>
    </row>
    <row r="10" spans="1:16" ht="25.5">
      <c r="B10" s="13">
        <v>9.9999999999999998E-20</v>
      </c>
      <c r="C10" s="3" t="s">
        <v>24</v>
      </c>
      <c r="D10" s="5" t="s">
        <v>25</v>
      </c>
      <c r="H10" s="18" t="s">
        <v>26</v>
      </c>
      <c r="I10" s="16">
        <f>B12-B13</f>
        <v>870.91000000000008</v>
      </c>
      <c r="J10" t="s">
        <v>27</v>
      </c>
    </row>
    <row r="11" spans="1:16" ht="25.5">
      <c r="B11" s="13">
        <v>1.8099999999999999E-5</v>
      </c>
      <c r="C11" s="3" t="s">
        <v>28</v>
      </c>
      <c r="D11" s="5" t="s">
        <v>29</v>
      </c>
      <c r="H11" s="19" t="s">
        <v>30</v>
      </c>
      <c r="I11" s="20">
        <v>7.7799999999999996E-3</v>
      </c>
      <c r="J11" t="s">
        <v>31</v>
      </c>
    </row>
    <row r="12" spans="1:16">
      <c r="B12" s="21">
        <f>877-0.6*(B6-15)</f>
        <v>872.2</v>
      </c>
      <c r="C12" s="3" t="s">
        <v>27</v>
      </c>
      <c r="D12" s="5" t="s">
        <v>32</v>
      </c>
      <c r="E12" s="22"/>
    </row>
    <row r="13" spans="1:16">
      <c r="B13" s="13">
        <v>1.29</v>
      </c>
      <c r="C13" s="3" t="s">
        <v>27</v>
      </c>
      <c r="D13" s="5" t="s">
        <v>33</v>
      </c>
      <c r="L13" s="23"/>
    </row>
    <row r="14" spans="1:16">
      <c r="B14">
        <v>9.81</v>
      </c>
      <c r="C14" s="3" t="s">
        <v>34</v>
      </c>
      <c r="D14" s="5" t="s">
        <v>35</v>
      </c>
      <c r="I14" s="24"/>
      <c r="M14" s="25"/>
    </row>
    <row r="15" spans="1:16">
      <c r="D15" s="5"/>
      <c r="M15" s="25"/>
    </row>
    <row r="16" spans="1:16" ht="41.25" customHeight="1">
      <c r="B16" s="3">
        <v>2.4</v>
      </c>
      <c r="D16" s="5" t="s">
        <v>36</v>
      </c>
      <c r="J16" s="19" t="s">
        <v>37</v>
      </c>
      <c r="K16" s="5" t="s">
        <v>38</v>
      </c>
      <c r="M16" s="25"/>
    </row>
    <row r="17" spans="1:17" ht="38.25">
      <c r="B17" s="3">
        <f>IF(ISERROR(AVERAGE(L28:L127))," ",AVERAGE(L28:L127))</f>
        <v>1.5772453210589414</v>
      </c>
      <c r="D17" s="5" t="s">
        <v>39</v>
      </c>
      <c r="J17" s="19" t="s">
        <v>40</v>
      </c>
      <c r="K17" s="5" t="s">
        <v>41</v>
      </c>
      <c r="M17" s="25"/>
    </row>
    <row r="18" spans="1:17" ht="25.5">
      <c r="B18" s="3"/>
      <c r="D18" s="5"/>
      <c r="J18" s="19" t="s">
        <v>42</v>
      </c>
      <c r="K18" s="5" t="s">
        <v>43</v>
      </c>
      <c r="M18" s="25"/>
    </row>
    <row r="19" spans="1:17" ht="25.5">
      <c r="B19" s="3">
        <f>IF(ISERROR(AVERAGE(O28:O127))," ",AVERAGE(O28:O127))</f>
        <v>1.5677827371509878</v>
      </c>
      <c r="D19" s="5" t="s">
        <v>44</v>
      </c>
      <c r="J19" s="19" t="s">
        <v>45</v>
      </c>
      <c r="K19" s="5" t="s">
        <v>46</v>
      </c>
      <c r="M19" s="25"/>
    </row>
    <row r="20" spans="1:17" ht="25.5">
      <c r="B20" s="26">
        <f>SUM(Q28:Q127)</f>
        <v>60</v>
      </c>
      <c r="D20" s="5" t="s">
        <v>47</v>
      </c>
      <c r="J20" s="19"/>
      <c r="M20" s="25"/>
    </row>
    <row r="21" spans="1:17" ht="25.5">
      <c r="B21" s="3">
        <f>IF(ISERROR(_xlfn.STDEV.S(O28:O127))," ",_xlfn.STDEV.S(O28:O127))</f>
        <v>9.6820015149712849E-2</v>
      </c>
      <c r="D21" s="5" t="s">
        <v>48</v>
      </c>
      <c r="J21" s="19"/>
    </row>
    <row r="22" spans="1:17" ht="25.5">
      <c r="B22" s="3">
        <f>IF(ISERROR(B21/SQRT(B20))," ",B21/SQRT(B20))</f>
        <v>1.2499410208479588E-2</v>
      </c>
      <c r="D22" s="5" t="s">
        <v>49</v>
      </c>
    </row>
    <row r="23" spans="1:17" ht="25.5">
      <c r="B23" s="27">
        <f>IF(ISERROR(AVERAGE(P28:P127))," ",AVERAGE(P28:P127))</f>
        <v>0.90909956190521912</v>
      </c>
      <c r="D23" s="5" t="s">
        <v>50</v>
      </c>
    </row>
    <row r="25" spans="1:17">
      <c r="A25" s="19" t="s">
        <v>51</v>
      </c>
      <c r="B25" s="28" t="s">
        <v>52</v>
      </c>
      <c r="C25" s="29" t="s">
        <v>53</v>
      </c>
      <c r="D25" s="28" t="s">
        <v>54</v>
      </c>
      <c r="E25" s="29" t="s">
        <v>55</v>
      </c>
      <c r="F25" s="28" t="s">
        <v>56</v>
      </c>
      <c r="G25" s="28" t="s">
        <v>57</v>
      </c>
      <c r="H25" s="28" t="s">
        <v>58</v>
      </c>
      <c r="I25" s="28" t="s">
        <v>59</v>
      </c>
      <c r="J25" s="28" t="s">
        <v>37</v>
      </c>
      <c r="K25" s="28" t="s">
        <v>40</v>
      </c>
      <c r="L25" s="28" t="s">
        <v>42</v>
      </c>
      <c r="M25" s="28" t="s">
        <v>60</v>
      </c>
      <c r="N25" s="28" t="s">
        <v>45</v>
      </c>
      <c r="O25" s="28" t="s">
        <v>61</v>
      </c>
      <c r="P25" s="28" t="s">
        <v>37</v>
      </c>
      <c r="Q25" s="30"/>
    </row>
    <row r="26" spans="1:17">
      <c r="A26" s="30"/>
      <c r="B26" s="31" t="s">
        <v>62</v>
      </c>
      <c r="C26" s="32" t="s">
        <v>63</v>
      </c>
      <c r="D26" s="31" t="s">
        <v>62</v>
      </c>
      <c r="E26" s="32" t="s">
        <v>63</v>
      </c>
      <c r="F26" s="31" t="s">
        <v>64</v>
      </c>
      <c r="G26" s="31" t="s">
        <v>64</v>
      </c>
      <c r="H26" s="31" t="s">
        <v>64</v>
      </c>
      <c r="I26" s="31" t="s">
        <v>65</v>
      </c>
      <c r="J26" s="33"/>
      <c r="K26" s="31"/>
      <c r="L26" s="31"/>
      <c r="M26" s="31"/>
      <c r="N26" s="31"/>
      <c r="O26" s="31" t="s">
        <v>66</v>
      </c>
      <c r="P26" s="31" t="s">
        <v>66</v>
      </c>
      <c r="Q26" s="30"/>
    </row>
    <row r="27" spans="1:17">
      <c r="A27" s="30"/>
      <c r="B27" s="30"/>
      <c r="C27" s="34"/>
      <c r="D27" s="30"/>
      <c r="E27" s="34"/>
      <c r="F27" s="30"/>
      <c r="G27" s="30"/>
      <c r="H27" s="30"/>
      <c r="L27" s="30"/>
      <c r="M27" s="30"/>
      <c r="N27" s="30"/>
      <c r="O27" s="30"/>
      <c r="P27" s="30"/>
      <c r="Q27" s="30"/>
    </row>
    <row r="28" spans="1:17">
      <c r="A28" s="35">
        <v>1</v>
      </c>
      <c r="B28" s="30">
        <f>Tabelle2!B5</f>
        <v>10</v>
      </c>
      <c r="C28" s="36">
        <f>Tabelle2!E5</f>
        <v>4.62</v>
      </c>
      <c r="D28" s="30">
        <f>Tabelle2!B5</f>
        <v>10</v>
      </c>
      <c r="E28" s="36">
        <f>Tabelle2!H5</f>
        <v>3.42</v>
      </c>
      <c r="F28" s="37">
        <f>IF(E28=""," ",B28*$B$8/C28)</f>
        <v>1.0822510822510823E-4</v>
      </c>
      <c r="G28" s="38">
        <f t="shared" ref="G28:G59" si="0">IF(E28=""," ",D28*$B$8/E28)</f>
        <v>1.4619883040935673E-4</v>
      </c>
      <c r="H28" s="37">
        <f>IF(E28=""," ",F28+G28)</f>
        <v>2.5442393863446495E-4</v>
      </c>
      <c r="I28" s="38">
        <f>IF(E28=""," ",SQRT($I$9)*SQRT(F28))</f>
        <v>1.0157537080126061E-6</v>
      </c>
      <c r="J28" s="3">
        <f>IF(E28=""," ",1/(1+($I$11/(I28*$B$5))))</f>
        <v>0.92932191660621799</v>
      </c>
      <c r="K28" s="39">
        <f>IF(E28=""," ",H28*SQRT(F28)*J28*SQRT(J28)*$I$8/$B$4/$B$10)</f>
        <v>9.4788707295107475</v>
      </c>
      <c r="L28" s="3" t="str">
        <f t="shared" ref="L28:L59" si="1">IF(K28&lt;$B$16,K28," ")</f>
        <v xml:space="preserve"> </v>
      </c>
      <c r="M28" s="39">
        <f>IF(ISERROR(K28/$B$17)," ",K28/$B$17)</f>
        <v>6.0097630995961744</v>
      </c>
      <c r="N28" s="40">
        <f>IF(M28=" "," ",INT(M28+0.5))</f>
        <v>6</v>
      </c>
      <c r="O28" s="3" t="str">
        <f t="shared" ref="O28:O59" si="2">IF(N28&lt;6,K28/N28," ")</f>
        <v xml:space="preserve"> </v>
      </c>
      <c r="P28" s="3" t="str">
        <f t="shared" ref="P28:P59" si="3">IF(N28&lt;6,J28," ")</f>
        <v xml:space="preserve"> </v>
      </c>
      <c r="Q28" s="26" t="str">
        <f t="shared" ref="Q28:Q59" si="4">IF(N28&lt;6,1," ")</f>
        <v xml:space="preserve"> </v>
      </c>
    </row>
    <row r="29" spans="1:17">
      <c r="A29" s="35">
        <v>2</v>
      </c>
      <c r="B29" s="30">
        <f>Tabelle2!B6</f>
        <v>10</v>
      </c>
      <c r="C29" s="36">
        <f>Tabelle2!E6</f>
        <v>4.4109999999999996</v>
      </c>
      <c r="D29" s="30">
        <f>Tabelle2!B6</f>
        <v>10</v>
      </c>
      <c r="E29" s="36">
        <f>Tabelle2!H6</f>
        <v>3.46</v>
      </c>
      <c r="F29" s="37">
        <f t="shared" ref="F29:F59" si="5">IF(E29=""," ",B29*$B$8/C29)</f>
        <v>1.1335298118340514E-4</v>
      </c>
      <c r="G29" s="38">
        <f t="shared" si="0"/>
        <v>1.4450867052023122E-4</v>
      </c>
      <c r="H29" s="37">
        <f t="shared" ref="H29:H59" si="6">IF(E29=""," ",F29+G29)</f>
        <v>2.5786165170363633E-4</v>
      </c>
      <c r="I29" s="38">
        <f>IF(E29=""," ",SQRT($I$9)*SQRT(F29))</f>
        <v>1.0395392107475899E-6</v>
      </c>
      <c r="J29" s="3">
        <f t="shared" ref="J29:J59" si="7">IF(E29=""," ",1/(1+($I$11/(I29*$B$5))))</f>
        <v>0.93082722436732213</v>
      </c>
      <c r="K29" s="39">
        <f>IF(E29=""," ",H29*SQRT(F29)*J29*SQRT(J29)*$I$8/$B$4/$B$10)</f>
        <v>9.8558070860844893</v>
      </c>
      <c r="L29" s="3" t="str">
        <f t="shared" si="1"/>
        <v xml:space="preserve"> </v>
      </c>
      <c r="M29" s="39">
        <f>IF(ISERROR(K29/$B$17)," ",K29/$B$17)</f>
        <v>6.2487470747210283</v>
      </c>
      <c r="N29" s="40">
        <f t="shared" ref="N28:N59" si="8">IF(M29=" "," ",INT(M29+0.5))</f>
        <v>6</v>
      </c>
      <c r="O29" s="3" t="str">
        <f t="shared" si="2"/>
        <v xml:space="preserve"> </v>
      </c>
      <c r="P29" s="3" t="str">
        <f t="shared" si="3"/>
        <v xml:space="preserve"> </v>
      </c>
      <c r="Q29" s="26" t="str">
        <f t="shared" si="4"/>
        <v xml:space="preserve"> </v>
      </c>
    </row>
    <row r="30" spans="1:17">
      <c r="A30" s="35">
        <v>3</v>
      </c>
      <c r="B30" s="30">
        <f>Tabelle2!B7</f>
        <v>10</v>
      </c>
      <c r="C30" s="36">
        <f>Tabelle2!E7</f>
        <v>4.5570000000000004</v>
      </c>
      <c r="D30" s="30">
        <f>Tabelle2!B7</f>
        <v>10</v>
      </c>
      <c r="E30" s="36">
        <f>Tabelle2!H7</f>
        <v>3.52</v>
      </c>
      <c r="F30" s="37">
        <f t="shared" si="5"/>
        <v>1.097213078779899E-4</v>
      </c>
      <c r="G30" s="38">
        <f t="shared" si="0"/>
        <v>1.4204545454545454E-4</v>
      </c>
      <c r="H30" s="37">
        <f t="shared" si="6"/>
        <v>2.5176676242344442E-4</v>
      </c>
      <c r="I30" s="38">
        <f t="shared" ref="I30:I59" si="9">IF(E30=""," ",SQRT($I$9)*SQRT(F30))</f>
        <v>1.0227509460181891E-6</v>
      </c>
      <c r="J30" s="3">
        <f>IF(E30=""," ",1/(1+($I$11/(I30*$B$5))))</f>
        <v>0.92977150775637296</v>
      </c>
      <c r="K30" s="39">
        <f>IF(E30=""," ",H30*SQRT(F30)*J30*SQRT(J30)*$I$8/$B$4/$B$10)</f>
        <v>9.4513441776120519</v>
      </c>
      <c r="L30" s="3" t="str">
        <f t="shared" si="1"/>
        <v xml:space="preserve"> </v>
      </c>
      <c r="M30" s="39">
        <f t="shared" ref="M28:M59" si="10">IF(ISERROR(K30/$B$17)," ",K30/$B$17)</f>
        <v>5.9923108037921109</v>
      </c>
      <c r="N30" s="40">
        <f t="shared" si="8"/>
        <v>6</v>
      </c>
      <c r="O30" s="3" t="str">
        <f t="shared" si="2"/>
        <v xml:space="preserve"> </v>
      </c>
      <c r="P30" s="3" t="str">
        <f t="shared" si="3"/>
        <v xml:space="preserve"> </v>
      </c>
      <c r="Q30" s="26" t="str">
        <f t="shared" si="4"/>
        <v xml:space="preserve"> </v>
      </c>
    </row>
    <row r="31" spans="1:17">
      <c r="A31" s="35">
        <v>4</v>
      </c>
      <c r="B31" s="30">
        <f>Tabelle2!B8</f>
        <v>10</v>
      </c>
      <c r="C31" s="36">
        <f>Tabelle2!E8</f>
        <v>4.5069999999999997</v>
      </c>
      <c r="D31" s="30">
        <f>Tabelle2!B8</f>
        <v>10</v>
      </c>
      <c r="E31" s="36">
        <f>Tabelle2!H8</f>
        <v>3.6869999999999998</v>
      </c>
      <c r="F31" s="37">
        <f t="shared" si="5"/>
        <v>1.1093854004881296E-4</v>
      </c>
      <c r="G31" s="38">
        <f t="shared" si="0"/>
        <v>1.3561160835367508E-4</v>
      </c>
      <c r="H31" s="37">
        <f t="shared" si="6"/>
        <v>2.4655014840248805E-4</v>
      </c>
      <c r="I31" s="38">
        <f t="shared" si="9"/>
        <v>1.0284084233287497E-6</v>
      </c>
      <c r="J31" s="3">
        <f t="shared" si="7"/>
        <v>0.93013085522653061</v>
      </c>
      <c r="K31" s="39">
        <f t="shared" ref="K28:K59" si="11">IF(E31=""," ",H31*SQRT(F31)*J31*SQRT(J31)*$I$8/$B$4/$B$10)</f>
        <v>9.3121060682693955</v>
      </c>
      <c r="L31" s="3" t="str">
        <f t="shared" si="1"/>
        <v xml:space="preserve"> </v>
      </c>
      <c r="M31" s="39">
        <f t="shared" si="10"/>
        <v>5.9040315060293675</v>
      </c>
      <c r="N31" s="40">
        <f t="shared" si="8"/>
        <v>6</v>
      </c>
      <c r="O31" s="3" t="str">
        <f t="shared" si="2"/>
        <v xml:space="preserve"> </v>
      </c>
      <c r="P31" s="3" t="str">
        <f t="shared" si="3"/>
        <v xml:space="preserve"> </v>
      </c>
      <c r="Q31" s="26" t="str">
        <f t="shared" si="4"/>
        <v xml:space="preserve"> </v>
      </c>
    </row>
    <row r="32" spans="1:17">
      <c r="A32" s="35">
        <v>5</v>
      </c>
      <c r="B32" s="30">
        <f>Tabelle2!B9</f>
        <v>10</v>
      </c>
      <c r="C32" s="36">
        <f>Tabelle2!E9</f>
        <v>4.6230000000000002</v>
      </c>
      <c r="D32" s="30">
        <f>Tabelle2!B9</f>
        <v>10</v>
      </c>
      <c r="E32" s="36">
        <f>Tabelle2!H9</f>
        <v>3.8650000000000002</v>
      </c>
      <c r="F32" s="37">
        <f t="shared" si="5"/>
        <v>1.081548777849881E-4</v>
      </c>
      <c r="G32" s="38">
        <f t="shared" si="0"/>
        <v>1.2936610608020699E-4</v>
      </c>
      <c r="H32" s="37">
        <f t="shared" si="6"/>
        <v>2.3752098386519509E-4</v>
      </c>
      <c r="I32" s="38">
        <f t="shared" si="9"/>
        <v>1.0154240783728981E-6</v>
      </c>
      <c r="J32" s="3">
        <f t="shared" si="7"/>
        <v>0.92930059500690554</v>
      </c>
      <c r="K32" s="39">
        <f t="shared" si="11"/>
        <v>8.8459546244643708</v>
      </c>
      <c r="L32" s="3" t="str">
        <f t="shared" si="1"/>
        <v xml:space="preserve"> </v>
      </c>
      <c r="M32" s="39">
        <f t="shared" si="10"/>
        <v>5.6084836685553237</v>
      </c>
      <c r="N32" s="40">
        <f t="shared" si="8"/>
        <v>6</v>
      </c>
      <c r="O32" s="3" t="str">
        <f t="shared" si="2"/>
        <v xml:space="preserve"> </v>
      </c>
      <c r="P32" s="3" t="str">
        <f t="shared" si="3"/>
        <v xml:space="preserve"> </v>
      </c>
      <c r="Q32" s="26" t="str">
        <f t="shared" si="4"/>
        <v xml:space="preserve"> </v>
      </c>
    </row>
    <row r="33" spans="1:17">
      <c r="A33" s="35">
        <v>6</v>
      </c>
      <c r="B33" s="30">
        <f>Tabelle2!B10</f>
        <v>10</v>
      </c>
      <c r="C33" s="36">
        <f>Tabelle2!E10</f>
        <v>8.2769999999999992</v>
      </c>
      <c r="D33" s="30">
        <f>Tabelle2!B10</f>
        <v>10</v>
      </c>
      <c r="E33" s="36">
        <f>Tabelle2!H10</f>
        <v>8.0980000000000008</v>
      </c>
      <c r="F33" s="37">
        <f t="shared" si="5"/>
        <v>6.0408360517095576E-5</v>
      </c>
      <c r="G33" s="38">
        <f t="shared" si="0"/>
        <v>6.1743640405038279E-5</v>
      </c>
      <c r="H33" s="37">
        <f t="shared" si="6"/>
        <v>1.2215200092213386E-4</v>
      </c>
      <c r="I33" s="38">
        <f t="shared" si="9"/>
        <v>7.588796841876458E-7</v>
      </c>
      <c r="J33" s="3">
        <f t="shared" si="7"/>
        <v>0.9076083820418499</v>
      </c>
      <c r="K33" s="39">
        <f t="shared" si="11"/>
        <v>3.2815740033311318</v>
      </c>
      <c r="L33" s="3" t="str">
        <f t="shared" si="1"/>
        <v xml:space="preserve"> </v>
      </c>
      <c r="M33" s="39">
        <f t="shared" si="10"/>
        <v>2.0805729834899283</v>
      </c>
      <c r="N33" s="40">
        <f t="shared" si="8"/>
        <v>2</v>
      </c>
      <c r="O33" s="3">
        <f t="shared" si="2"/>
        <v>1.6407870016655659</v>
      </c>
      <c r="P33" s="3">
        <f t="shared" si="3"/>
        <v>0.9076083820418499</v>
      </c>
      <c r="Q33" s="26">
        <f t="shared" si="4"/>
        <v>1</v>
      </c>
    </row>
    <row r="34" spans="1:17">
      <c r="A34" s="35">
        <v>7</v>
      </c>
      <c r="B34" s="30">
        <f>Tabelle2!B11</f>
        <v>10</v>
      </c>
      <c r="C34" s="36">
        <f>Tabelle2!E11</f>
        <v>8.8829999999999991</v>
      </c>
      <c r="D34" s="30">
        <f>Tabelle2!B11</f>
        <v>10</v>
      </c>
      <c r="E34" s="36">
        <f>Tabelle2!H11</f>
        <v>8.4990000000000006</v>
      </c>
      <c r="F34" s="37">
        <f t="shared" si="5"/>
        <v>5.6287290329843525E-5</v>
      </c>
      <c r="G34" s="38">
        <f t="shared" si="0"/>
        <v>5.8830450641251912E-5</v>
      </c>
      <c r="H34" s="37">
        <f t="shared" si="6"/>
        <v>1.1511774097109544E-4</v>
      </c>
      <c r="I34" s="38">
        <f t="shared" si="9"/>
        <v>7.32537012797604E-7</v>
      </c>
      <c r="J34" s="3">
        <f t="shared" si="7"/>
        <v>0.90460285411724117</v>
      </c>
      <c r="K34" s="39">
        <f t="shared" si="11"/>
        <v>2.9704326213609935</v>
      </c>
      <c r="L34" s="3" t="str">
        <f t="shared" si="1"/>
        <v xml:space="preserve"> </v>
      </c>
      <c r="M34" s="39">
        <f t="shared" si="10"/>
        <v>1.8833041263147858</v>
      </c>
      <c r="N34" s="40">
        <f t="shared" si="8"/>
        <v>2</v>
      </c>
      <c r="O34" s="3">
        <f t="shared" si="2"/>
        <v>1.4852163106804968</v>
      </c>
      <c r="P34" s="3">
        <f>IF(N34&lt;6,J34," ")</f>
        <v>0.90460285411724117</v>
      </c>
      <c r="Q34" s="26">
        <f t="shared" si="4"/>
        <v>1</v>
      </c>
    </row>
    <row r="35" spans="1:17">
      <c r="A35" s="35">
        <v>8</v>
      </c>
      <c r="B35" s="30">
        <f>Tabelle2!B12</f>
        <v>10</v>
      </c>
      <c r="C35" s="36">
        <f>Tabelle2!E12</f>
        <v>8.5060000000000002</v>
      </c>
      <c r="D35" s="30">
        <f>Tabelle2!B12</f>
        <v>10</v>
      </c>
      <c r="E35" s="36">
        <f>Tabelle2!H12</f>
        <v>8.2059999999999995</v>
      </c>
      <c r="F35" s="37">
        <f t="shared" si="5"/>
        <v>5.8782036209734302E-5</v>
      </c>
      <c r="G35" s="38">
        <f t="shared" si="0"/>
        <v>6.0931026078479169E-5</v>
      </c>
      <c r="H35" s="37">
        <f t="shared" si="6"/>
        <v>1.1971306228821347E-4</v>
      </c>
      <c r="I35" s="38">
        <f t="shared" si="9"/>
        <v>7.4859464306669587E-7</v>
      </c>
      <c r="J35" s="3">
        <f t="shared" si="7"/>
        <v>0.90645774208123131</v>
      </c>
      <c r="K35" s="39">
        <f t="shared" si="11"/>
        <v>3.1664347477822599</v>
      </c>
      <c r="L35" s="3" t="str">
        <f t="shared" si="1"/>
        <v xml:space="preserve"> </v>
      </c>
      <c r="M35" s="39">
        <f t="shared" si="10"/>
        <v>2.0075727634153688</v>
      </c>
      <c r="N35" s="40">
        <f t="shared" si="8"/>
        <v>2</v>
      </c>
      <c r="O35" s="3">
        <f>IF(N35&lt;6,K35/N35," ")</f>
        <v>1.5832173738911299</v>
      </c>
      <c r="P35" s="3">
        <f t="shared" si="3"/>
        <v>0.90645774208123131</v>
      </c>
      <c r="Q35" s="26">
        <f t="shared" si="4"/>
        <v>1</v>
      </c>
    </row>
    <row r="36" spans="1:17">
      <c r="A36" s="35">
        <v>9</v>
      </c>
      <c r="B36" s="30">
        <f>Tabelle2!B13</f>
        <v>10</v>
      </c>
      <c r="C36" s="36">
        <f>Tabelle2!E13</f>
        <v>8.452</v>
      </c>
      <c r="D36" s="30">
        <f>Tabelle2!B13</f>
        <v>10</v>
      </c>
      <c r="E36" s="36">
        <f>Tabelle2!H13</f>
        <v>7.9550000000000001</v>
      </c>
      <c r="F36" s="37">
        <f t="shared" si="5"/>
        <v>5.9157595835305252E-5</v>
      </c>
      <c r="G36" s="38">
        <f t="shared" si="0"/>
        <v>6.2853551225644248E-5</v>
      </c>
      <c r="H36" s="37">
        <f t="shared" si="6"/>
        <v>1.220111470609495E-4</v>
      </c>
      <c r="I36" s="38">
        <f t="shared" si="9"/>
        <v>7.5098222875949199E-7</v>
      </c>
      <c r="J36" s="3">
        <f t="shared" si="7"/>
        <v>0.90672740044587063</v>
      </c>
      <c r="K36" s="39">
        <f t="shared" si="11"/>
        <v>3.2389573056807803</v>
      </c>
      <c r="L36" s="3" t="str">
        <f t="shared" si="1"/>
        <v xml:space="preserve"> </v>
      </c>
      <c r="M36" s="39">
        <f t="shared" si="10"/>
        <v>2.0535532820640658</v>
      </c>
      <c r="N36" s="40">
        <f t="shared" si="8"/>
        <v>2</v>
      </c>
      <c r="O36" s="3">
        <f t="shared" si="2"/>
        <v>1.6194786528403902</v>
      </c>
      <c r="P36" s="3">
        <f t="shared" si="3"/>
        <v>0.90672740044587063</v>
      </c>
      <c r="Q36" s="26">
        <f t="shared" si="4"/>
        <v>1</v>
      </c>
    </row>
    <row r="37" spans="1:17">
      <c r="A37" s="35">
        <v>10</v>
      </c>
      <c r="B37" s="30">
        <f>Tabelle2!B14</f>
        <v>10</v>
      </c>
      <c r="C37" s="36">
        <f>Tabelle2!E14</f>
        <v>8.8879999999999999</v>
      </c>
      <c r="D37" s="30">
        <f>Tabelle2!B14</f>
        <v>10</v>
      </c>
      <c r="E37" s="36">
        <f>Tabelle2!H14</f>
        <v>8.7100000000000009</v>
      </c>
      <c r="F37" s="37">
        <f t="shared" si="5"/>
        <v>5.625562556255626E-5</v>
      </c>
      <c r="G37" s="38">
        <f t="shared" si="0"/>
        <v>5.7405281285878294E-5</v>
      </c>
      <c r="H37" s="37">
        <f t="shared" si="6"/>
        <v>1.1366090684843455E-4</v>
      </c>
      <c r="I37" s="38">
        <f t="shared" si="9"/>
        <v>7.3233093717173048E-7</v>
      </c>
      <c r="J37" s="3">
        <f>IF(E37=""," ",1/(1+($I$11/(I37*$B$5))))</f>
        <v>0.90457857119644691</v>
      </c>
      <c r="K37" s="39">
        <f t="shared" si="11"/>
        <v>2.9318981846382077</v>
      </c>
      <c r="L37" s="3" t="str">
        <f t="shared" si="1"/>
        <v xml:space="preserve"> </v>
      </c>
      <c r="M37" s="39">
        <f t="shared" si="10"/>
        <v>1.8588726468180425</v>
      </c>
      <c r="N37" s="40">
        <f t="shared" si="8"/>
        <v>2</v>
      </c>
      <c r="O37" s="3">
        <f t="shared" si="2"/>
        <v>1.4659490923191039</v>
      </c>
      <c r="P37" s="3">
        <f t="shared" si="3"/>
        <v>0.90457857119644691</v>
      </c>
      <c r="Q37" s="26">
        <f t="shared" si="4"/>
        <v>1</v>
      </c>
    </row>
    <row r="38" spans="1:17">
      <c r="A38" s="35">
        <v>11</v>
      </c>
      <c r="B38" s="30">
        <f>Tabelle2!B15</f>
        <v>10</v>
      </c>
      <c r="C38" s="36">
        <f>Tabelle2!E15</f>
        <v>5.5309999999999997</v>
      </c>
      <c r="D38" s="30">
        <f>Tabelle2!B15</f>
        <v>10</v>
      </c>
      <c r="E38" s="36">
        <f>Tabelle2!H15</f>
        <v>4.9969999999999999</v>
      </c>
      <c r="F38" s="37">
        <f t="shared" si="5"/>
        <v>9.0399566082082806E-5</v>
      </c>
      <c r="G38" s="38">
        <f t="shared" si="0"/>
        <v>1.0006003602161297E-4</v>
      </c>
      <c r="H38" s="37">
        <f t="shared" si="6"/>
        <v>1.9045960210369576E-4</v>
      </c>
      <c r="I38" s="38">
        <f t="shared" si="9"/>
        <v>9.2834109304919118E-7</v>
      </c>
      <c r="J38" s="3">
        <f t="shared" si="7"/>
        <v>0.92317812035591229</v>
      </c>
      <c r="K38" s="39">
        <f t="shared" si="11"/>
        <v>6.4209552864570814</v>
      </c>
      <c r="L38" s="3" t="str">
        <f t="shared" si="1"/>
        <v xml:space="preserve"> </v>
      </c>
      <c r="M38" s="39">
        <f t="shared" si="10"/>
        <v>4.0709933963513913</v>
      </c>
      <c r="N38" s="40">
        <f t="shared" si="8"/>
        <v>4</v>
      </c>
      <c r="O38" s="3">
        <f t="shared" si="2"/>
        <v>1.6052388216142703</v>
      </c>
      <c r="P38" s="3">
        <f t="shared" si="3"/>
        <v>0.92317812035591229</v>
      </c>
      <c r="Q38" s="26">
        <f t="shared" si="4"/>
        <v>1</v>
      </c>
    </row>
    <row r="39" spans="1:17">
      <c r="A39" s="35">
        <v>12</v>
      </c>
      <c r="B39" s="30">
        <f>Tabelle2!B16</f>
        <v>10</v>
      </c>
      <c r="C39" s="36">
        <f>Tabelle2!E16</f>
        <v>5.3780000000000001</v>
      </c>
      <c r="D39" s="30">
        <f>Tabelle2!B16</f>
        <v>10</v>
      </c>
      <c r="E39" s="36">
        <f>Tabelle2!H16</f>
        <v>5.1219999999999999</v>
      </c>
      <c r="F39" s="37">
        <f t="shared" si="5"/>
        <v>9.2971364819635548E-5</v>
      </c>
      <c r="G39" s="38">
        <f t="shared" si="0"/>
        <v>9.7618117922686453E-5</v>
      </c>
      <c r="H39" s="37">
        <f t="shared" si="6"/>
        <v>1.9058948274232199E-4</v>
      </c>
      <c r="I39" s="38">
        <f t="shared" si="9"/>
        <v>9.4145378375087476E-7</v>
      </c>
      <c r="J39" s="3">
        <f t="shared" si="7"/>
        <v>0.92416696526412345</v>
      </c>
      <c r="K39" s="39">
        <f t="shared" si="11"/>
        <v>6.526563093082336</v>
      </c>
      <c r="L39" s="3" t="str">
        <f t="shared" si="1"/>
        <v xml:space="preserve"> </v>
      </c>
      <c r="M39" s="39">
        <f t="shared" si="10"/>
        <v>4.1379505178690206</v>
      </c>
      <c r="N39" s="40">
        <f t="shared" si="8"/>
        <v>4</v>
      </c>
      <c r="O39" s="3">
        <f t="shared" si="2"/>
        <v>1.631640773270584</v>
      </c>
      <c r="P39" s="3">
        <f t="shared" si="3"/>
        <v>0.92416696526412345</v>
      </c>
      <c r="Q39" s="26">
        <f t="shared" si="4"/>
        <v>1</v>
      </c>
    </row>
    <row r="40" spans="1:17">
      <c r="A40" s="35">
        <v>13</v>
      </c>
      <c r="B40" s="30">
        <f>Tabelle2!B17</f>
        <v>10</v>
      </c>
      <c r="C40" s="36">
        <f>Tabelle2!E17</f>
        <v>5.2160000000000002</v>
      </c>
      <c r="D40" s="30">
        <f>Tabelle2!B17</f>
        <v>10</v>
      </c>
      <c r="E40" s="36">
        <f>Tabelle2!H17</f>
        <v>4.9930000000000003</v>
      </c>
      <c r="F40" s="37">
        <f t="shared" si="5"/>
        <v>9.5858895705521475E-5</v>
      </c>
      <c r="G40" s="38">
        <f t="shared" si="0"/>
        <v>1.0014019627478469E-4</v>
      </c>
      <c r="H40" s="37">
        <f t="shared" si="6"/>
        <v>1.9599909198030616E-4</v>
      </c>
      <c r="I40" s="38">
        <f t="shared" si="9"/>
        <v>9.559619639653658E-7</v>
      </c>
      <c r="J40" s="3">
        <f t="shared" si="7"/>
        <v>0.92523179780585674</v>
      </c>
      <c r="K40" s="39">
        <f t="shared" si="11"/>
        <v>6.8270241725714484</v>
      </c>
      <c r="L40" s="3" t="str">
        <f t="shared" si="1"/>
        <v xml:space="preserve"> </v>
      </c>
      <c r="M40" s="39">
        <f t="shared" si="10"/>
        <v>4.3284478840538743</v>
      </c>
      <c r="N40" s="40">
        <f t="shared" si="8"/>
        <v>4</v>
      </c>
      <c r="O40" s="3">
        <f t="shared" si="2"/>
        <v>1.7067560431428621</v>
      </c>
      <c r="P40" s="3">
        <f t="shared" si="3"/>
        <v>0.92523179780585674</v>
      </c>
      <c r="Q40" s="26">
        <f t="shared" si="4"/>
        <v>1</v>
      </c>
    </row>
    <row r="41" spans="1:17">
      <c r="A41" s="35">
        <v>14</v>
      </c>
      <c r="B41" s="30">
        <f>Tabelle2!B18</f>
        <v>10</v>
      </c>
      <c r="C41" s="36">
        <f>Tabelle2!E18</f>
        <v>5.8220000000000001</v>
      </c>
      <c r="D41" s="30">
        <f>Tabelle2!B18</f>
        <v>10</v>
      </c>
      <c r="E41" s="36">
        <f>Tabelle2!H18</f>
        <v>5.0990000000000002</v>
      </c>
      <c r="F41" s="37">
        <f t="shared" si="5"/>
        <v>8.5881140501545863E-5</v>
      </c>
      <c r="G41" s="38">
        <f t="shared" si="0"/>
        <v>9.8058442831927827E-5</v>
      </c>
      <c r="H41" s="37">
        <f t="shared" si="6"/>
        <v>1.8393958333347369E-4</v>
      </c>
      <c r="I41" s="38">
        <f t="shared" si="9"/>
        <v>9.0484315135836115E-7</v>
      </c>
      <c r="J41" s="3">
        <f t="shared" si="7"/>
        <v>0.92134005309857647</v>
      </c>
      <c r="K41" s="39">
        <f t="shared" si="11"/>
        <v>6.026142160670716</v>
      </c>
      <c r="L41" s="3" t="str">
        <f t="shared" si="1"/>
        <v xml:space="preserve"> </v>
      </c>
      <c r="M41" s="39">
        <f t="shared" si="10"/>
        <v>3.820675249570463</v>
      </c>
      <c r="N41" s="40">
        <f t="shared" si="8"/>
        <v>4</v>
      </c>
      <c r="O41" s="3">
        <f t="shared" si="2"/>
        <v>1.506535540167679</v>
      </c>
      <c r="P41" s="3">
        <f t="shared" si="3"/>
        <v>0.92134005309857647</v>
      </c>
      <c r="Q41" s="26">
        <f t="shared" si="4"/>
        <v>1</v>
      </c>
    </row>
    <row r="42" spans="1:17">
      <c r="A42" s="35">
        <v>15</v>
      </c>
      <c r="B42" s="30">
        <f>Tabelle2!B19</f>
        <v>10</v>
      </c>
      <c r="C42" s="36">
        <f>Tabelle2!E19</f>
        <v>5.3090000000000002</v>
      </c>
      <c r="D42" s="30">
        <f>Tabelle2!B19</f>
        <v>10</v>
      </c>
      <c r="E42" s="36">
        <f>Tabelle2!H19</f>
        <v>4.5199999999999996</v>
      </c>
      <c r="F42" s="37">
        <f t="shared" si="5"/>
        <v>9.4179694857788666E-5</v>
      </c>
      <c r="G42" s="38">
        <f t="shared" si="0"/>
        <v>1.1061946902654868E-4</v>
      </c>
      <c r="H42" s="37">
        <f t="shared" si="6"/>
        <v>2.0479916388433734E-4</v>
      </c>
      <c r="I42" s="38">
        <f t="shared" si="9"/>
        <v>9.4755197574934263E-7</v>
      </c>
      <c r="J42" s="3">
        <f t="shared" si="7"/>
        <v>0.92461821705059677</v>
      </c>
      <c r="K42" s="39">
        <f t="shared" si="11"/>
        <v>7.0637583371762984</v>
      </c>
      <c r="L42" s="3" t="str">
        <f t="shared" si="1"/>
        <v xml:space="preserve"> </v>
      </c>
      <c r="M42" s="39">
        <f t="shared" si="10"/>
        <v>4.4785413168534784</v>
      </c>
      <c r="N42" s="40">
        <f t="shared" si="8"/>
        <v>4</v>
      </c>
      <c r="O42" s="3">
        <f t="shared" si="2"/>
        <v>1.7659395842940746</v>
      </c>
      <c r="P42" s="3">
        <f t="shared" si="3"/>
        <v>0.92461821705059677</v>
      </c>
      <c r="Q42" s="26">
        <f t="shared" si="4"/>
        <v>1</v>
      </c>
    </row>
    <row r="43" spans="1:17">
      <c r="A43" s="35">
        <v>16</v>
      </c>
      <c r="B43" s="30">
        <f>Tabelle2!B20</f>
        <v>10</v>
      </c>
      <c r="C43" s="36">
        <f>Tabelle2!E20</f>
        <v>4.9189999999999996</v>
      </c>
      <c r="D43" s="30">
        <f>Tabelle2!B20</f>
        <v>10</v>
      </c>
      <c r="E43" s="36">
        <f>Tabelle2!H20</f>
        <v>14.757999999999999</v>
      </c>
      <c r="F43" s="37">
        <f t="shared" si="5"/>
        <v>1.0164667615368978E-4</v>
      </c>
      <c r="G43" s="38">
        <f t="shared" si="0"/>
        <v>3.3879929529746582E-5</v>
      </c>
      <c r="H43" s="37">
        <f t="shared" si="6"/>
        <v>1.3552660568343636E-4</v>
      </c>
      <c r="I43" s="38">
        <f t="shared" si="9"/>
        <v>9.8439861249061365E-7</v>
      </c>
      <c r="J43" s="3">
        <f t="shared" si="7"/>
        <v>0.92723448874245495</v>
      </c>
      <c r="K43" s="39">
        <f t="shared" si="11"/>
        <v>4.8768664539692912</v>
      </c>
      <c r="L43" s="3" t="str">
        <f t="shared" si="1"/>
        <v xml:space="preserve"> </v>
      </c>
      <c r="M43" s="39">
        <f t="shared" si="10"/>
        <v>3.092015166477101</v>
      </c>
      <c r="N43" s="40">
        <f t="shared" si="8"/>
        <v>3</v>
      </c>
      <c r="O43" s="3">
        <f t="shared" si="2"/>
        <v>1.6256221513230971</v>
      </c>
      <c r="P43" s="3">
        <f t="shared" si="3"/>
        <v>0.92723448874245495</v>
      </c>
      <c r="Q43" s="26">
        <f t="shared" si="4"/>
        <v>1</v>
      </c>
    </row>
    <row r="44" spans="1:17">
      <c r="A44" s="35">
        <v>17</v>
      </c>
      <c r="B44" s="30">
        <f>Tabelle2!B21</f>
        <v>10</v>
      </c>
      <c r="C44" s="36">
        <f>Tabelle2!E21</f>
        <v>5.1669999999999998</v>
      </c>
      <c r="D44" s="30">
        <f>Tabelle2!B21</f>
        <v>10</v>
      </c>
      <c r="E44" s="36">
        <f>Tabelle2!H21</f>
        <v>14.795</v>
      </c>
      <c r="F44" s="37">
        <f t="shared" si="5"/>
        <v>9.676795045480937E-5</v>
      </c>
      <c r="G44" s="38">
        <f t="shared" si="0"/>
        <v>3.3795201081446433E-5</v>
      </c>
      <c r="H44" s="37">
        <f t="shared" si="6"/>
        <v>1.3056315153625581E-4</v>
      </c>
      <c r="I44" s="38">
        <f t="shared" si="9"/>
        <v>9.6048408566864646E-7</v>
      </c>
      <c r="J44" s="3">
        <f t="shared" si="7"/>
        <v>0.92555761385175928</v>
      </c>
      <c r="K44" s="39">
        <f t="shared" si="11"/>
        <v>4.5716916241799517</v>
      </c>
      <c r="L44" s="3" t="str">
        <f t="shared" si="1"/>
        <v xml:space="preserve"> </v>
      </c>
      <c r="M44" s="39">
        <f t="shared" si="10"/>
        <v>2.8985292035043599</v>
      </c>
      <c r="N44" s="40">
        <f t="shared" si="8"/>
        <v>3</v>
      </c>
      <c r="O44" s="3">
        <f t="shared" si="2"/>
        <v>1.523897208059984</v>
      </c>
      <c r="P44" s="3">
        <f t="shared" si="3"/>
        <v>0.92555761385175928</v>
      </c>
      <c r="Q44" s="26">
        <f t="shared" si="4"/>
        <v>1</v>
      </c>
    </row>
    <row r="45" spans="1:17">
      <c r="A45" s="35">
        <v>18</v>
      </c>
      <c r="B45" s="30">
        <f>Tabelle2!B22</f>
        <v>10</v>
      </c>
      <c r="C45" s="36">
        <f>Tabelle2!E22</f>
        <v>5.2560000000000002</v>
      </c>
      <c r="D45" s="30">
        <f>Tabelle2!B22</f>
        <v>10</v>
      </c>
      <c r="E45" s="36">
        <f>Tabelle2!H22</f>
        <v>15.53</v>
      </c>
      <c r="F45" s="37">
        <f t="shared" si="5"/>
        <v>9.5129375951293754E-5</v>
      </c>
      <c r="G45" s="38">
        <f t="shared" si="0"/>
        <v>3.2195750160978751E-5</v>
      </c>
      <c r="H45" s="37">
        <f t="shared" si="6"/>
        <v>1.273251261122725E-4</v>
      </c>
      <c r="I45" s="38">
        <f t="shared" si="9"/>
        <v>9.5231741404444036E-7</v>
      </c>
      <c r="J45" s="3">
        <f t="shared" si="7"/>
        <v>0.92496712738126829</v>
      </c>
      <c r="K45" s="39">
        <f t="shared" si="11"/>
        <v>4.4161745659237628</v>
      </c>
      <c r="L45" s="3" t="str">
        <f t="shared" si="1"/>
        <v xml:space="preserve"> </v>
      </c>
      <c r="M45" s="39">
        <f t="shared" si="10"/>
        <v>2.7999287789668648</v>
      </c>
      <c r="N45" s="40">
        <f t="shared" si="8"/>
        <v>3</v>
      </c>
      <c r="O45" s="3">
        <f t="shared" si="2"/>
        <v>1.4720581886412543</v>
      </c>
      <c r="P45" s="3">
        <f t="shared" si="3"/>
        <v>0.92496712738126829</v>
      </c>
      <c r="Q45" s="26">
        <f t="shared" si="4"/>
        <v>1</v>
      </c>
    </row>
    <row r="46" spans="1:17">
      <c r="A46" s="35">
        <v>19</v>
      </c>
      <c r="B46" s="30">
        <f>Tabelle2!B23</f>
        <v>10</v>
      </c>
      <c r="C46" s="36">
        <f>Tabelle2!E23</f>
        <v>5.08</v>
      </c>
      <c r="D46" s="30">
        <f>Tabelle2!B23</f>
        <v>10</v>
      </c>
      <c r="E46" s="36">
        <f>Tabelle2!H23</f>
        <v>15.749000000000001</v>
      </c>
      <c r="F46" s="37">
        <f t="shared" si="5"/>
        <v>9.8425196850393699E-5</v>
      </c>
      <c r="G46" s="38">
        <f t="shared" si="0"/>
        <v>3.1748047495079052E-5</v>
      </c>
      <c r="H46" s="37">
        <f t="shared" si="6"/>
        <v>1.3017324434547276E-4</v>
      </c>
      <c r="I46" s="38">
        <f t="shared" si="9"/>
        <v>9.6867378800823732E-7</v>
      </c>
      <c r="J46" s="3">
        <f t="shared" si="7"/>
        <v>0.92614050536675308</v>
      </c>
      <c r="K46" s="39">
        <f t="shared" si="11"/>
        <v>4.6012469091392454</v>
      </c>
      <c r="L46" s="3" t="str">
        <f t="shared" si="1"/>
        <v xml:space="preserve"> </v>
      </c>
      <c r="M46" s="39">
        <f t="shared" si="10"/>
        <v>2.9172677501113333</v>
      </c>
      <c r="N46" s="40">
        <f t="shared" si="8"/>
        <v>3</v>
      </c>
      <c r="O46" s="3">
        <f t="shared" si="2"/>
        <v>1.5337489697130817</v>
      </c>
      <c r="P46" s="3">
        <f t="shared" si="3"/>
        <v>0.92614050536675308</v>
      </c>
      <c r="Q46" s="26">
        <f t="shared" si="4"/>
        <v>1</v>
      </c>
    </row>
    <row r="47" spans="1:17">
      <c r="A47" s="35">
        <v>20</v>
      </c>
      <c r="B47" s="30">
        <f>Tabelle2!B24</f>
        <v>10</v>
      </c>
      <c r="C47" s="36">
        <f>Tabelle2!E24</f>
        <v>4.8769999999999998</v>
      </c>
      <c r="D47" s="30">
        <f>Tabelle2!B24</f>
        <v>10</v>
      </c>
      <c r="E47" s="36">
        <f>Tabelle2!H24</f>
        <v>14.061</v>
      </c>
      <c r="F47" s="37">
        <f t="shared" si="5"/>
        <v>1.0252204223908141E-4</v>
      </c>
      <c r="G47" s="38">
        <f t="shared" si="0"/>
        <v>3.5559348552734516E-5</v>
      </c>
      <c r="H47" s="37">
        <f t="shared" si="6"/>
        <v>1.3808139079181592E-4</v>
      </c>
      <c r="I47" s="38">
        <f t="shared" si="9"/>
        <v>9.886282730673835E-7</v>
      </c>
      <c r="J47" s="3">
        <f t="shared" si="7"/>
        <v>0.9275232393295072</v>
      </c>
      <c r="K47" s="39">
        <f t="shared" si="11"/>
        <v>4.9924798679936453</v>
      </c>
      <c r="L47" s="3" t="str">
        <f t="shared" si="1"/>
        <v xml:space="preserve"> </v>
      </c>
      <c r="M47" s="39">
        <f t="shared" si="10"/>
        <v>3.1653160109815772</v>
      </c>
      <c r="N47" s="40">
        <f t="shared" si="8"/>
        <v>3</v>
      </c>
      <c r="O47" s="3">
        <f t="shared" si="2"/>
        <v>1.6641599559978817</v>
      </c>
      <c r="P47" s="3">
        <f t="shared" si="3"/>
        <v>0.9275232393295072</v>
      </c>
      <c r="Q47" s="26">
        <f>IF(N47&lt;6,1," ")</f>
        <v>1</v>
      </c>
    </row>
    <row r="48" spans="1:17">
      <c r="A48" s="35">
        <v>21</v>
      </c>
      <c r="B48" s="30">
        <f>Tabelle2!B25</f>
        <v>10</v>
      </c>
      <c r="C48" s="36">
        <f>Tabelle2!E25</f>
        <v>7.5060000000000002</v>
      </c>
      <c r="D48" s="30">
        <f>Tabelle2!B25</f>
        <v>10</v>
      </c>
      <c r="E48" s="36">
        <f>Tabelle2!H25</f>
        <v>8.8710000000000004</v>
      </c>
      <c r="F48" s="37">
        <f t="shared" si="5"/>
        <v>6.661337596589395E-5</v>
      </c>
      <c r="G48" s="38">
        <f t="shared" si="0"/>
        <v>5.6363431405703975E-5</v>
      </c>
      <c r="H48" s="37">
        <f t="shared" si="6"/>
        <v>1.2297680737159792E-4</v>
      </c>
      <c r="I48" s="38">
        <f t="shared" si="9"/>
        <v>7.9690238047521936E-7</v>
      </c>
      <c r="J48" s="3">
        <f t="shared" si="7"/>
        <v>0.91162710054249707</v>
      </c>
      <c r="K48" s="39">
        <f t="shared" si="11"/>
        <v>3.4923287768431708</v>
      </c>
      <c r="L48" s="3" t="str">
        <f t="shared" si="1"/>
        <v xml:space="preserve"> </v>
      </c>
      <c r="M48" s="39">
        <f t="shared" si="10"/>
        <v>2.2141950463980251</v>
      </c>
      <c r="N48" s="40">
        <f t="shared" si="8"/>
        <v>2</v>
      </c>
      <c r="O48" s="3">
        <f t="shared" si="2"/>
        <v>1.7461643884215854</v>
      </c>
      <c r="P48" s="3">
        <f t="shared" si="3"/>
        <v>0.91162710054249707</v>
      </c>
      <c r="Q48" s="26">
        <f t="shared" si="4"/>
        <v>1</v>
      </c>
    </row>
    <row r="49" spans="1:17">
      <c r="A49" s="35">
        <v>22</v>
      </c>
      <c r="B49" s="30">
        <f>Tabelle2!B26</f>
        <v>10</v>
      </c>
      <c r="C49" s="36">
        <f>Tabelle2!E26</f>
        <v>7.71</v>
      </c>
      <c r="D49" s="30">
        <f>Tabelle2!B26</f>
        <v>10</v>
      </c>
      <c r="E49" s="36">
        <f>Tabelle2!H26</f>
        <v>9.2439999999999998</v>
      </c>
      <c r="F49" s="37">
        <f t="shared" si="5"/>
        <v>6.4850843060959792E-5</v>
      </c>
      <c r="G49" s="38">
        <f t="shared" si="0"/>
        <v>5.4089138900908702E-5</v>
      </c>
      <c r="H49" s="37">
        <f t="shared" si="6"/>
        <v>1.1893998196186849E-4</v>
      </c>
      <c r="I49" s="38">
        <f t="shared" si="9"/>
        <v>7.8628902737004169E-7</v>
      </c>
      <c r="J49" s="3">
        <f t="shared" si="7"/>
        <v>0.91054095259498724</v>
      </c>
      <c r="K49" s="39">
        <f t="shared" si="11"/>
        <v>3.3267506631127599</v>
      </c>
      <c r="L49" s="3" t="str">
        <f t="shared" si="1"/>
        <v xml:space="preserve"> </v>
      </c>
      <c r="M49" s="39">
        <f t="shared" si="10"/>
        <v>2.1092157438636265</v>
      </c>
      <c r="N49" s="40">
        <f t="shared" si="8"/>
        <v>2</v>
      </c>
      <c r="O49" s="3">
        <f t="shared" si="2"/>
        <v>1.66337533155638</v>
      </c>
      <c r="P49" s="3">
        <f t="shared" si="3"/>
        <v>0.91054095259498724</v>
      </c>
      <c r="Q49" s="26">
        <f t="shared" si="4"/>
        <v>1</v>
      </c>
    </row>
    <row r="50" spans="1:17">
      <c r="A50" s="35">
        <v>23</v>
      </c>
      <c r="B50" s="30">
        <f>Tabelle2!B27</f>
        <v>10</v>
      </c>
      <c r="C50" s="36">
        <f>Tabelle2!E27</f>
        <v>7.931</v>
      </c>
      <c r="D50" s="30">
        <f>Tabelle2!B27</f>
        <v>10</v>
      </c>
      <c r="E50" s="36">
        <f>Tabelle2!H27</f>
        <v>10.101000000000001</v>
      </c>
      <c r="F50" s="37">
        <f t="shared" si="5"/>
        <v>6.3043752364140714E-5</v>
      </c>
      <c r="G50" s="38">
        <f t="shared" si="0"/>
        <v>4.9500049500049496E-5</v>
      </c>
      <c r="H50" s="37">
        <f t="shared" si="6"/>
        <v>1.1254380186419021E-4</v>
      </c>
      <c r="I50" s="38">
        <f t="shared" si="9"/>
        <v>7.7525652328624669E-7</v>
      </c>
      <c r="J50" s="3">
        <f t="shared" si="7"/>
        <v>0.9093832423302467</v>
      </c>
      <c r="K50" s="39">
        <f t="shared" si="11"/>
        <v>3.0977643341734913</v>
      </c>
      <c r="L50" s="3" t="str">
        <f t="shared" si="1"/>
        <v xml:space="preserve"> </v>
      </c>
      <c r="M50" s="39">
        <f t="shared" si="10"/>
        <v>1.9640345688860206</v>
      </c>
      <c r="N50" s="40">
        <f t="shared" si="8"/>
        <v>2</v>
      </c>
      <c r="O50" s="3">
        <f t="shared" si="2"/>
        <v>1.5488821670867456</v>
      </c>
      <c r="P50" s="3">
        <f t="shared" si="3"/>
        <v>0.9093832423302467</v>
      </c>
      <c r="Q50" s="26">
        <f t="shared" si="4"/>
        <v>1</v>
      </c>
    </row>
    <row r="51" spans="1:17">
      <c r="A51" s="35">
        <v>24</v>
      </c>
      <c r="B51" s="30">
        <f>Tabelle2!B28</f>
        <v>10</v>
      </c>
      <c r="C51" s="36">
        <f>Tabelle2!E28</f>
        <v>7.6849999999999996</v>
      </c>
      <c r="D51" s="30">
        <f>Tabelle2!B28</f>
        <v>10</v>
      </c>
      <c r="E51" s="36">
        <f>Tabelle2!H28</f>
        <v>8.9290000000000003</v>
      </c>
      <c r="F51" s="37">
        <f t="shared" si="5"/>
        <v>6.506180871828237E-5</v>
      </c>
      <c r="G51" s="38">
        <f t="shared" si="0"/>
        <v>5.5997312129017808E-5</v>
      </c>
      <c r="H51" s="37">
        <f t="shared" si="6"/>
        <v>1.2105912084730018E-4</v>
      </c>
      <c r="I51" s="38">
        <f t="shared" si="9"/>
        <v>7.8756692359329138E-7</v>
      </c>
      <c r="J51" s="3">
        <f t="shared" si="7"/>
        <v>0.91067314147280498</v>
      </c>
      <c r="K51" s="39">
        <f t="shared" si="11"/>
        <v>3.3922645941976848</v>
      </c>
      <c r="L51" s="3" t="str">
        <f t="shared" si="1"/>
        <v xml:space="preserve"> </v>
      </c>
      <c r="M51" s="39">
        <f t="shared" si="10"/>
        <v>2.1507526755065367</v>
      </c>
      <c r="N51" s="40">
        <f t="shared" si="8"/>
        <v>2</v>
      </c>
      <c r="O51" s="3">
        <f t="shared" si="2"/>
        <v>1.6961322970988424</v>
      </c>
      <c r="P51" s="3">
        <f t="shared" si="3"/>
        <v>0.91067314147280498</v>
      </c>
      <c r="Q51" s="26">
        <f t="shared" si="4"/>
        <v>1</v>
      </c>
    </row>
    <row r="52" spans="1:17">
      <c r="A52" s="35">
        <v>25</v>
      </c>
      <c r="B52" s="30">
        <f>Tabelle2!B29</f>
        <v>10</v>
      </c>
      <c r="C52" s="36">
        <f>Tabelle2!E29</f>
        <v>7.9480000000000004</v>
      </c>
      <c r="D52" s="30">
        <f>Tabelle2!B29</f>
        <v>10</v>
      </c>
      <c r="E52" s="36">
        <f>Tabelle2!H29</f>
        <v>9.5779999999999994</v>
      </c>
      <c r="F52" s="37">
        <f t="shared" si="5"/>
        <v>6.2908907901358831E-5</v>
      </c>
      <c r="G52" s="38">
        <f t="shared" si="0"/>
        <v>5.2202965128419301E-5</v>
      </c>
      <c r="H52" s="37">
        <f t="shared" si="6"/>
        <v>1.1511187302977813E-4</v>
      </c>
      <c r="I52" s="38">
        <f t="shared" si="9"/>
        <v>7.7442698027001905E-7</v>
      </c>
      <c r="J52" s="3">
        <f t="shared" si="7"/>
        <v>0.90929498073979698</v>
      </c>
      <c r="K52" s="39">
        <f t="shared" si="11"/>
        <v>3.1645993148397262</v>
      </c>
      <c r="L52" s="3" t="str">
        <f t="shared" si="1"/>
        <v xml:space="preserve"> </v>
      </c>
      <c r="M52" s="39">
        <f t="shared" si="10"/>
        <v>2.006409068130921</v>
      </c>
      <c r="N52" s="40">
        <f t="shared" si="8"/>
        <v>2</v>
      </c>
      <c r="O52" s="3">
        <f t="shared" si="2"/>
        <v>1.5822996574198631</v>
      </c>
      <c r="P52" s="3">
        <f t="shared" si="3"/>
        <v>0.90929498073979698</v>
      </c>
      <c r="Q52" s="26">
        <f t="shared" si="4"/>
        <v>1</v>
      </c>
    </row>
    <row r="53" spans="1:17">
      <c r="A53" s="35">
        <v>26</v>
      </c>
      <c r="B53" s="30">
        <f>Tabelle2!B30</f>
        <v>10</v>
      </c>
      <c r="C53" s="36">
        <f>Tabelle2!E30</f>
        <v>6.6509999999999998</v>
      </c>
      <c r="D53" s="30">
        <f>Tabelle2!B30</f>
        <v>10</v>
      </c>
      <c r="E53" s="36">
        <f>Tabelle2!H30</f>
        <v>4.0060000000000002</v>
      </c>
      <c r="F53" s="37">
        <f t="shared" si="5"/>
        <v>7.5176665163133368E-5</v>
      </c>
      <c r="G53" s="38">
        <f t="shared" si="0"/>
        <v>1.2481278082875685E-4</v>
      </c>
      <c r="H53" s="37">
        <f t="shared" si="6"/>
        <v>1.999894459918902E-4</v>
      </c>
      <c r="I53" s="38">
        <f t="shared" si="9"/>
        <v>8.4657595705971942E-7</v>
      </c>
      <c r="J53" s="3">
        <f t="shared" si="7"/>
        <v>0.91637885141106412</v>
      </c>
      <c r="K53" s="39">
        <f t="shared" si="11"/>
        <v>6.0806014365759182</v>
      </c>
      <c r="L53" s="3" t="str">
        <f t="shared" si="1"/>
        <v xml:space="preserve"> </v>
      </c>
      <c r="M53" s="39">
        <f t="shared" si="10"/>
        <v>3.8552033443304072</v>
      </c>
      <c r="N53" s="40">
        <f t="shared" si="8"/>
        <v>4</v>
      </c>
      <c r="O53" s="3">
        <f t="shared" si="2"/>
        <v>1.5201503591439796</v>
      </c>
      <c r="P53" s="3">
        <f t="shared" si="3"/>
        <v>0.91637885141106412</v>
      </c>
      <c r="Q53" s="26">
        <f t="shared" si="4"/>
        <v>1</v>
      </c>
    </row>
    <row r="54" spans="1:17">
      <c r="A54" s="35">
        <v>27</v>
      </c>
      <c r="B54" s="30">
        <f>Tabelle2!B31</f>
        <v>10</v>
      </c>
      <c r="C54" s="36">
        <f>Tabelle2!E31</f>
        <v>6.2519999999999998</v>
      </c>
      <c r="D54" s="30">
        <f>Tabelle2!B31</f>
        <v>10</v>
      </c>
      <c r="E54" s="36">
        <f>Tabelle2!H31</f>
        <v>4.22</v>
      </c>
      <c r="F54" s="37">
        <f t="shared" si="5"/>
        <v>7.9974408189379409E-5</v>
      </c>
      <c r="G54" s="38">
        <f t="shared" si="0"/>
        <v>1.1848341232227489E-4</v>
      </c>
      <c r="H54" s="37">
        <f t="shared" si="6"/>
        <v>1.9845782051165431E-4</v>
      </c>
      <c r="I54" s="38">
        <f t="shared" si="9"/>
        <v>8.7317223876712624E-7</v>
      </c>
      <c r="J54" s="3">
        <f t="shared" si="7"/>
        <v>0.91871887249903772</v>
      </c>
      <c r="K54" s="39">
        <f t="shared" si="11"/>
        <v>6.2474535714384709</v>
      </c>
      <c r="L54" s="3" t="str">
        <f t="shared" si="1"/>
        <v xml:space="preserve"> </v>
      </c>
      <c r="M54" s="39">
        <f t="shared" si="10"/>
        <v>3.9609903976408782</v>
      </c>
      <c r="N54" s="40">
        <f t="shared" si="8"/>
        <v>4</v>
      </c>
      <c r="O54" s="3">
        <f t="shared" si="2"/>
        <v>1.5618633928596177</v>
      </c>
      <c r="P54" s="3">
        <f t="shared" si="3"/>
        <v>0.91871887249903772</v>
      </c>
      <c r="Q54" s="26">
        <f t="shared" si="4"/>
        <v>1</v>
      </c>
    </row>
    <row r="55" spans="1:17">
      <c r="A55" s="35">
        <v>28</v>
      </c>
      <c r="B55" s="30">
        <f>Tabelle2!B32</f>
        <v>10</v>
      </c>
      <c r="C55" s="36">
        <f>Tabelle2!E32</f>
        <v>6.2869999999999999</v>
      </c>
      <c r="D55" s="30">
        <f>Tabelle2!B32</f>
        <v>10</v>
      </c>
      <c r="E55" s="36">
        <f>Tabelle2!H32</f>
        <v>4.069</v>
      </c>
      <c r="F55" s="37">
        <f t="shared" si="5"/>
        <v>7.9529187211706698E-5</v>
      </c>
      <c r="G55" s="38">
        <f t="shared" si="0"/>
        <v>1.228803145736053E-4</v>
      </c>
      <c r="H55" s="37">
        <f t="shared" si="6"/>
        <v>2.02409501785312E-4</v>
      </c>
      <c r="I55" s="38">
        <f t="shared" si="9"/>
        <v>8.707383529070774E-7</v>
      </c>
      <c r="J55" s="3">
        <f t="shared" si="7"/>
        <v>0.91851018990255917</v>
      </c>
      <c r="K55" s="39">
        <f t="shared" si="11"/>
        <v>6.3519267538202246</v>
      </c>
      <c r="L55" s="3" t="str">
        <f t="shared" si="1"/>
        <v xml:space="preserve"> </v>
      </c>
      <c r="M55" s="39">
        <f t="shared" si="10"/>
        <v>4.0272281483489367</v>
      </c>
      <c r="N55" s="40">
        <f t="shared" si="8"/>
        <v>4</v>
      </c>
      <c r="O55" s="3">
        <f t="shared" si="2"/>
        <v>1.5879816884550562</v>
      </c>
      <c r="P55" s="3">
        <f t="shared" si="3"/>
        <v>0.91851018990255917</v>
      </c>
      <c r="Q55" s="26">
        <f t="shared" si="4"/>
        <v>1</v>
      </c>
    </row>
    <row r="56" spans="1:17">
      <c r="A56" s="35">
        <v>29</v>
      </c>
      <c r="B56" s="30">
        <f>Tabelle2!B33</f>
        <v>10</v>
      </c>
      <c r="C56" s="36">
        <f>Tabelle2!E33</f>
        <v>6.4189999999999996</v>
      </c>
      <c r="D56" s="30">
        <f>Tabelle2!B33</f>
        <v>10</v>
      </c>
      <c r="E56" s="36">
        <f>Tabelle2!H33</f>
        <v>4.0449999999999999</v>
      </c>
      <c r="F56" s="37">
        <f t="shared" si="5"/>
        <v>7.7893752921015744E-5</v>
      </c>
      <c r="G56" s="38">
        <f t="shared" si="0"/>
        <v>1.2360939431396787E-4</v>
      </c>
      <c r="H56" s="37">
        <f t="shared" si="6"/>
        <v>2.015031472349836E-4</v>
      </c>
      <c r="I56" s="38">
        <f t="shared" si="9"/>
        <v>8.6173893637572893E-7</v>
      </c>
      <c r="J56" s="3">
        <f t="shared" si="7"/>
        <v>0.91772918010247073</v>
      </c>
      <c r="K56" s="39">
        <f t="shared" si="11"/>
        <v>6.250148047689092</v>
      </c>
      <c r="L56" s="3" t="str">
        <f t="shared" si="1"/>
        <v xml:space="preserve"> </v>
      </c>
      <c r="M56" s="39">
        <f t="shared" si="10"/>
        <v>3.9626987407975482</v>
      </c>
      <c r="N56" s="40">
        <f t="shared" si="8"/>
        <v>4</v>
      </c>
      <c r="O56" s="3">
        <f t="shared" si="2"/>
        <v>1.562537011922273</v>
      </c>
      <c r="P56" s="3">
        <f t="shared" si="3"/>
        <v>0.91772918010247073</v>
      </c>
      <c r="Q56" s="26">
        <f t="shared" si="4"/>
        <v>1</v>
      </c>
    </row>
    <row r="57" spans="1:17">
      <c r="A57" s="35">
        <v>30</v>
      </c>
      <c r="B57" s="30">
        <f>Tabelle2!B34</f>
        <v>10</v>
      </c>
      <c r="C57" s="36">
        <f>Tabelle2!E34</f>
        <v>7.1509999999999998</v>
      </c>
      <c r="D57" s="30">
        <f>Tabelle2!B34</f>
        <v>10</v>
      </c>
      <c r="E57" s="36">
        <f>Tabelle2!H34</f>
        <v>4.1929999999999996</v>
      </c>
      <c r="F57" s="37">
        <f t="shared" si="5"/>
        <v>6.9920290868410014E-5</v>
      </c>
      <c r="G57" s="38">
        <f t="shared" si="0"/>
        <v>1.1924636298592894E-4</v>
      </c>
      <c r="H57" s="37">
        <f t="shared" si="6"/>
        <v>1.8916665385433894E-4</v>
      </c>
      <c r="I57" s="38">
        <f t="shared" si="9"/>
        <v>8.1644327316839744E-7</v>
      </c>
      <c r="J57" s="3">
        <f t="shared" si="7"/>
        <v>0.91355939932010866</v>
      </c>
      <c r="K57" s="39">
        <f t="shared" si="11"/>
        <v>5.5212412729803733</v>
      </c>
      <c r="L57" s="3" t="str">
        <f t="shared" si="1"/>
        <v xml:space="preserve"> </v>
      </c>
      <c r="M57" s="39">
        <f t="shared" si="10"/>
        <v>3.5005596144507729</v>
      </c>
      <c r="N57" s="40">
        <f t="shared" si="8"/>
        <v>4</v>
      </c>
      <c r="O57" s="3">
        <f t="shared" si="2"/>
        <v>1.3803103182450933</v>
      </c>
      <c r="P57" s="3">
        <f t="shared" si="3"/>
        <v>0.91355939932010866</v>
      </c>
      <c r="Q57" s="26">
        <f t="shared" si="4"/>
        <v>1</v>
      </c>
    </row>
    <row r="58" spans="1:17">
      <c r="A58" s="35">
        <v>31</v>
      </c>
      <c r="B58" s="30">
        <f>Tabelle2!B35</f>
        <v>10</v>
      </c>
      <c r="C58" s="36">
        <f>Tabelle2!E35</f>
        <v>4.5970000000000004</v>
      </c>
      <c r="D58" s="30">
        <f>Tabelle2!B35</f>
        <v>10</v>
      </c>
      <c r="E58" s="36">
        <f>Tabelle2!H35</f>
        <v>7.577</v>
      </c>
      <c r="F58" s="37">
        <f t="shared" si="5"/>
        <v>1.0876658690450292E-4</v>
      </c>
      <c r="G58" s="38">
        <f t="shared" si="0"/>
        <v>6.5989177774844929E-5</v>
      </c>
      <c r="H58" s="37">
        <f t="shared" si="6"/>
        <v>1.7475576467934785E-4</v>
      </c>
      <c r="I58" s="38">
        <f t="shared" si="9"/>
        <v>1.0182915790352507E-6</v>
      </c>
      <c r="J58" s="3">
        <f t="shared" si="7"/>
        <v>0.92948564531837963</v>
      </c>
      <c r="K58" s="39">
        <f t="shared" si="11"/>
        <v>6.528728928041776</v>
      </c>
      <c r="L58" s="3" t="str">
        <f t="shared" si="1"/>
        <v xml:space="preserve"> </v>
      </c>
      <c r="M58" s="39">
        <f t="shared" si="10"/>
        <v>4.1393236935763893</v>
      </c>
      <c r="N58" s="40">
        <f t="shared" si="8"/>
        <v>4</v>
      </c>
      <c r="O58" s="3">
        <f t="shared" si="2"/>
        <v>1.632182232010444</v>
      </c>
      <c r="P58" s="3">
        <f t="shared" si="3"/>
        <v>0.92948564531837963</v>
      </c>
      <c r="Q58" s="26">
        <f t="shared" si="4"/>
        <v>1</v>
      </c>
    </row>
    <row r="59" spans="1:17">
      <c r="A59" s="35">
        <v>32</v>
      </c>
      <c r="B59" s="30">
        <f>Tabelle2!B36</f>
        <v>10</v>
      </c>
      <c r="C59" s="36">
        <f>Tabelle2!E36</f>
        <v>4.6589999999999998</v>
      </c>
      <c r="D59" s="30">
        <f>Tabelle2!B36</f>
        <v>10</v>
      </c>
      <c r="E59" s="36">
        <f>Tabelle2!H36</f>
        <v>7.8550000000000004</v>
      </c>
      <c r="F59" s="37">
        <f t="shared" si="5"/>
        <v>1.0731916720326251E-4</v>
      </c>
      <c r="G59" s="38">
        <f t="shared" si="0"/>
        <v>6.3653723742838957E-5</v>
      </c>
      <c r="H59" s="37">
        <f t="shared" si="6"/>
        <v>1.7097289094610148E-4</v>
      </c>
      <c r="I59" s="38">
        <f t="shared" si="9"/>
        <v>1.011493389767778E-6</v>
      </c>
      <c r="J59" s="3">
        <f t="shared" si="7"/>
        <v>0.92904534940752792</v>
      </c>
      <c r="K59" s="39">
        <f t="shared" si="11"/>
        <v>6.3402534367843932</v>
      </c>
      <c r="L59" s="3" t="str">
        <f t="shared" si="1"/>
        <v xml:space="preserve"> </v>
      </c>
      <c r="M59" s="39">
        <f t="shared" si="10"/>
        <v>4.0198270694679454</v>
      </c>
      <c r="N59" s="40">
        <f t="shared" si="8"/>
        <v>4</v>
      </c>
      <c r="O59" s="3">
        <f t="shared" si="2"/>
        <v>1.5850633591960983</v>
      </c>
      <c r="P59" s="3">
        <f t="shared" si="3"/>
        <v>0.92904534940752792</v>
      </c>
      <c r="Q59" s="26">
        <f t="shared" si="4"/>
        <v>1</v>
      </c>
    </row>
    <row r="60" spans="1:17">
      <c r="A60" s="35">
        <v>33</v>
      </c>
      <c r="B60" s="30">
        <f>Tabelle2!B37</f>
        <v>10</v>
      </c>
      <c r="C60" s="36">
        <f>Tabelle2!E37</f>
        <v>4.7729999999999997</v>
      </c>
      <c r="D60" s="30">
        <f>Tabelle2!B37</f>
        <v>10</v>
      </c>
      <c r="E60" s="36">
        <f>Tabelle2!H37</f>
        <v>7.7190000000000003</v>
      </c>
      <c r="F60" s="37">
        <f t="shared" ref="F60:F91" si="12">IF(E60=""," ",B60*$B$8/C60)</f>
        <v>1.0475591870940709E-4</v>
      </c>
      <c r="G60" s="38">
        <f t="shared" ref="G60:G91" si="13">IF(E60=""," ",D60*$B$8/E60)</f>
        <v>6.4775229952066329E-5</v>
      </c>
      <c r="H60" s="37">
        <f t="shared" ref="H60:H91" si="14">IF(E60=""," ",F60+G60)</f>
        <v>1.6953114866147343E-4</v>
      </c>
      <c r="I60" s="38">
        <f t="shared" ref="I60:I91" si="15">IF(E60=""," ",SQRT($I$9)*SQRT(F60))</f>
        <v>9.9934095719511608E-7</v>
      </c>
      <c r="J60" s="3">
        <f t="shared" ref="J60:J91" si="16">IF(E60=""," ",1/(1+($I$11/(I60*$B$5))))</f>
        <v>0.92824442275244412</v>
      </c>
      <c r="K60" s="39">
        <f t="shared" ref="K60:K91" si="17">IF(E60=""," ",H60*SQRT(F60)*J60*SQRT(J60)*$I$8/$B$4/$B$10)</f>
        <v>6.2032267695839503</v>
      </c>
      <c r="L60" s="3" t="str">
        <f t="shared" ref="L60:L91" si="18">IF(K60&lt;$B$16,K60," ")</f>
        <v xml:space="preserve"> </v>
      </c>
      <c r="M60" s="39">
        <f t="shared" ref="M60:M91" si="19">IF(ISERROR(K60/$B$17)," ",K60/$B$17)</f>
        <v>3.9329498631317459</v>
      </c>
      <c r="N60" s="40">
        <f t="shared" ref="N60:N91" si="20">IF(M60=" "," ",INT(M60+0.5))</f>
        <v>4</v>
      </c>
      <c r="O60" s="3">
        <f t="shared" ref="O60:O91" si="21">IF(N60&lt;6,K60/N60," ")</f>
        <v>1.5508066923959876</v>
      </c>
      <c r="P60" s="3">
        <f t="shared" ref="P60:P91" si="22">IF(N60&lt;6,J60," ")</f>
        <v>0.92824442275244412</v>
      </c>
      <c r="Q60" s="26">
        <f t="shared" ref="Q60:Q91" si="23">IF(N60&lt;6,1," ")</f>
        <v>1</v>
      </c>
    </row>
    <row r="61" spans="1:17">
      <c r="A61" s="35">
        <v>34</v>
      </c>
      <c r="B61" s="30">
        <f>Tabelle2!B38</f>
        <v>10</v>
      </c>
      <c r="C61" s="36">
        <f>Tabelle2!E38</f>
        <v>4.6630000000000003</v>
      </c>
      <c r="D61" s="30">
        <f>Tabelle2!B38</f>
        <v>10</v>
      </c>
      <c r="E61" s="36">
        <f>Tabelle2!H38</f>
        <v>7.9160000000000004</v>
      </c>
      <c r="F61" s="37">
        <f t="shared" si="12"/>
        <v>1.0722710701265279E-4</v>
      </c>
      <c r="G61" s="38">
        <f t="shared" si="13"/>
        <v>6.3163213744315316E-5</v>
      </c>
      <c r="H61" s="37">
        <f t="shared" si="14"/>
        <v>1.7039032075696811E-4</v>
      </c>
      <c r="I61" s="38">
        <f t="shared" si="15"/>
        <v>1.0110594586496669E-6</v>
      </c>
      <c r="J61" s="3">
        <f t="shared" si="16"/>
        <v>0.92901705838443471</v>
      </c>
      <c r="K61" s="39">
        <f t="shared" si="17"/>
        <v>6.3156505643810696</v>
      </c>
      <c r="L61" s="3" t="str">
        <f t="shared" si="18"/>
        <v xml:space="preserve"> </v>
      </c>
      <c r="M61" s="39">
        <f t="shared" si="19"/>
        <v>4.0042284355237943</v>
      </c>
      <c r="N61" s="40">
        <f t="shared" si="20"/>
        <v>4</v>
      </c>
      <c r="O61" s="3">
        <f t="shared" si="21"/>
        <v>1.5789126410952674</v>
      </c>
      <c r="P61" s="3">
        <f t="shared" si="22"/>
        <v>0.92901705838443471</v>
      </c>
      <c r="Q61" s="26">
        <f t="shared" si="23"/>
        <v>1</v>
      </c>
    </row>
    <row r="62" spans="1:17">
      <c r="A62" s="35">
        <v>35</v>
      </c>
      <c r="B62" s="30">
        <f>Tabelle2!B39</f>
        <v>10</v>
      </c>
      <c r="C62" s="36">
        <f>Tabelle2!E39</f>
        <v>4.8550000000000004</v>
      </c>
      <c r="D62" s="30">
        <f>Tabelle2!B39</f>
        <v>10</v>
      </c>
      <c r="E62" s="36">
        <f>Tabelle2!H39</f>
        <v>7.9109999999999996</v>
      </c>
      <c r="F62" s="37">
        <f t="shared" si="12"/>
        <v>1.0298661174047373E-4</v>
      </c>
      <c r="G62" s="38">
        <f t="shared" si="13"/>
        <v>6.320313487548983E-5</v>
      </c>
      <c r="H62" s="37">
        <f t="shared" si="14"/>
        <v>1.6618974661596357E-4</v>
      </c>
      <c r="I62" s="38">
        <f t="shared" si="15"/>
        <v>9.9086568175226037E-7</v>
      </c>
      <c r="J62" s="3">
        <f t="shared" si="16"/>
        <v>0.92767505800107519</v>
      </c>
      <c r="K62" s="39">
        <f t="shared" si="17"/>
        <v>6.0238448314486348</v>
      </c>
      <c r="L62" s="3" t="str">
        <f t="shared" si="18"/>
        <v xml:space="preserve"> </v>
      </c>
      <c r="M62" s="39">
        <f t="shared" si="19"/>
        <v>3.8192187042940828</v>
      </c>
      <c r="N62" s="40">
        <f t="shared" si="20"/>
        <v>4</v>
      </c>
      <c r="O62" s="3">
        <f t="shared" si="21"/>
        <v>1.5059612078621587</v>
      </c>
      <c r="P62" s="3">
        <f t="shared" si="22"/>
        <v>0.92767505800107519</v>
      </c>
      <c r="Q62" s="26">
        <f t="shared" si="23"/>
        <v>1</v>
      </c>
    </row>
    <row r="63" spans="1:17">
      <c r="A63" s="35">
        <v>36</v>
      </c>
      <c r="B63" s="30">
        <f>Tabelle2!B40</f>
        <v>10</v>
      </c>
      <c r="C63" s="36">
        <f>Tabelle2!E40</f>
        <v>6.2270000000000003</v>
      </c>
      <c r="D63" s="30">
        <f>Tabelle2!B40</f>
        <v>10</v>
      </c>
      <c r="E63" s="36">
        <f>Tabelle2!H40</f>
        <v>7.93</v>
      </c>
      <c r="F63" s="37">
        <f t="shared" si="12"/>
        <v>8.0295487393608481E-5</v>
      </c>
      <c r="G63" s="38">
        <f t="shared" si="13"/>
        <v>6.3051702395964691E-5</v>
      </c>
      <c r="H63" s="37">
        <f t="shared" si="14"/>
        <v>1.4334718978957316E-4</v>
      </c>
      <c r="I63" s="38">
        <f t="shared" si="15"/>
        <v>8.7492327778321095E-7</v>
      </c>
      <c r="J63" s="3">
        <f t="shared" si="16"/>
        <v>0.91886834760247105</v>
      </c>
      <c r="K63" s="39">
        <f t="shared" si="17"/>
        <v>4.5227234779907226</v>
      </c>
      <c r="L63" s="3" t="str">
        <f t="shared" si="18"/>
        <v xml:space="preserve"> </v>
      </c>
      <c r="M63" s="39">
        <f t="shared" si="19"/>
        <v>2.8674825771264465</v>
      </c>
      <c r="N63" s="40">
        <f t="shared" si="20"/>
        <v>3</v>
      </c>
      <c r="O63" s="3">
        <f t="shared" si="21"/>
        <v>1.5075744926635741</v>
      </c>
      <c r="P63" s="3">
        <f t="shared" si="22"/>
        <v>0.91886834760247105</v>
      </c>
      <c r="Q63" s="26">
        <f t="shared" si="23"/>
        <v>1</v>
      </c>
    </row>
    <row r="64" spans="1:17">
      <c r="A64" s="35">
        <v>37</v>
      </c>
      <c r="B64" s="30">
        <f>Tabelle2!B41</f>
        <v>10</v>
      </c>
      <c r="C64" s="36">
        <f>Tabelle2!E41</f>
        <v>6.4649999999999999</v>
      </c>
      <c r="D64" s="30">
        <f>Tabelle2!B41</f>
        <v>10</v>
      </c>
      <c r="E64" s="36">
        <f>Tabelle2!H41</f>
        <v>8.0950000000000006</v>
      </c>
      <c r="F64" s="37">
        <f t="shared" si="12"/>
        <v>7.7339520494972941E-5</v>
      </c>
      <c r="G64" s="38">
        <f t="shared" si="13"/>
        <v>6.1766522544780725E-5</v>
      </c>
      <c r="H64" s="37">
        <f t="shared" si="14"/>
        <v>1.3910604303975368E-4</v>
      </c>
      <c r="I64" s="38">
        <f t="shared" si="15"/>
        <v>8.5866772562392474E-7</v>
      </c>
      <c r="J64" s="3">
        <f t="shared" si="16"/>
        <v>0.91745920913076218</v>
      </c>
      <c r="K64" s="39">
        <f t="shared" si="17"/>
        <v>4.2974637949419705</v>
      </c>
      <c r="L64" s="3" t="str">
        <f t="shared" si="18"/>
        <v xml:space="preserve"> </v>
      </c>
      <c r="M64" s="39">
        <f t="shared" si="19"/>
        <v>2.7246641581771889</v>
      </c>
      <c r="N64" s="40">
        <f t="shared" si="20"/>
        <v>3</v>
      </c>
      <c r="O64" s="3">
        <f t="shared" si="21"/>
        <v>1.4324879316473236</v>
      </c>
      <c r="P64" s="3">
        <f t="shared" si="22"/>
        <v>0.91745920913076218</v>
      </c>
      <c r="Q64" s="26">
        <f t="shared" si="23"/>
        <v>1</v>
      </c>
    </row>
    <row r="65" spans="1:17">
      <c r="A65" s="35">
        <v>38</v>
      </c>
      <c r="B65" s="30">
        <f>Tabelle2!B42</f>
        <v>10</v>
      </c>
      <c r="C65" s="36">
        <f>Tabelle2!E42</f>
        <v>6.1950000000000003</v>
      </c>
      <c r="D65" s="30">
        <f>Tabelle2!B42</f>
        <v>10</v>
      </c>
      <c r="E65" s="36">
        <f>Tabelle2!H42</f>
        <v>8.6980000000000004</v>
      </c>
      <c r="F65" s="37">
        <f t="shared" si="12"/>
        <v>8.0710250201775617E-5</v>
      </c>
      <c r="G65" s="38">
        <f t="shared" si="13"/>
        <v>5.7484479190618535E-5</v>
      </c>
      <c r="H65" s="37">
        <f t="shared" si="14"/>
        <v>1.3819472939239415E-4</v>
      </c>
      <c r="I65" s="38">
        <f t="shared" si="15"/>
        <v>8.7718005606776477E-7</v>
      </c>
      <c r="J65" s="3">
        <f t="shared" si="16"/>
        <v>0.91906018550580015</v>
      </c>
      <c r="K65" s="39">
        <f t="shared" si="17"/>
        <v>4.372774692351733</v>
      </c>
      <c r="L65" s="3" t="str">
        <f t="shared" si="18"/>
        <v xml:space="preserve"> </v>
      </c>
      <c r="M65" s="39">
        <f t="shared" si="19"/>
        <v>2.7724125308648313</v>
      </c>
      <c r="N65" s="40">
        <f t="shared" si="20"/>
        <v>3</v>
      </c>
      <c r="O65" s="3">
        <f t="shared" si="21"/>
        <v>1.4575915641172443</v>
      </c>
      <c r="P65" s="3">
        <f t="shared" si="22"/>
        <v>0.91906018550580015</v>
      </c>
      <c r="Q65" s="26">
        <f t="shared" si="23"/>
        <v>1</v>
      </c>
    </row>
    <row r="66" spans="1:17">
      <c r="A66" s="35">
        <v>39</v>
      </c>
      <c r="B66" s="30">
        <f>Tabelle2!B43</f>
        <v>10</v>
      </c>
      <c r="C66" s="36">
        <f>Tabelle2!E43</f>
        <v>6.4610000000000003</v>
      </c>
      <c r="D66" s="30">
        <f>Tabelle2!B43</f>
        <v>10</v>
      </c>
      <c r="E66" s="36">
        <f>Tabelle2!H43</f>
        <v>7.9569999999999999</v>
      </c>
      <c r="F66" s="37">
        <f t="shared" si="12"/>
        <v>7.7387401331063295E-5</v>
      </c>
      <c r="G66" s="38">
        <f t="shared" si="13"/>
        <v>6.2837752921955517E-5</v>
      </c>
      <c r="H66" s="37">
        <f t="shared" si="14"/>
        <v>1.4022515425301881E-4</v>
      </c>
      <c r="I66" s="38">
        <f t="shared" si="15"/>
        <v>8.5893348475304359E-7</v>
      </c>
      <c r="J66" s="3">
        <f t="shared" si="16"/>
        <v>0.91748264036360783</v>
      </c>
      <c r="K66" s="39">
        <f t="shared" si="17"/>
        <v>4.3335437676804514</v>
      </c>
      <c r="L66" s="3" t="str">
        <f>IF(K66&lt;$B$16,K66," ")</f>
        <v xml:space="preserve"> </v>
      </c>
      <c r="M66" s="39">
        <f t="shared" si="19"/>
        <v>2.7475394663215535</v>
      </c>
      <c r="N66" s="40">
        <f t="shared" si="20"/>
        <v>3</v>
      </c>
      <c r="O66" s="3">
        <f t="shared" si="21"/>
        <v>1.4445145892268172</v>
      </c>
      <c r="P66" s="3">
        <f t="shared" si="22"/>
        <v>0.91748264036360783</v>
      </c>
      <c r="Q66" s="26">
        <f t="shared" si="23"/>
        <v>1</v>
      </c>
    </row>
    <row r="67" spans="1:17">
      <c r="A67" s="35">
        <v>40</v>
      </c>
      <c r="B67" s="30">
        <f>Tabelle2!B44</f>
        <v>10</v>
      </c>
      <c r="C67" s="36">
        <f>Tabelle2!E44</f>
        <v>6.29</v>
      </c>
      <c r="D67" s="30">
        <f>Tabelle2!B44</f>
        <v>10</v>
      </c>
      <c r="E67" s="36">
        <f>Tabelle2!H44</f>
        <v>8.6039999999999992</v>
      </c>
      <c r="F67" s="37">
        <f t="shared" si="12"/>
        <v>7.9491255961844197E-5</v>
      </c>
      <c r="G67" s="38">
        <f t="shared" si="13"/>
        <v>5.8112505811250586E-5</v>
      </c>
      <c r="H67" s="37">
        <f t="shared" si="14"/>
        <v>1.3760376177309478E-4</v>
      </c>
      <c r="I67" s="38">
        <f t="shared" si="15"/>
        <v>8.7053067988597992E-7</v>
      </c>
      <c r="J67" s="3">
        <f t="shared" si="16"/>
        <v>0.91849233428640997</v>
      </c>
      <c r="K67" s="39">
        <f t="shared" si="17"/>
        <v>4.3170654774307717</v>
      </c>
      <c r="L67" s="3" t="str">
        <f t="shared" si="18"/>
        <v xml:space="preserve"> </v>
      </c>
      <c r="M67" s="39">
        <f t="shared" si="19"/>
        <v>2.7370919537947032</v>
      </c>
      <c r="N67" s="40">
        <f t="shared" si="20"/>
        <v>3</v>
      </c>
      <c r="O67" s="3">
        <f t="shared" si="21"/>
        <v>1.4390218258102572</v>
      </c>
      <c r="P67" s="3">
        <f t="shared" si="22"/>
        <v>0.91849233428640997</v>
      </c>
      <c r="Q67" s="26">
        <f t="shared" si="23"/>
        <v>1</v>
      </c>
    </row>
    <row r="68" spans="1:17">
      <c r="A68" s="35">
        <v>41</v>
      </c>
      <c r="B68" s="30">
        <f>Tabelle2!B45</f>
        <v>10</v>
      </c>
      <c r="C68" s="36">
        <f>Tabelle2!E45</f>
        <v>13.914</v>
      </c>
      <c r="D68" s="30">
        <f>Tabelle2!B45</f>
        <v>10</v>
      </c>
      <c r="E68" s="36">
        <f>Tabelle2!H45</f>
        <v>12.462999999999999</v>
      </c>
      <c r="F68" s="37">
        <f t="shared" si="12"/>
        <v>3.5935029466724166E-5</v>
      </c>
      <c r="G68" s="38">
        <f t="shared" si="13"/>
        <v>4.0118751504453188E-5</v>
      </c>
      <c r="H68" s="37">
        <f t="shared" si="14"/>
        <v>7.6053780971177347E-5</v>
      </c>
      <c r="I68" s="38">
        <f t="shared" si="15"/>
        <v>5.8530657756640253E-7</v>
      </c>
      <c r="J68" s="3">
        <f t="shared" si="16"/>
        <v>0.88340416455078774</v>
      </c>
      <c r="K68" s="39">
        <f t="shared" si="17"/>
        <v>1.5132278346926384</v>
      </c>
      <c r="L68" s="3">
        <f t="shared" si="18"/>
        <v>1.5132278346926384</v>
      </c>
      <c r="M68" s="39">
        <f t="shared" si="19"/>
        <v>0.95941183941929686</v>
      </c>
      <c r="N68" s="40">
        <f t="shared" si="20"/>
        <v>1</v>
      </c>
      <c r="O68" s="3">
        <f t="shared" si="21"/>
        <v>1.5132278346926384</v>
      </c>
      <c r="P68" s="3">
        <f t="shared" si="22"/>
        <v>0.88340416455078774</v>
      </c>
      <c r="Q68" s="26">
        <f t="shared" si="23"/>
        <v>1</v>
      </c>
    </row>
    <row r="69" spans="1:17">
      <c r="A69" s="35">
        <v>42</v>
      </c>
      <c r="B69" s="30">
        <f>Tabelle2!B46</f>
        <v>10</v>
      </c>
      <c r="C69" s="36">
        <f>Tabelle2!E46</f>
        <v>13.294</v>
      </c>
      <c r="D69" s="30">
        <f>Tabelle2!B46</f>
        <v>10</v>
      </c>
      <c r="E69" s="36">
        <f>Tabelle2!H46</f>
        <v>12.143000000000001</v>
      </c>
      <c r="F69" s="37">
        <f t="shared" si="12"/>
        <v>3.761095230931247E-5</v>
      </c>
      <c r="G69" s="38">
        <f t="shared" si="13"/>
        <v>4.117598616486865E-5</v>
      </c>
      <c r="H69" s="37">
        <f t="shared" si="14"/>
        <v>7.8786938474181112E-5</v>
      </c>
      <c r="I69" s="38">
        <f t="shared" si="15"/>
        <v>5.9879969016287176E-7</v>
      </c>
      <c r="J69" s="3">
        <f t="shared" si="16"/>
        <v>0.88573126747691111</v>
      </c>
      <c r="K69" s="39">
        <f t="shared" si="17"/>
        <v>1.610088319836638</v>
      </c>
      <c r="L69" s="3">
        <f t="shared" si="18"/>
        <v>1.610088319836638</v>
      </c>
      <c r="M69" s="39">
        <f t="shared" si="19"/>
        <v>1.0208230123362461</v>
      </c>
      <c r="N69" s="40">
        <f t="shared" si="20"/>
        <v>1</v>
      </c>
      <c r="O69" s="3">
        <f t="shared" si="21"/>
        <v>1.610088319836638</v>
      </c>
      <c r="P69" s="3">
        <f t="shared" si="22"/>
        <v>0.88573126747691111</v>
      </c>
      <c r="Q69" s="26">
        <f t="shared" si="23"/>
        <v>1</v>
      </c>
    </row>
    <row r="70" spans="1:17">
      <c r="A70" s="35">
        <v>43</v>
      </c>
      <c r="B70" s="30">
        <f>Tabelle2!B47</f>
        <v>10</v>
      </c>
      <c r="C70" s="36">
        <f>Tabelle2!E47</f>
        <v>13.44</v>
      </c>
      <c r="D70" s="30">
        <f>Tabelle2!B47</f>
        <v>10</v>
      </c>
      <c r="E70" s="36">
        <f>Tabelle2!H47</f>
        <v>12.842000000000001</v>
      </c>
      <c r="F70" s="37">
        <f t="shared" si="12"/>
        <v>3.7202380952380956E-5</v>
      </c>
      <c r="G70" s="38">
        <f t="shared" si="13"/>
        <v>3.8934745366765302E-5</v>
      </c>
      <c r="H70" s="37">
        <f t="shared" si="14"/>
        <v>7.6137126319146257E-5</v>
      </c>
      <c r="I70" s="38">
        <f t="shared" si="15"/>
        <v>5.9553840002017677E-7</v>
      </c>
      <c r="J70" s="3">
        <f t="shared" si="16"/>
        <v>0.88517735981109724</v>
      </c>
      <c r="K70" s="39">
        <f t="shared" si="17"/>
        <v>1.5460112165816615</v>
      </c>
      <c r="L70" s="3">
        <f t="shared" si="18"/>
        <v>1.5460112165816615</v>
      </c>
      <c r="M70" s="39">
        <f t="shared" si="19"/>
        <v>0.98019705364774212</v>
      </c>
      <c r="N70" s="40">
        <f t="shared" si="20"/>
        <v>1</v>
      </c>
      <c r="O70" s="3">
        <f t="shared" si="21"/>
        <v>1.5460112165816615</v>
      </c>
      <c r="P70" s="3">
        <f t="shared" si="22"/>
        <v>0.88517735981109724</v>
      </c>
      <c r="Q70" s="26">
        <f t="shared" si="23"/>
        <v>1</v>
      </c>
    </row>
    <row r="71" spans="1:17">
      <c r="A71" s="35">
        <v>44</v>
      </c>
      <c r="B71" s="30">
        <f>Tabelle2!B48</f>
        <v>10</v>
      </c>
      <c r="C71" s="36">
        <f>Tabelle2!E48</f>
        <v>14.279</v>
      </c>
      <c r="D71" s="30">
        <f>Tabelle2!B48</f>
        <v>10</v>
      </c>
      <c r="E71" s="36">
        <f>Tabelle2!H48</f>
        <v>14.413</v>
      </c>
      <c r="F71" s="37">
        <f t="shared" si="12"/>
        <v>3.5016457735135512E-5</v>
      </c>
      <c r="G71" s="38">
        <f t="shared" si="13"/>
        <v>3.4690904044959412E-5</v>
      </c>
      <c r="H71" s="37">
        <f t="shared" si="14"/>
        <v>6.9707361780094925E-5</v>
      </c>
      <c r="I71" s="38">
        <f t="shared" si="15"/>
        <v>5.7777734298143333E-7</v>
      </c>
      <c r="J71" s="3">
        <f t="shared" si="16"/>
        <v>0.88206395276158578</v>
      </c>
      <c r="K71" s="39">
        <f t="shared" si="17"/>
        <v>1.3659984557730416</v>
      </c>
      <c r="L71" s="3">
        <f t="shared" si="18"/>
        <v>1.3659984557730416</v>
      </c>
      <c r="M71" s="39">
        <f t="shared" si="19"/>
        <v>0.86606594264989067</v>
      </c>
      <c r="N71" s="40">
        <f t="shared" si="20"/>
        <v>1</v>
      </c>
      <c r="O71" s="3">
        <f t="shared" si="21"/>
        <v>1.3659984557730416</v>
      </c>
      <c r="P71" s="3">
        <f t="shared" si="22"/>
        <v>0.88206395276158578</v>
      </c>
      <c r="Q71" s="26">
        <f t="shared" si="23"/>
        <v>1</v>
      </c>
    </row>
    <row r="72" spans="1:17">
      <c r="A72" s="35">
        <v>45</v>
      </c>
      <c r="B72" s="30">
        <f>Tabelle2!B49</f>
        <v>10</v>
      </c>
      <c r="C72" s="36">
        <f>Tabelle2!E49</f>
        <v>13.651</v>
      </c>
      <c r="D72" s="30">
        <f>Tabelle2!B49</f>
        <v>10</v>
      </c>
      <c r="E72" s="36">
        <f>Tabelle2!H49</f>
        <v>13.007999999999999</v>
      </c>
      <c r="F72" s="37">
        <f t="shared" si="12"/>
        <v>3.6627353307450008E-5</v>
      </c>
      <c r="G72" s="38">
        <f t="shared" si="13"/>
        <v>3.843788437884379E-5</v>
      </c>
      <c r="H72" s="37">
        <f t="shared" si="14"/>
        <v>7.5065237686293797E-5</v>
      </c>
      <c r="I72" s="38">
        <f t="shared" si="15"/>
        <v>5.9091793412432387E-7</v>
      </c>
      <c r="J72" s="3">
        <f t="shared" si="16"/>
        <v>0.88438334850998745</v>
      </c>
      <c r="K72" s="39">
        <f t="shared" si="17"/>
        <v>1.5103855214317379</v>
      </c>
      <c r="L72" s="3">
        <f t="shared" si="18"/>
        <v>1.5103855214317379</v>
      </c>
      <c r="M72" s="39">
        <f t="shared" si="19"/>
        <v>0.95760976511737894</v>
      </c>
      <c r="N72" s="40">
        <f t="shared" si="20"/>
        <v>1</v>
      </c>
      <c r="O72" s="3">
        <f t="shared" si="21"/>
        <v>1.5103855214317379</v>
      </c>
      <c r="P72" s="3">
        <f t="shared" si="22"/>
        <v>0.88438334850998745</v>
      </c>
      <c r="Q72" s="26">
        <f t="shared" si="23"/>
        <v>1</v>
      </c>
    </row>
    <row r="73" spans="1:17">
      <c r="A73" s="35">
        <v>46</v>
      </c>
      <c r="B73" s="30">
        <f>Tabelle2!B50</f>
        <v>10</v>
      </c>
      <c r="C73" s="36">
        <f>Tabelle2!E50</f>
        <v>9.2569999999999997</v>
      </c>
      <c r="D73" s="30">
        <f>Tabelle2!B50</f>
        <v>10</v>
      </c>
      <c r="E73" s="36">
        <f>Tabelle2!H50</f>
        <v>2.585</v>
      </c>
      <c r="F73" s="37">
        <f t="shared" si="12"/>
        <v>5.4013179215728642E-5</v>
      </c>
      <c r="G73" s="38">
        <f t="shared" si="13"/>
        <v>1.9342359767891682E-4</v>
      </c>
      <c r="H73" s="37">
        <f t="shared" si="14"/>
        <v>2.4743677689464548E-4</v>
      </c>
      <c r="I73" s="38">
        <f t="shared" si="15"/>
        <v>7.1758652082710781E-7</v>
      </c>
      <c r="J73" s="3">
        <f t="shared" si="16"/>
        <v>0.90280848318808438</v>
      </c>
      <c r="K73" s="39">
        <f t="shared" si="17"/>
        <v>6.2358105524954404</v>
      </c>
      <c r="L73" s="3" t="str">
        <f t="shared" si="18"/>
        <v xml:space="preserve"> </v>
      </c>
      <c r="M73" s="39">
        <f t="shared" si="19"/>
        <v>3.9536085282591298</v>
      </c>
      <c r="N73" s="40">
        <f t="shared" si="20"/>
        <v>4</v>
      </c>
      <c r="O73" s="3">
        <f t="shared" si="21"/>
        <v>1.5589526381238601</v>
      </c>
      <c r="P73" s="3">
        <f t="shared" si="22"/>
        <v>0.90280848318808438</v>
      </c>
      <c r="Q73" s="26">
        <f t="shared" si="23"/>
        <v>1</v>
      </c>
    </row>
    <row r="74" spans="1:17">
      <c r="A74" s="35">
        <v>47</v>
      </c>
      <c r="B74" s="30">
        <f>Tabelle2!B51</f>
        <v>10</v>
      </c>
      <c r="C74" s="36">
        <f>Tabelle2!E51</f>
        <v>9.9160000000000004</v>
      </c>
      <c r="D74" s="30">
        <f>Tabelle2!B51</f>
        <v>10</v>
      </c>
      <c r="E74" s="36">
        <f>Tabelle2!H51</f>
        <v>2.6739999999999999</v>
      </c>
      <c r="F74" s="37">
        <f t="shared" si="12"/>
        <v>5.0423557886244452E-5</v>
      </c>
      <c r="G74" s="38">
        <f t="shared" si="13"/>
        <v>1.8698578908002991E-4</v>
      </c>
      <c r="H74" s="37">
        <f t="shared" si="14"/>
        <v>2.3740934696627437E-4</v>
      </c>
      <c r="I74" s="38">
        <f t="shared" si="15"/>
        <v>6.933318404573965E-7</v>
      </c>
      <c r="J74" s="3">
        <f t="shared" si="16"/>
        <v>0.89974930839469802</v>
      </c>
      <c r="K74" s="39">
        <f t="shared" si="17"/>
        <v>5.7515140401291571</v>
      </c>
      <c r="L74" s="3" t="str">
        <f t="shared" si="18"/>
        <v xml:space="preserve"> </v>
      </c>
      <c r="M74" s="39">
        <f t="shared" si="19"/>
        <v>3.6465564128398666</v>
      </c>
      <c r="N74" s="40">
        <f t="shared" si="20"/>
        <v>4</v>
      </c>
      <c r="O74" s="3">
        <f t="shared" si="21"/>
        <v>1.4378785100322893</v>
      </c>
      <c r="P74" s="3">
        <f t="shared" si="22"/>
        <v>0.89974930839469802</v>
      </c>
      <c r="Q74" s="26">
        <f t="shared" si="23"/>
        <v>1</v>
      </c>
    </row>
    <row r="75" spans="1:17">
      <c r="A75" s="35">
        <v>48</v>
      </c>
      <c r="B75" s="30">
        <f>Tabelle2!B52</f>
        <v>10</v>
      </c>
      <c r="C75" s="36">
        <f>Tabelle2!E52</f>
        <v>6.35</v>
      </c>
      <c r="D75" s="30">
        <f>Tabelle2!B52</f>
        <v>10</v>
      </c>
      <c r="E75" s="36">
        <f>Tabelle2!H52</f>
        <v>3.62</v>
      </c>
      <c r="F75" s="37">
        <f t="shared" si="12"/>
        <v>7.874015748031497E-5</v>
      </c>
      <c r="G75" s="38">
        <f t="shared" si="13"/>
        <v>1.3812154696132598E-4</v>
      </c>
      <c r="H75" s="37">
        <f t="shared" si="14"/>
        <v>2.1686170444164095E-4</v>
      </c>
      <c r="I75" s="38">
        <f t="shared" si="15"/>
        <v>8.6640817520345592E-7</v>
      </c>
      <c r="J75" s="3">
        <f t="shared" si="16"/>
        <v>0.91813625705081148</v>
      </c>
      <c r="K75" s="39">
        <f t="shared" si="17"/>
        <v>6.7674812123502015</v>
      </c>
      <c r="L75" s="3" t="str">
        <f t="shared" si="18"/>
        <v xml:space="preserve"> </v>
      </c>
      <c r="M75" s="39">
        <f t="shared" si="19"/>
        <v>4.2906966481324575</v>
      </c>
      <c r="N75" s="40">
        <f t="shared" si="20"/>
        <v>4</v>
      </c>
      <c r="O75" s="3">
        <f t="shared" si="21"/>
        <v>1.6918703030875504</v>
      </c>
      <c r="P75" s="3">
        <f t="shared" si="22"/>
        <v>0.91813625705081148</v>
      </c>
      <c r="Q75" s="26">
        <f t="shared" si="23"/>
        <v>1</v>
      </c>
    </row>
    <row r="76" spans="1:17">
      <c r="A76" s="35">
        <v>49</v>
      </c>
      <c r="B76" s="30">
        <f>Tabelle2!B53</f>
        <v>10</v>
      </c>
      <c r="C76" s="36">
        <f>Tabelle2!E53</f>
        <v>7.6340000000000003</v>
      </c>
      <c r="D76" s="30">
        <f>Tabelle2!B53</f>
        <v>10</v>
      </c>
      <c r="E76" s="36">
        <f>Tabelle2!H53</f>
        <v>2.343</v>
      </c>
      <c r="F76" s="37">
        <f t="shared" si="12"/>
        <v>6.5496463190987679E-5</v>
      </c>
      <c r="G76" s="38">
        <f t="shared" si="13"/>
        <v>2.1340162185232609E-4</v>
      </c>
      <c r="H76" s="37">
        <f t="shared" si="14"/>
        <v>2.7889808504331378E-4</v>
      </c>
      <c r="I76" s="38">
        <f t="shared" si="15"/>
        <v>7.9019326972627825E-7</v>
      </c>
      <c r="J76" s="3">
        <f t="shared" si="16"/>
        <v>0.91094359470948205</v>
      </c>
      <c r="K76" s="39">
        <f t="shared" si="17"/>
        <v>7.8447125014912995</v>
      </c>
      <c r="L76" s="3" t="str">
        <f t="shared" si="18"/>
        <v xml:space="preserve"> </v>
      </c>
      <c r="M76" s="39">
        <f t="shared" si="19"/>
        <v>4.9736793615748143</v>
      </c>
      <c r="N76" s="40">
        <f t="shared" si="20"/>
        <v>5</v>
      </c>
      <c r="O76" s="3">
        <f t="shared" si="21"/>
        <v>1.56894250029826</v>
      </c>
      <c r="P76" s="3">
        <f t="shared" si="22"/>
        <v>0.91094359470948205</v>
      </c>
      <c r="Q76" s="26">
        <f t="shared" si="23"/>
        <v>1</v>
      </c>
    </row>
    <row r="77" spans="1:17">
      <c r="A77" s="35">
        <v>50</v>
      </c>
      <c r="B77" s="30">
        <f>Tabelle2!B54</f>
        <v>10</v>
      </c>
      <c r="C77" s="36">
        <f>Tabelle2!E54</f>
        <v>8.5350000000000001</v>
      </c>
      <c r="D77" s="30">
        <f>Tabelle2!B54</f>
        <v>10</v>
      </c>
      <c r="E77" s="36">
        <f>Tabelle2!H54</f>
        <v>2.3239999999999998</v>
      </c>
      <c r="F77" s="37">
        <f t="shared" si="12"/>
        <v>5.8582308142940833E-5</v>
      </c>
      <c r="G77" s="38">
        <f t="shared" si="13"/>
        <v>2.1514629948364889E-4</v>
      </c>
      <c r="H77" s="37">
        <f t="shared" si="14"/>
        <v>2.7372860762658972E-4</v>
      </c>
      <c r="I77" s="38">
        <f t="shared" si="15"/>
        <v>7.4732178326467594E-7</v>
      </c>
      <c r="J77" s="3">
        <f t="shared" si="16"/>
        <v>0.90631334475445147</v>
      </c>
      <c r="K77" s="39">
        <f t="shared" si="17"/>
        <v>7.2261393991623715</v>
      </c>
      <c r="L77" s="3" t="str">
        <f t="shared" si="18"/>
        <v xml:space="preserve"> </v>
      </c>
      <c r="M77" s="39">
        <f t="shared" si="19"/>
        <v>4.581493634934886</v>
      </c>
      <c r="N77" s="40">
        <f t="shared" si="20"/>
        <v>5</v>
      </c>
      <c r="O77" s="3">
        <f t="shared" si="21"/>
        <v>1.4452278798324742</v>
      </c>
      <c r="P77" s="3">
        <f t="shared" si="22"/>
        <v>0.90631334475445147</v>
      </c>
      <c r="Q77" s="26">
        <f t="shared" si="23"/>
        <v>1</v>
      </c>
    </row>
    <row r="78" spans="1:17">
      <c r="A78" s="35">
        <v>51</v>
      </c>
      <c r="B78" s="30">
        <f>Tabelle2!B55</f>
        <v>10</v>
      </c>
      <c r="C78" s="36">
        <f>Tabelle2!E55</f>
        <v>9.8840000000000003</v>
      </c>
      <c r="D78" s="30">
        <f>Tabelle2!B55</f>
        <v>10</v>
      </c>
      <c r="E78" s="36">
        <f>Tabelle2!H55</f>
        <v>3.347</v>
      </c>
      <c r="F78" s="37">
        <f t="shared" si="12"/>
        <v>5.0586806960744638E-5</v>
      </c>
      <c r="G78" s="38">
        <f t="shared" si="13"/>
        <v>1.4938751120406333E-4</v>
      </c>
      <c r="H78" s="37">
        <f t="shared" si="14"/>
        <v>1.9997431816480798E-4</v>
      </c>
      <c r="I78" s="38">
        <f t="shared" si="15"/>
        <v>6.9445328371427655E-7</v>
      </c>
      <c r="J78" s="3">
        <f t="shared" si="16"/>
        <v>0.8998949929393516</v>
      </c>
      <c r="K78" s="39">
        <f t="shared" si="17"/>
        <v>4.8536220738344955</v>
      </c>
      <c r="L78" s="3" t="str">
        <f t="shared" si="18"/>
        <v xml:space="preserve"> </v>
      </c>
      <c r="M78" s="39">
        <f t="shared" si="19"/>
        <v>3.0772778394269311</v>
      </c>
      <c r="N78" s="40">
        <f t="shared" si="20"/>
        <v>3</v>
      </c>
      <c r="O78" s="3">
        <f t="shared" si="21"/>
        <v>1.6178740246114984</v>
      </c>
      <c r="P78" s="3">
        <f t="shared" si="22"/>
        <v>0.8998949929393516</v>
      </c>
      <c r="Q78" s="26">
        <f t="shared" si="23"/>
        <v>1</v>
      </c>
    </row>
    <row r="79" spans="1:17">
      <c r="A79" s="35">
        <v>52</v>
      </c>
      <c r="B79" s="30">
        <f>Tabelle2!B56</f>
        <v>10</v>
      </c>
      <c r="C79" s="36">
        <f>Tabelle2!E56</f>
        <v>9.6549999999999994</v>
      </c>
      <c r="D79" s="30">
        <f>Tabelle2!B56</f>
        <v>10</v>
      </c>
      <c r="E79" s="36">
        <f>Tabelle2!H56</f>
        <v>3.633</v>
      </c>
      <c r="F79" s="37">
        <f t="shared" si="12"/>
        <v>5.1786639047125847E-5</v>
      </c>
      <c r="G79" s="38">
        <f t="shared" si="13"/>
        <v>1.3762730525736306E-4</v>
      </c>
      <c r="H79" s="37">
        <f t="shared" si="14"/>
        <v>1.8941394430448892E-4</v>
      </c>
      <c r="I79" s="38">
        <f t="shared" si="15"/>
        <v>7.0264063966678538E-7</v>
      </c>
      <c r="J79" s="3">
        <f t="shared" si="16"/>
        <v>0.90094590148012743</v>
      </c>
      <c r="K79" s="39">
        <f t="shared" si="17"/>
        <v>4.6596599843669573</v>
      </c>
      <c r="L79" s="3" t="str">
        <f t="shared" si="18"/>
        <v xml:space="preserve"> </v>
      </c>
      <c r="M79" s="39">
        <f t="shared" si="19"/>
        <v>2.9543026199871836</v>
      </c>
      <c r="N79" s="40">
        <f t="shared" si="20"/>
        <v>3</v>
      </c>
      <c r="O79" s="3">
        <f t="shared" si="21"/>
        <v>1.5532199947889858</v>
      </c>
      <c r="P79" s="3">
        <f t="shared" si="22"/>
        <v>0.90094590148012743</v>
      </c>
      <c r="Q79" s="26">
        <f t="shared" si="23"/>
        <v>1</v>
      </c>
    </row>
    <row r="80" spans="1:17">
      <c r="A80" s="35">
        <v>53</v>
      </c>
      <c r="B80" s="30">
        <f>Tabelle2!B57</f>
        <v>10</v>
      </c>
      <c r="C80" s="36">
        <f>Tabelle2!E57</f>
        <v>9.4160000000000004</v>
      </c>
      <c r="D80" s="30">
        <f>Tabelle2!B57</f>
        <v>10</v>
      </c>
      <c r="E80" s="36">
        <f>Tabelle2!H57</f>
        <v>3.6059999999999999</v>
      </c>
      <c r="F80" s="37">
        <f t="shared" si="12"/>
        <v>5.3101104502973663E-5</v>
      </c>
      <c r="G80" s="38">
        <f t="shared" si="13"/>
        <v>1.3865779256794233E-4</v>
      </c>
      <c r="H80" s="37">
        <f t="shared" si="14"/>
        <v>1.9175889707091599E-4</v>
      </c>
      <c r="I80" s="38">
        <f t="shared" si="15"/>
        <v>7.1150208855159616E-7</v>
      </c>
      <c r="J80" s="3">
        <f t="shared" si="16"/>
        <v>0.9020587494313107</v>
      </c>
      <c r="K80" s="39">
        <f t="shared" si="17"/>
        <v>4.785693500254915</v>
      </c>
      <c r="L80" s="3" t="str">
        <f t="shared" si="18"/>
        <v xml:space="preserve"> </v>
      </c>
      <c r="M80" s="39">
        <f t="shared" si="19"/>
        <v>3.0342099839242915</v>
      </c>
      <c r="N80" s="40">
        <f t="shared" si="20"/>
        <v>3</v>
      </c>
      <c r="O80" s="3">
        <f t="shared" si="21"/>
        <v>1.5952311667516383</v>
      </c>
      <c r="P80" s="3">
        <f t="shared" si="22"/>
        <v>0.9020587494313107</v>
      </c>
      <c r="Q80" s="26">
        <f t="shared" si="23"/>
        <v>1</v>
      </c>
    </row>
    <row r="81" spans="1:17">
      <c r="A81" s="35">
        <v>54</v>
      </c>
      <c r="B81" s="30">
        <f>Tabelle2!B58</f>
        <v>10</v>
      </c>
      <c r="C81" s="36">
        <f>Tabelle2!E58</f>
        <v>9.5869999999999997</v>
      </c>
      <c r="D81" s="30">
        <f>Tabelle2!B58</f>
        <v>10</v>
      </c>
      <c r="E81" s="36">
        <f>Tabelle2!H58</f>
        <v>3.5</v>
      </c>
      <c r="F81" s="37">
        <f t="shared" si="12"/>
        <v>5.215395848544905E-5</v>
      </c>
      <c r="G81" s="38">
        <f t="shared" si="13"/>
        <v>1.4285714285714287E-4</v>
      </c>
      <c r="H81" s="37">
        <f t="shared" si="14"/>
        <v>1.950111013425919E-4</v>
      </c>
      <c r="I81" s="38">
        <f t="shared" si="15"/>
        <v>7.0512812992805917E-7</v>
      </c>
      <c r="J81" s="3">
        <f t="shared" si="16"/>
        <v>0.90126083312135985</v>
      </c>
      <c r="K81" s="39">
        <f t="shared" si="17"/>
        <v>4.8168604663177286</v>
      </c>
      <c r="L81" s="3" t="str">
        <f t="shared" si="18"/>
        <v xml:space="preserve"> </v>
      </c>
      <c r="M81" s="39">
        <f t="shared" si="19"/>
        <v>3.0539703633951838</v>
      </c>
      <c r="N81" s="40">
        <f t="shared" si="20"/>
        <v>3</v>
      </c>
      <c r="O81" s="3">
        <f t="shared" si="21"/>
        <v>1.6056201554392429</v>
      </c>
      <c r="P81" s="3">
        <f t="shared" si="22"/>
        <v>0.90126083312135985</v>
      </c>
      <c r="Q81" s="26">
        <f t="shared" si="23"/>
        <v>1</v>
      </c>
    </row>
    <row r="82" spans="1:17">
      <c r="A82" s="35">
        <v>55</v>
      </c>
      <c r="B82" s="30">
        <f>Tabelle2!B59</f>
        <v>10</v>
      </c>
      <c r="C82" s="36">
        <f>Tabelle2!E59</f>
        <v>9.1300000000000008</v>
      </c>
      <c r="D82" s="30">
        <f>Tabelle2!B59</f>
        <v>10</v>
      </c>
      <c r="E82" s="36">
        <f>Tabelle2!H59</f>
        <v>3.8330000000000002</v>
      </c>
      <c r="F82" s="37">
        <f t="shared" si="12"/>
        <v>5.4764512595837893E-5</v>
      </c>
      <c r="G82" s="38">
        <f t="shared" si="13"/>
        <v>1.3044612575006522E-4</v>
      </c>
      <c r="H82" s="37">
        <f t="shared" si="14"/>
        <v>1.852106383459031E-4</v>
      </c>
      <c r="I82" s="38">
        <f t="shared" si="15"/>
        <v>7.2256016553871697E-7</v>
      </c>
      <c r="J82" s="3">
        <f t="shared" si="16"/>
        <v>0.90341287055303676</v>
      </c>
      <c r="K82" s="39">
        <f t="shared" si="17"/>
        <v>4.704682258819834</v>
      </c>
      <c r="L82" s="3" t="str">
        <f t="shared" si="18"/>
        <v xml:space="preserve"> </v>
      </c>
      <c r="M82" s="39">
        <f t="shared" si="19"/>
        <v>2.9828474974718411</v>
      </c>
      <c r="N82" s="40">
        <f t="shared" si="20"/>
        <v>3</v>
      </c>
      <c r="O82" s="3">
        <f t="shared" si="21"/>
        <v>1.5682274196066113</v>
      </c>
      <c r="P82" s="3">
        <f t="shared" si="22"/>
        <v>0.90341287055303676</v>
      </c>
      <c r="Q82" s="26">
        <f t="shared" si="23"/>
        <v>1</v>
      </c>
    </row>
    <row r="83" spans="1:17">
      <c r="A83" s="41">
        <v>56</v>
      </c>
      <c r="B83" s="42">
        <f>Tabelle2!B60</f>
        <v>10</v>
      </c>
      <c r="C83" s="43">
        <f>Tabelle2!E60</f>
        <v>11.201000000000001</v>
      </c>
      <c r="D83" s="30">
        <f>Tabelle2!B60</f>
        <v>10</v>
      </c>
      <c r="E83" s="36">
        <f>Tabelle2!H60</f>
        <v>5.9429999999999996</v>
      </c>
      <c r="F83" s="44">
        <f t="shared" si="12"/>
        <v>4.4638871529327739E-5</v>
      </c>
      <c r="G83" s="44">
        <f t="shared" si="13"/>
        <v>8.4132592966515231E-5</v>
      </c>
      <c r="H83" s="44">
        <f t="shared" si="14"/>
        <v>1.2877146449584296E-4</v>
      </c>
      <c r="I83" s="44">
        <f t="shared" si="15"/>
        <v>6.5235050896262629E-7</v>
      </c>
      <c r="J83" s="45">
        <f t="shared" si="16"/>
        <v>0.89411828395321813</v>
      </c>
      <c r="K83" s="45">
        <f t="shared" si="17"/>
        <v>2.9077298030203296</v>
      </c>
      <c r="L83" s="45" t="str">
        <f t="shared" si="18"/>
        <v xml:space="preserve"> </v>
      </c>
      <c r="M83" s="45">
        <f t="shared" si="19"/>
        <v>1.8435494873226941</v>
      </c>
      <c r="N83" s="46">
        <f t="shared" si="20"/>
        <v>2</v>
      </c>
      <c r="O83" s="45">
        <f t="shared" si="21"/>
        <v>1.4538649015101648</v>
      </c>
      <c r="P83" s="45">
        <f t="shared" si="22"/>
        <v>0.89411828395321813</v>
      </c>
      <c r="Q83" s="47">
        <f t="shared" si="23"/>
        <v>1</v>
      </c>
    </row>
    <row r="84" spans="1:17">
      <c r="A84" s="35">
        <v>57</v>
      </c>
      <c r="B84" s="30">
        <f>Tabelle2!B61</f>
        <v>10</v>
      </c>
      <c r="C84" s="36">
        <f>Tabelle2!E61</f>
        <v>11.827</v>
      </c>
      <c r="D84" s="30">
        <f>Tabelle2!B61</f>
        <v>10</v>
      </c>
      <c r="E84" s="36">
        <f>Tabelle2!H61</f>
        <v>5.5309999999999997</v>
      </c>
      <c r="F84" s="37">
        <f t="shared" si="12"/>
        <v>4.2276147797412702E-5</v>
      </c>
      <c r="G84" s="38">
        <f t="shared" si="13"/>
        <v>9.0399566082082806E-5</v>
      </c>
      <c r="H84" s="37">
        <f t="shared" si="14"/>
        <v>1.3267571387949552E-4</v>
      </c>
      <c r="I84" s="38">
        <f t="shared" si="15"/>
        <v>6.3485143525442187E-7</v>
      </c>
      <c r="J84" s="3">
        <f t="shared" si="16"/>
        <v>0.89151636809997503</v>
      </c>
      <c r="K84" s="39">
        <f t="shared" si="17"/>
        <v>2.9028090212530948</v>
      </c>
      <c r="L84" s="3" t="str">
        <f t="shared" si="18"/>
        <v xml:space="preserve"> </v>
      </c>
      <c r="M84" s="39">
        <f t="shared" si="19"/>
        <v>1.8404296291107001</v>
      </c>
      <c r="N84" s="40">
        <f t="shared" si="20"/>
        <v>2</v>
      </c>
      <c r="O84" s="3">
        <f t="shared" si="21"/>
        <v>1.4514045106265474</v>
      </c>
      <c r="P84" s="3">
        <f t="shared" si="22"/>
        <v>0.89151636809997503</v>
      </c>
      <c r="Q84" s="26">
        <f t="shared" si="23"/>
        <v>1</v>
      </c>
    </row>
    <row r="85" spans="1:17">
      <c r="A85" s="35">
        <v>58</v>
      </c>
      <c r="B85" s="30">
        <f>Tabelle2!B62</f>
        <v>10</v>
      </c>
      <c r="C85" s="36">
        <f>Tabelle2!E62</f>
        <v>10.846</v>
      </c>
      <c r="D85" s="30">
        <f>Tabelle2!B62</f>
        <v>10</v>
      </c>
      <c r="E85" s="36">
        <f>Tabelle2!H62</f>
        <v>5.9850000000000003</v>
      </c>
      <c r="F85" s="37">
        <f t="shared" si="12"/>
        <v>4.6099944680066385E-5</v>
      </c>
      <c r="G85" s="38">
        <f t="shared" si="13"/>
        <v>8.3542188805346704E-5</v>
      </c>
      <c r="H85" s="37">
        <f t="shared" si="14"/>
        <v>1.2964213348541309E-4</v>
      </c>
      <c r="I85" s="38">
        <f t="shared" si="15"/>
        <v>6.6294058031299516E-7</v>
      </c>
      <c r="J85" s="3">
        <f t="shared" si="16"/>
        <v>0.89563315412796474</v>
      </c>
      <c r="K85" s="39">
        <f t="shared" si="17"/>
        <v>2.9824760143632401</v>
      </c>
      <c r="L85" s="3" t="str">
        <f t="shared" si="18"/>
        <v xml:space="preserve"> </v>
      </c>
      <c r="M85" s="39">
        <f t="shared" si="19"/>
        <v>1.8909398395684227</v>
      </c>
      <c r="N85" s="40">
        <f t="shared" si="20"/>
        <v>2</v>
      </c>
      <c r="O85" s="3">
        <f t="shared" si="21"/>
        <v>1.49123800718162</v>
      </c>
      <c r="P85" s="3">
        <f t="shared" si="22"/>
        <v>0.89563315412796474</v>
      </c>
      <c r="Q85" s="26">
        <f t="shared" si="23"/>
        <v>1</v>
      </c>
    </row>
    <row r="86" spans="1:17">
      <c r="A86" s="35">
        <v>59</v>
      </c>
      <c r="B86" s="30">
        <f>Tabelle2!B63</f>
        <v>10</v>
      </c>
      <c r="C86" s="36">
        <f>Tabelle2!E63</f>
        <v>10.217000000000001</v>
      </c>
      <c r="D86" s="30">
        <f>Tabelle2!B63</f>
        <v>10</v>
      </c>
      <c r="E86" s="36">
        <f>Tabelle2!H63</f>
        <v>5.4859999999999998</v>
      </c>
      <c r="F86" s="37">
        <f t="shared" si="12"/>
        <v>4.8938044435744348E-5</v>
      </c>
      <c r="G86" s="38">
        <f t="shared" si="13"/>
        <v>9.1141086401749918E-5</v>
      </c>
      <c r="H86" s="37">
        <f t="shared" si="14"/>
        <v>1.4007913083749425E-4</v>
      </c>
      <c r="I86" s="38">
        <f t="shared" si="15"/>
        <v>6.8304246926965216E-7</v>
      </c>
      <c r="J86" s="3">
        <f t="shared" si="16"/>
        <v>0.89839257455211075</v>
      </c>
      <c r="K86" s="39">
        <f t="shared" si="17"/>
        <v>3.3356564887210669</v>
      </c>
      <c r="L86" s="3" t="str">
        <f t="shared" si="18"/>
        <v xml:space="preserve"> </v>
      </c>
      <c r="M86" s="39">
        <f t="shared" si="19"/>
        <v>2.1148621867405839</v>
      </c>
      <c r="N86" s="40">
        <f t="shared" si="20"/>
        <v>2</v>
      </c>
      <c r="O86" s="3">
        <f t="shared" si="21"/>
        <v>1.6678282443605335</v>
      </c>
      <c r="P86" s="3">
        <f t="shared" si="22"/>
        <v>0.89839257455211075</v>
      </c>
      <c r="Q86" s="26">
        <f t="shared" si="23"/>
        <v>1</v>
      </c>
    </row>
    <row r="87" spans="1:17">
      <c r="A87" s="35">
        <v>60</v>
      </c>
      <c r="B87" s="30">
        <f>Tabelle2!B64</f>
        <v>10</v>
      </c>
      <c r="C87" s="36">
        <f>Tabelle2!E64</f>
        <v>9.42</v>
      </c>
      <c r="D87" s="30">
        <f>Tabelle2!B64</f>
        <v>10</v>
      </c>
      <c r="E87" s="36">
        <f>Tabelle2!H64</f>
        <v>5.6150000000000002</v>
      </c>
      <c r="F87" s="37">
        <f t="shared" si="12"/>
        <v>5.3078556263269641E-5</v>
      </c>
      <c r="G87" s="38">
        <f t="shared" si="13"/>
        <v>8.9047195013357083E-5</v>
      </c>
      <c r="H87" s="37">
        <f t="shared" si="14"/>
        <v>1.4212575127662674E-4</v>
      </c>
      <c r="I87" s="38">
        <f t="shared" si="15"/>
        <v>7.1135101049732876E-7</v>
      </c>
      <c r="J87" s="3">
        <f t="shared" si="16"/>
        <v>0.90203998614676106</v>
      </c>
      <c r="K87" s="39">
        <f t="shared" si="17"/>
        <v>3.5461438927250191</v>
      </c>
      <c r="L87" s="3" t="str">
        <f t="shared" si="18"/>
        <v xml:space="preserve"> </v>
      </c>
      <c r="M87" s="39">
        <f t="shared" si="19"/>
        <v>2.2483147328940469</v>
      </c>
      <c r="N87" s="40">
        <f t="shared" si="20"/>
        <v>2</v>
      </c>
      <c r="O87" s="3">
        <f t="shared" si="21"/>
        <v>1.7730719463625095</v>
      </c>
      <c r="P87" s="3">
        <f t="shared" si="22"/>
        <v>0.90203998614676106</v>
      </c>
      <c r="Q87" s="26">
        <f t="shared" si="23"/>
        <v>1</v>
      </c>
    </row>
    <row r="88" spans="1:17">
      <c r="A88" s="35">
        <v>61</v>
      </c>
      <c r="B88" s="30">
        <f>Tabelle2!B65</f>
        <v>10</v>
      </c>
      <c r="C88" s="36">
        <f>Tabelle2!E65</f>
        <v>12.805999999999999</v>
      </c>
      <c r="D88" s="30">
        <f>Tabelle2!B65</f>
        <v>10</v>
      </c>
      <c r="E88" s="36">
        <f>Tabelle2!H65</f>
        <v>13.23</v>
      </c>
      <c r="F88" s="37">
        <f t="shared" si="12"/>
        <v>3.9044198032172421E-5</v>
      </c>
      <c r="G88" s="38">
        <f t="shared" si="13"/>
        <v>3.7792894935752078E-5</v>
      </c>
      <c r="H88" s="37">
        <f t="shared" si="14"/>
        <v>7.6837092967924493E-5</v>
      </c>
      <c r="I88" s="38">
        <f t="shared" si="15"/>
        <v>6.1010229045321899E-7</v>
      </c>
      <c r="J88" s="3">
        <f t="shared" si="16"/>
        <v>0.88761026167256096</v>
      </c>
      <c r="K88" s="39">
        <f t="shared" si="17"/>
        <v>1.6049739807179095</v>
      </c>
      <c r="L88" s="3">
        <f t="shared" si="18"/>
        <v>1.6049739807179095</v>
      </c>
      <c r="M88" s="39">
        <f t="shared" si="19"/>
        <v>1.0175804355154792</v>
      </c>
      <c r="N88" s="40">
        <f t="shared" si="20"/>
        <v>1</v>
      </c>
      <c r="O88" s="3">
        <f t="shared" si="21"/>
        <v>1.6049739807179095</v>
      </c>
      <c r="P88" s="3">
        <f t="shared" si="22"/>
        <v>0.88761026167256096</v>
      </c>
      <c r="Q88" s="26">
        <f t="shared" si="23"/>
        <v>1</v>
      </c>
    </row>
    <row r="89" spans="1:17">
      <c r="A89" s="35">
        <v>62</v>
      </c>
      <c r="B89" s="30">
        <f>Tabelle2!B66</f>
        <v>10</v>
      </c>
      <c r="C89" s="36">
        <f>Tabelle2!E66</f>
        <v>12.935</v>
      </c>
      <c r="D89" s="30">
        <f>Tabelle2!B66</f>
        <v>10</v>
      </c>
      <c r="E89" s="36">
        <f>Tabelle2!H66</f>
        <v>14.782999999999999</v>
      </c>
      <c r="F89" s="37">
        <f t="shared" si="12"/>
        <v>3.8654812524159255E-5</v>
      </c>
      <c r="G89" s="38">
        <f t="shared" si="13"/>
        <v>3.3822634106744234E-5</v>
      </c>
      <c r="H89" s="37">
        <f t="shared" si="14"/>
        <v>7.2477446630903489E-5</v>
      </c>
      <c r="I89" s="38">
        <f t="shared" si="15"/>
        <v>6.0705241006368982E-7</v>
      </c>
      <c r="J89" s="3">
        <f t="shared" si="16"/>
        <v>0.88710935082471865</v>
      </c>
      <c r="K89" s="39">
        <f t="shared" si="17"/>
        <v>1.5050667159155786</v>
      </c>
      <c r="L89" s="3">
        <f t="shared" si="18"/>
        <v>1.5050667159155786</v>
      </c>
      <c r="M89" s="39">
        <f t="shared" si="19"/>
        <v>0.95423755316965975</v>
      </c>
      <c r="N89" s="40">
        <f t="shared" si="20"/>
        <v>1</v>
      </c>
      <c r="O89" s="3">
        <f t="shared" si="21"/>
        <v>1.5050667159155786</v>
      </c>
      <c r="P89" s="3">
        <f t="shared" si="22"/>
        <v>0.88710935082471865</v>
      </c>
      <c r="Q89" s="26">
        <f t="shared" si="23"/>
        <v>1</v>
      </c>
    </row>
    <row r="90" spans="1:17">
      <c r="A90" s="35">
        <v>63</v>
      </c>
      <c r="B90" s="30">
        <f>Tabelle2!B67</f>
        <v>10</v>
      </c>
      <c r="C90" s="36">
        <f>Tabelle2!E67</f>
        <v>12.603999999999999</v>
      </c>
      <c r="D90" s="30">
        <f>Tabelle2!B67</f>
        <v>10</v>
      </c>
      <c r="E90" s="36">
        <f>Tabelle2!H67</f>
        <v>13.723000000000001</v>
      </c>
      <c r="F90" s="37">
        <f t="shared" si="12"/>
        <v>3.9669946048873378E-5</v>
      </c>
      <c r="G90" s="38">
        <f t="shared" si="13"/>
        <v>3.6435181811557237E-5</v>
      </c>
      <c r="H90" s="37">
        <f t="shared" si="14"/>
        <v>7.6105127860430608E-5</v>
      </c>
      <c r="I90" s="38">
        <f t="shared" si="15"/>
        <v>6.1497180792131429E-7</v>
      </c>
      <c r="J90" s="3">
        <f t="shared" si="16"/>
        <v>0.88840087905930887</v>
      </c>
      <c r="K90" s="39">
        <f t="shared" si="17"/>
        <v>1.6045141068587998</v>
      </c>
      <c r="L90" s="3">
        <f t="shared" si="18"/>
        <v>1.6045141068587998</v>
      </c>
      <c r="M90" s="39">
        <f t="shared" si="19"/>
        <v>1.0172888677720411</v>
      </c>
      <c r="N90" s="40">
        <f t="shared" si="20"/>
        <v>1</v>
      </c>
      <c r="O90" s="3">
        <f t="shared" si="21"/>
        <v>1.6045141068587998</v>
      </c>
      <c r="P90" s="3">
        <f t="shared" si="22"/>
        <v>0.88840087905930887</v>
      </c>
      <c r="Q90" s="26">
        <f t="shared" si="23"/>
        <v>1</v>
      </c>
    </row>
    <row r="91" spans="1:17">
      <c r="A91" s="35">
        <v>64</v>
      </c>
      <c r="B91" s="30">
        <f>Tabelle2!B68</f>
        <v>10</v>
      </c>
      <c r="C91" s="36">
        <f>Tabelle2!E68</f>
        <v>11.901</v>
      </c>
      <c r="D91" s="30">
        <f>Tabelle2!B68</f>
        <v>10</v>
      </c>
      <c r="E91" s="36">
        <f>Tabelle2!H68</f>
        <v>13.307</v>
      </c>
      <c r="F91" s="37">
        <f t="shared" si="12"/>
        <v>4.2013276195277707E-5</v>
      </c>
      <c r="G91" s="38">
        <f t="shared" si="13"/>
        <v>3.7574209062899225E-5</v>
      </c>
      <c r="H91" s="37">
        <f t="shared" si="14"/>
        <v>7.9587485258176925E-5</v>
      </c>
      <c r="I91" s="38">
        <f t="shared" si="15"/>
        <v>6.3287461555053779E-7</v>
      </c>
      <c r="J91" s="3">
        <f t="shared" si="16"/>
        <v>0.89121437585931551</v>
      </c>
      <c r="K91" s="39">
        <f t="shared" si="17"/>
        <v>1.7349888075974218</v>
      </c>
      <c r="L91" s="3">
        <f t="shared" si="18"/>
        <v>1.7349888075974218</v>
      </c>
      <c r="M91" s="39">
        <f t="shared" si="19"/>
        <v>1.1000120174283183</v>
      </c>
      <c r="N91" s="40">
        <f t="shared" si="20"/>
        <v>1</v>
      </c>
      <c r="O91" s="3">
        <f t="shared" si="21"/>
        <v>1.7349888075974218</v>
      </c>
      <c r="P91" s="3">
        <f t="shared" si="22"/>
        <v>0.89121437585931551</v>
      </c>
      <c r="Q91" s="26">
        <f t="shared" si="23"/>
        <v>1</v>
      </c>
    </row>
    <row r="92" spans="1:17">
      <c r="A92" s="35">
        <v>65</v>
      </c>
      <c r="B92" s="30">
        <f>Tabelle2!B69</f>
        <v>10</v>
      </c>
      <c r="C92" s="36">
        <f>Tabelle2!E69</f>
        <v>11.593999999999999</v>
      </c>
      <c r="D92" s="30">
        <f>Tabelle2!B69</f>
        <v>10</v>
      </c>
      <c r="E92" s="36">
        <f>Tabelle2!H69</f>
        <v>13.452</v>
      </c>
      <c r="F92" s="37">
        <f t="shared" ref="F92:F123" si="24">IF(E92=""," ",B92*$B$8/C92)</f>
        <v>4.3125754700707268E-5</v>
      </c>
      <c r="G92" s="38">
        <f t="shared" ref="G92:G127" si="25">IF(E92=""," ",D92*$B$8/E92)</f>
        <v>3.7169194171870358E-5</v>
      </c>
      <c r="H92" s="37">
        <f t="shared" ref="H92:H123" si="26">IF(E92=""," ",F92+G92)</f>
        <v>8.0294948872577625E-5</v>
      </c>
      <c r="I92" s="38">
        <f t="shared" ref="I92:I127" si="27">IF(E92=""," ",SQRT($I$9)*SQRT(F92))</f>
        <v>6.4119888157555938E-7</v>
      </c>
      <c r="J92" s="3">
        <f t="shared" ref="J92:J123" si="28">IF(E92=""," ",1/(1+($I$11/(I92*$B$5))))</f>
        <v>0.89247481148619823</v>
      </c>
      <c r="K92" s="39">
        <f t="shared" ref="K92:K123" si="29">IF(E92=""," ",H92*SQRT(F92)*J92*SQRT(J92)*$I$8/$B$4/$B$10)</f>
        <v>1.777198251183987</v>
      </c>
      <c r="L92" s="3">
        <f>IF(K92&lt;$B$16,K92," ")</f>
        <v>1.777198251183987</v>
      </c>
      <c r="M92" s="39">
        <f t="shared" ref="M92:M127" si="30">IF(ISERROR(K92/$B$17)," ",K92/$B$17)</f>
        <v>1.1267735129439469</v>
      </c>
      <c r="N92" s="40">
        <f t="shared" ref="N92:N123" si="31">IF(M92=" "," ",INT(M92+0.5))</f>
        <v>1</v>
      </c>
      <c r="O92" s="3">
        <f t="shared" ref="O92:O123" si="32">IF(N92&lt;6,K92/N92," ")</f>
        <v>1.777198251183987</v>
      </c>
      <c r="P92" s="3">
        <f t="shared" ref="P92:P127" si="33">IF(N92&lt;6,J92," ")</f>
        <v>0.89247481148619823</v>
      </c>
      <c r="Q92" s="26">
        <f t="shared" ref="Q92:Q127" si="34">IF(N92&lt;6,1," ")</f>
        <v>1</v>
      </c>
    </row>
    <row r="93" spans="1:17">
      <c r="A93" s="35">
        <v>66</v>
      </c>
      <c r="B93" s="30">
        <f>Tabelle2!B70</f>
        <v>10</v>
      </c>
      <c r="C93" s="36"/>
      <c r="D93" s="30"/>
      <c r="E93" s="36"/>
      <c r="F93" s="37" t="str">
        <f t="shared" si="24"/>
        <v xml:space="preserve"> </v>
      </c>
      <c r="G93" s="38" t="str">
        <f t="shared" si="25"/>
        <v xml:space="preserve"> </v>
      </c>
      <c r="H93" s="37" t="str">
        <f t="shared" si="26"/>
        <v xml:space="preserve"> </v>
      </c>
      <c r="I93" s="38" t="str">
        <f t="shared" si="27"/>
        <v xml:space="preserve"> </v>
      </c>
      <c r="J93" s="3" t="str">
        <f t="shared" si="28"/>
        <v xml:space="preserve"> </v>
      </c>
      <c r="K93" s="39" t="str">
        <f t="shared" si="29"/>
        <v xml:space="preserve"> </v>
      </c>
      <c r="L93" s="3" t="str">
        <f>IF(K93&lt;$B$16,K93," ")</f>
        <v xml:space="preserve"> </v>
      </c>
      <c r="M93" s="39" t="str">
        <f t="shared" si="30"/>
        <v xml:space="preserve"> </v>
      </c>
      <c r="N93" s="40" t="str">
        <f t="shared" si="31"/>
        <v xml:space="preserve"> </v>
      </c>
      <c r="O93" s="3" t="str">
        <f t="shared" si="32"/>
        <v xml:space="preserve"> </v>
      </c>
      <c r="P93" s="3" t="str">
        <f t="shared" si="33"/>
        <v xml:space="preserve"> </v>
      </c>
      <c r="Q93" s="26" t="str">
        <f t="shared" si="34"/>
        <v xml:space="preserve"> </v>
      </c>
    </row>
    <row r="94" spans="1:17">
      <c r="A94" s="35">
        <v>67</v>
      </c>
      <c r="B94" s="30">
        <f>Tabelle2!B71</f>
        <v>10</v>
      </c>
      <c r="C94" s="36"/>
      <c r="D94" s="30"/>
      <c r="E94" s="36"/>
      <c r="F94" s="37" t="str">
        <f t="shared" si="24"/>
        <v xml:space="preserve"> </v>
      </c>
      <c r="G94" s="38" t="str">
        <f t="shared" si="25"/>
        <v xml:space="preserve"> </v>
      </c>
      <c r="H94" s="37" t="str">
        <f t="shared" si="26"/>
        <v xml:space="preserve"> </v>
      </c>
      <c r="I94" s="38" t="str">
        <f t="shared" si="27"/>
        <v xml:space="preserve"> </v>
      </c>
      <c r="J94" s="3" t="str">
        <f t="shared" si="28"/>
        <v xml:space="preserve"> </v>
      </c>
      <c r="K94" s="39" t="str">
        <f t="shared" si="29"/>
        <v xml:space="preserve"> </v>
      </c>
      <c r="L94" s="3"/>
      <c r="M94" s="39" t="str">
        <f t="shared" si="30"/>
        <v xml:space="preserve"> </v>
      </c>
      <c r="N94" s="40" t="str">
        <f t="shared" si="31"/>
        <v xml:space="preserve"> </v>
      </c>
      <c r="O94" s="3" t="str">
        <f t="shared" si="32"/>
        <v xml:space="preserve"> </v>
      </c>
      <c r="P94" s="3" t="str">
        <f t="shared" si="33"/>
        <v xml:space="preserve"> </v>
      </c>
      <c r="Q94" s="26" t="str">
        <f t="shared" si="34"/>
        <v xml:space="preserve"> </v>
      </c>
    </row>
    <row r="95" spans="1:17">
      <c r="A95" s="35">
        <v>68</v>
      </c>
      <c r="B95" s="30">
        <f>Tabelle2!B72</f>
        <v>10</v>
      </c>
      <c r="C95" s="36"/>
      <c r="D95" s="19"/>
      <c r="E95" s="36"/>
      <c r="F95" s="37" t="str">
        <f t="shared" si="24"/>
        <v xml:space="preserve"> </v>
      </c>
      <c r="G95" s="38" t="str">
        <f t="shared" si="25"/>
        <v xml:space="preserve"> </v>
      </c>
      <c r="H95" s="37" t="str">
        <f t="shared" si="26"/>
        <v xml:space="preserve"> </v>
      </c>
      <c r="I95" s="38" t="str">
        <f t="shared" si="27"/>
        <v xml:space="preserve"> </v>
      </c>
      <c r="J95" s="3" t="str">
        <f t="shared" si="28"/>
        <v xml:space="preserve"> </v>
      </c>
      <c r="K95" s="39" t="str">
        <f t="shared" si="29"/>
        <v xml:space="preserve"> </v>
      </c>
      <c r="L95" s="3"/>
      <c r="M95" s="39" t="str">
        <f t="shared" si="30"/>
        <v xml:space="preserve"> </v>
      </c>
      <c r="N95" s="40" t="str">
        <f t="shared" si="31"/>
        <v xml:space="preserve"> </v>
      </c>
      <c r="O95" s="3" t="str">
        <f t="shared" si="32"/>
        <v xml:space="preserve"> </v>
      </c>
      <c r="P95" s="3" t="str">
        <f t="shared" si="33"/>
        <v xml:space="preserve"> </v>
      </c>
      <c r="Q95" s="26" t="str">
        <f t="shared" si="34"/>
        <v xml:space="preserve"> </v>
      </c>
    </row>
    <row r="96" spans="1:17">
      <c r="A96" s="35">
        <v>69</v>
      </c>
      <c r="B96" s="30">
        <f>Tabelle2!B73</f>
        <v>10</v>
      </c>
      <c r="C96" s="36"/>
      <c r="D96" s="19"/>
      <c r="E96" s="36"/>
      <c r="F96" s="37" t="str">
        <f t="shared" si="24"/>
        <v xml:space="preserve"> </v>
      </c>
      <c r="G96" s="38" t="str">
        <f t="shared" si="25"/>
        <v xml:space="preserve"> </v>
      </c>
      <c r="H96" s="37" t="str">
        <f t="shared" si="26"/>
        <v xml:space="preserve"> </v>
      </c>
      <c r="I96" s="38" t="str">
        <f t="shared" si="27"/>
        <v xml:space="preserve"> </v>
      </c>
      <c r="J96" s="3" t="str">
        <f t="shared" si="28"/>
        <v xml:space="preserve"> </v>
      </c>
      <c r="K96" s="39" t="str">
        <f t="shared" si="29"/>
        <v xml:space="preserve"> </v>
      </c>
      <c r="L96" s="3"/>
      <c r="M96" s="39" t="str">
        <f t="shared" si="30"/>
        <v xml:space="preserve"> </v>
      </c>
      <c r="N96" s="40" t="str">
        <f t="shared" si="31"/>
        <v xml:space="preserve"> </v>
      </c>
      <c r="O96" s="3" t="str">
        <f t="shared" si="32"/>
        <v xml:space="preserve"> </v>
      </c>
      <c r="P96" s="3" t="str">
        <f t="shared" si="33"/>
        <v xml:space="preserve"> </v>
      </c>
      <c r="Q96" s="26" t="str">
        <f t="shared" si="34"/>
        <v xml:space="preserve"> </v>
      </c>
    </row>
    <row r="97" spans="1:17">
      <c r="A97" s="35">
        <v>70</v>
      </c>
      <c r="B97" s="30">
        <f>Tabelle2!B74</f>
        <v>10</v>
      </c>
      <c r="C97" s="36"/>
      <c r="D97" s="19"/>
      <c r="E97" s="36"/>
      <c r="F97" s="37" t="str">
        <f t="shared" si="24"/>
        <v xml:space="preserve"> </v>
      </c>
      <c r="G97" s="38" t="str">
        <f t="shared" si="25"/>
        <v xml:space="preserve"> </v>
      </c>
      <c r="H97" s="37" t="str">
        <f t="shared" si="26"/>
        <v xml:space="preserve"> </v>
      </c>
      <c r="I97" s="38" t="str">
        <f t="shared" si="27"/>
        <v xml:space="preserve"> </v>
      </c>
      <c r="J97" s="3" t="str">
        <f t="shared" si="28"/>
        <v xml:space="preserve"> </v>
      </c>
      <c r="K97" s="39" t="str">
        <f t="shared" si="29"/>
        <v xml:space="preserve"> </v>
      </c>
      <c r="L97" s="3"/>
      <c r="M97" s="39" t="str">
        <f t="shared" si="30"/>
        <v xml:space="preserve"> </v>
      </c>
      <c r="N97" s="40" t="str">
        <f t="shared" si="31"/>
        <v xml:space="preserve"> </v>
      </c>
      <c r="O97" s="3" t="str">
        <f t="shared" si="32"/>
        <v xml:space="preserve"> </v>
      </c>
      <c r="P97" s="3" t="str">
        <f t="shared" si="33"/>
        <v xml:space="preserve"> </v>
      </c>
      <c r="Q97" s="26" t="str">
        <f t="shared" si="34"/>
        <v xml:space="preserve"> </v>
      </c>
    </row>
    <row r="98" spans="1:17">
      <c r="A98" s="35">
        <v>71</v>
      </c>
      <c r="B98" s="30">
        <f>Tabelle2!B75</f>
        <v>0</v>
      </c>
      <c r="C98" s="36"/>
      <c r="D98" s="19"/>
      <c r="E98" s="36"/>
      <c r="F98" s="37" t="str">
        <f t="shared" si="24"/>
        <v xml:space="preserve"> </v>
      </c>
      <c r="G98" s="38" t="str">
        <f t="shared" si="25"/>
        <v xml:space="preserve"> </v>
      </c>
      <c r="H98" s="37" t="str">
        <f t="shared" si="26"/>
        <v xml:space="preserve"> </v>
      </c>
      <c r="I98" s="38" t="str">
        <f t="shared" si="27"/>
        <v xml:space="preserve"> </v>
      </c>
      <c r="J98" s="3" t="str">
        <f t="shared" si="28"/>
        <v xml:space="preserve"> </v>
      </c>
      <c r="K98" s="39" t="str">
        <f t="shared" si="29"/>
        <v xml:space="preserve"> </v>
      </c>
      <c r="L98" s="3"/>
      <c r="M98" s="39" t="str">
        <f t="shared" si="30"/>
        <v xml:space="preserve"> </v>
      </c>
      <c r="N98" s="40" t="str">
        <f t="shared" si="31"/>
        <v xml:space="preserve"> </v>
      </c>
      <c r="O98" s="3" t="str">
        <f t="shared" si="32"/>
        <v xml:space="preserve"> </v>
      </c>
      <c r="P98" s="3" t="str">
        <f t="shared" si="33"/>
        <v xml:space="preserve"> </v>
      </c>
      <c r="Q98" s="26" t="str">
        <f t="shared" si="34"/>
        <v xml:space="preserve"> </v>
      </c>
    </row>
    <row r="99" spans="1:17">
      <c r="A99" s="35">
        <v>72</v>
      </c>
      <c r="B99" s="30">
        <f>Tabelle2!B76</f>
        <v>0</v>
      </c>
      <c r="C99" s="36"/>
      <c r="D99" s="19"/>
      <c r="E99" s="36"/>
      <c r="F99" s="37" t="str">
        <f t="shared" si="24"/>
        <v xml:space="preserve"> </v>
      </c>
      <c r="G99" s="38" t="str">
        <f t="shared" si="25"/>
        <v xml:space="preserve"> </v>
      </c>
      <c r="H99" s="37" t="str">
        <f t="shared" si="26"/>
        <v xml:space="preserve"> </v>
      </c>
      <c r="I99" s="38" t="str">
        <f t="shared" si="27"/>
        <v xml:space="preserve"> </v>
      </c>
      <c r="J99" s="3" t="str">
        <f t="shared" si="28"/>
        <v xml:space="preserve"> </v>
      </c>
      <c r="K99" s="39" t="str">
        <f t="shared" si="29"/>
        <v xml:space="preserve"> </v>
      </c>
      <c r="L99" s="3"/>
      <c r="M99" s="39" t="str">
        <f t="shared" si="30"/>
        <v xml:space="preserve"> </v>
      </c>
      <c r="N99" s="40" t="str">
        <f t="shared" si="31"/>
        <v xml:space="preserve"> </v>
      </c>
      <c r="O99" s="3" t="str">
        <f t="shared" si="32"/>
        <v xml:space="preserve"> </v>
      </c>
      <c r="P99" s="3" t="str">
        <f t="shared" si="33"/>
        <v xml:space="preserve"> </v>
      </c>
      <c r="Q99" s="26" t="str">
        <f t="shared" si="34"/>
        <v xml:space="preserve"> </v>
      </c>
    </row>
    <row r="100" spans="1:17">
      <c r="A100" s="35">
        <v>73</v>
      </c>
      <c r="B100" s="30">
        <f>Tabelle2!B77</f>
        <v>0</v>
      </c>
      <c r="C100" s="36"/>
      <c r="D100" s="19"/>
      <c r="E100" s="36"/>
      <c r="F100" s="37" t="str">
        <f t="shared" si="24"/>
        <v xml:space="preserve"> </v>
      </c>
      <c r="G100" s="38" t="str">
        <f t="shared" si="25"/>
        <v xml:space="preserve"> </v>
      </c>
      <c r="H100" s="37" t="str">
        <f t="shared" si="26"/>
        <v xml:space="preserve"> </v>
      </c>
      <c r="I100" s="38" t="str">
        <f t="shared" si="27"/>
        <v xml:space="preserve"> </v>
      </c>
      <c r="J100" s="3" t="str">
        <f t="shared" si="28"/>
        <v xml:space="preserve"> </v>
      </c>
      <c r="K100" s="39" t="str">
        <f t="shared" si="29"/>
        <v xml:space="preserve"> </v>
      </c>
      <c r="L100" s="3"/>
      <c r="M100" s="39" t="str">
        <f t="shared" si="30"/>
        <v xml:space="preserve"> </v>
      </c>
      <c r="N100" s="40" t="str">
        <f t="shared" si="31"/>
        <v xml:space="preserve"> </v>
      </c>
      <c r="O100" s="3" t="str">
        <f t="shared" si="32"/>
        <v xml:space="preserve"> </v>
      </c>
      <c r="P100" s="3" t="str">
        <f t="shared" si="33"/>
        <v xml:space="preserve"> </v>
      </c>
      <c r="Q100" s="26" t="str">
        <f t="shared" si="34"/>
        <v xml:space="preserve"> </v>
      </c>
    </row>
    <row r="101" spans="1:17">
      <c r="A101" s="35">
        <v>74</v>
      </c>
      <c r="B101" s="30">
        <f>Tabelle2!B78</f>
        <v>0</v>
      </c>
      <c r="C101" s="36"/>
      <c r="D101" s="19"/>
      <c r="E101" s="36"/>
      <c r="F101" s="37" t="str">
        <f t="shared" si="24"/>
        <v xml:space="preserve"> </v>
      </c>
      <c r="G101" s="38" t="str">
        <f t="shared" si="25"/>
        <v xml:space="preserve"> </v>
      </c>
      <c r="H101" s="37" t="str">
        <f t="shared" si="26"/>
        <v xml:space="preserve"> </v>
      </c>
      <c r="I101" s="38" t="str">
        <f t="shared" si="27"/>
        <v xml:space="preserve"> </v>
      </c>
      <c r="J101" s="3" t="str">
        <f t="shared" si="28"/>
        <v xml:space="preserve"> </v>
      </c>
      <c r="K101" s="39" t="str">
        <f t="shared" si="29"/>
        <v xml:space="preserve"> </v>
      </c>
      <c r="L101" s="3"/>
      <c r="M101" s="39" t="str">
        <f t="shared" si="30"/>
        <v xml:space="preserve"> </v>
      </c>
      <c r="N101" s="40" t="str">
        <f t="shared" si="31"/>
        <v xml:space="preserve"> </v>
      </c>
      <c r="O101" s="3" t="str">
        <f t="shared" si="32"/>
        <v xml:space="preserve"> </v>
      </c>
      <c r="P101" s="3" t="str">
        <f t="shared" si="33"/>
        <v xml:space="preserve"> </v>
      </c>
      <c r="Q101" s="26" t="str">
        <f t="shared" si="34"/>
        <v xml:space="preserve"> </v>
      </c>
    </row>
    <row r="102" spans="1:17">
      <c r="A102" s="35">
        <v>75</v>
      </c>
      <c r="B102" s="30">
        <f>Tabelle2!B79</f>
        <v>0</v>
      </c>
      <c r="C102" s="36"/>
      <c r="D102" s="19"/>
      <c r="E102" s="36"/>
      <c r="F102" s="37" t="str">
        <f t="shared" si="24"/>
        <v xml:space="preserve"> </v>
      </c>
      <c r="G102" s="38" t="str">
        <f t="shared" si="25"/>
        <v xml:space="preserve"> </v>
      </c>
      <c r="H102" s="37" t="str">
        <f t="shared" si="26"/>
        <v xml:space="preserve"> </v>
      </c>
      <c r="I102" s="38" t="str">
        <f t="shared" si="27"/>
        <v xml:space="preserve"> </v>
      </c>
      <c r="J102" s="3" t="str">
        <f t="shared" si="28"/>
        <v xml:space="preserve"> </v>
      </c>
      <c r="K102" s="39" t="str">
        <f t="shared" si="29"/>
        <v xml:space="preserve"> </v>
      </c>
      <c r="L102" s="3"/>
      <c r="M102" s="39" t="str">
        <f t="shared" si="30"/>
        <v xml:space="preserve"> </v>
      </c>
      <c r="N102" s="40" t="str">
        <f t="shared" si="31"/>
        <v xml:space="preserve"> </v>
      </c>
      <c r="O102" s="3" t="str">
        <f t="shared" si="32"/>
        <v xml:space="preserve"> </v>
      </c>
      <c r="P102" s="3" t="str">
        <f t="shared" si="33"/>
        <v xml:space="preserve"> </v>
      </c>
      <c r="Q102" s="26" t="str">
        <f t="shared" si="34"/>
        <v xml:space="preserve"> </v>
      </c>
    </row>
    <row r="103" spans="1:17">
      <c r="A103" s="35">
        <v>76</v>
      </c>
      <c r="B103" s="30">
        <f>Tabelle2!B80</f>
        <v>0</v>
      </c>
      <c r="C103" s="36"/>
      <c r="D103" s="19"/>
      <c r="E103" s="36"/>
      <c r="F103" s="37" t="str">
        <f t="shared" si="24"/>
        <v xml:space="preserve"> </v>
      </c>
      <c r="G103" s="38" t="str">
        <f t="shared" si="25"/>
        <v xml:space="preserve"> </v>
      </c>
      <c r="H103" s="37" t="str">
        <f t="shared" si="26"/>
        <v xml:space="preserve"> </v>
      </c>
      <c r="I103" s="38" t="str">
        <f t="shared" si="27"/>
        <v xml:space="preserve"> </v>
      </c>
      <c r="J103" s="3" t="str">
        <f t="shared" si="28"/>
        <v xml:space="preserve"> </v>
      </c>
      <c r="K103" s="39" t="str">
        <f t="shared" si="29"/>
        <v xml:space="preserve"> </v>
      </c>
      <c r="L103" s="3"/>
      <c r="M103" s="39" t="str">
        <f t="shared" si="30"/>
        <v xml:space="preserve"> </v>
      </c>
      <c r="N103" s="40" t="str">
        <f t="shared" si="31"/>
        <v xml:space="preserve"> </v>
      </c>
      <c r="O103" s="3" t="str">
        <f t="shared" si="32"/>
        <v xml:space="preserve"> </v>
      </c>
      <c r="P103" s="3" t="str">
        <f t="shared" si="33"/>
        <v xml:space="preserve"> </v>
      </c>
      <c r="Q103" s="26" t="str">
        <f t="shared" si="34"/>
        <v xml:space="preserve"> </v>
      </c>
    </row>
    <row r="104" spans="1:17">
      <c r="A104" s="35">
        <v>77</v>
      </c>
      <c r="B104" s="30">
        <f>Tabelle2!B81</f>
        <v>0</v>
      </c>
      <c r="C104" s="36"/>
      <c r="D104" s="19"/>
      <c r="E104" s="36"/>
      <c r="F104" s="37" t="str">
        <f t="shared" si="24"/>
        <v xml:space="preserve"> </v>
      </c>
      <c r="G104" s="38" t="str">
        <f t="shared" si="25"/>
        <v xml:space="preserve"> </v>
      </c>
      <c r="H104" s="37" t="str">
        <f t="shared" si="26"/>
        <v xml:space="preserve"> </v>
      </c>
      <c r="I104" s="38" t="str">
        <f t="shared" si="27"/>
        <v xml:space="preserve"> </v>
      </c>
      <c r="J104" s="3" t="str">
        <f t="shared" si="28"/>
        <v xml:space="preserve"> </v>
      </c>
      <c r="K104" s="39" t="str">
        <f t="shared" si="29"/>
        <v xml:space="preserve"> </v>
      </c>
      <c r="L104" s="3"/>
      <c r="M104" s="39" t="str">
        <f t="shared" si="30"/>
        <v xml:space="preserve"> </v>
      </c>
      <c r="N104" s="40" t="str">
        <f t="shared" si="31"/>
        <v xml:space="preserve"> </v>
      </c>
      <c r="O104" s="3" t="str">
        <f t="shared" si="32"/>
        <v xml:space="preserve"> </v>
      </c>
      <c r="P104" s="3" t="str">
        <f t="shared" si="33"/>
        <v xml:space="preserve"> </v>
      </c>
      <c r="Q104" s="26" t="str">
        <f t="shared" si="34"/>
        <v xml:space="preserve"> </v>
      </c>
    </row>
    <row r="105" spans="1:17">
      <c r="A105" s="35">
        <v>78</v>
      </c>
      <c r="B105" s="30">
        <f>Tabelle2!B82</f>
        <v>0</v>
      </c>
      <c r="C105" s="36"/>
      <c r="D105" s="19"/>
      <c r="E105" s="36"/>
      <c r="F105" s="37" t="str">
        <f t="shared" si="24"/>
        <v xml:space="preserve"> </v>
      </c>
      <c r="G105" s="38" t="str">
        <f t="shared" si="25"/>
        <v xml:space="preserve"> </v>
      </c>
      <c r="H105" s="37" t="str">
        <f t="shared" si="26"/>
        <v xml:space="preserve"> </v>
      </c>
      <c r="I105" s="38" t="str">
        <f t="shared" si="27"/>
        <v xml:space="preserve"> </v>
      </c>
      <c r="J105" s="3" t="str">
        <f t="shared" si="28"/>
        <v xml:space="preserve"> </v>
      </c>
      <c r="K105" s="39" t="str">
        <f t="shared" si="29"/>
        <v xml:space="preserve"> </v>
      </c>
      <c r="L105" s="3" t="str">
        <f t="shared" ref="L105:L127" si="35">IF(K105&lt;$B$16,K105," ")</f>
        <v xml:space="preserve"> </v>
      </c>
      <c r="M105" s="39" t="str">
        <f t="shared" si="30"/>
        <v xml:space="preserve"> </v>
      </c>
      <c r="N105" s="40" t="str">
        <f t="shared" si="31"/>
        <v xml:space="preserve"> </v>
      </c>
      <c r="O105" s="3" t="str">
        <f t="shared" si="32"/>
        <v xml:space="preserve"> </v>
      </c>
      <c r="P105" s="3" t="str">
        <f t="shared" si="33"/>
        <v xml:space="preserve"> </v>
      </c>
      <c r="Q105" s="26" t="str">
        <f t="shared" si="34"/>
        <v xml:space="preserve"> </v>
      </c>
    </row>
    <row r="106" spans="1:17">
      <c r="A106" s="35">
        <v>79</v>
      </c>
      <c r="B106" s="30">
        <f>Tabelle2!B83</f>
        <v>0</v>
      </c>
      <c r="C106" s="36"/>
      <c r="D106" s="19"/>
      <c r="E106" s="36"/>
      <c r="F106" s="37" t="str">
        <f t="shared" si="24"/>
        <v xml:space="preserve"> </v>
      </c>
      <c r="G106" s="38" t="str">
        <f t="shared" si="25"/>
        <v xml:space="preserve"> </v>
      </c>
      <c r="H106" s="37" t="str">
        <f t="shared" si="26"/>
        <v xml:space="preserve"> </v>
      </c>
      <c r="I106" s="38" t="str">
        <f t="shared" si="27"/>
        <v xml:space="preserve"> </v>
      </c>
      <c r="J106" s="3" t="str">
        <f t="shared" si="28"/>
        <v xml:space="preserve"> </v>
      </c>
      <c r="K106" s="39" t="str">
        <f t="shared" si="29"/>
        <v xml:space="preserve"> </v>
      </c>
      <c r="L106" s="3" t="str">
        <f t="shared" si="35"/>
        <v xml:space="preserve"> </v>
      </c>
      <c r="M106" s="39" t="str">
        <f t="shared" si="30"/>
        <v xml:space="preserve"> </v>
      </c>
      <c r="N106" s="40" t="str">
        <f t="shared" si="31"/>
        <v xml:space="preserve"> </v>
      </c>
      <c r="O106" s="3" t="str">
        <f t="shared" si="32"/>
        <v xml:space="preserve"> </v>
      </c>
      <c r="P106" s="3" t="str">
        <f t="shared" si="33"/>
        <v xml:space="preserve"> </v>
      </c>
      <c r="Q106" s="26" t="str">
        <f t="shared" si="34"/>
        <v xml:space="preserve"> </v>
      </c>
    </row>
    <row r="107" spans="1:17">
      <c r="A107" s="35">
        <v>80</v>
      </c>
      <c r="B107" s="30">
        <f>Tabelle2!B84</f>
        <v>0</v>
      </c>
      <c r="C107" s="36"/>
      <c r="D107" s="19"/>
      <c r="E107" s="36"/>
      <c r="F107" s="37" t="str">
        <f t="shared" si="24"/>
        <v xml:space="preserve"> </v>
      </c>
      <c r="G107" s="38" t="str">
        <f t="shared" si="25"/>
        <v xml:space="preserve"> </v>
      </c>
      <c r="H107" s="37" t="str">
        <f t="shared" si="26"/>
        <v xml:space="preserve"> </v>
      </c>
      <c r="I107" s="38" t="str">
        <f t="shared" si="27"/>
        <v xml:space="preserve"> </v>
      </c>
      <c r="J107" s="3" t="str">
        <f t="shared" si="28"/>
        <v xml:space="preserve"> </v>
      </c>
      <c r="K107" s="39" t="str">
        <f t="shared" si="29"/>
        <v xml:space="preserve"> </v>
      </c>
      <c r="L107" s="3" t="str">
        <f t="shared" si="35"/>
        <v xml:space="preserve"> </v>
      </c>
      <c r="M107" s="39" t="str">
        <f t="shared" si="30"/>
        <v xml:space="preserve"> </v>
      </c>
      <c r="N107" s="40" t="str">
        <f t="shared" si="31"/>
        <v xml:space="preserve"> </v>
      </c>
      <c r="O107" s="3" t="str">
        <f t="shared" si="32"/>
        <v xml:space="preserve"> </v>
      </c>
      <c r="P107" s="3" t="str">
        <f t="shared" si="33"/>
        <v xml:space="preserve"> </v>
      </c>
      <c r="Q107" s="26" t="str">
        <f t="shared" si="34"/>
        <v xml:space="preserve"> </v>
      </c>
    </row>
    <row r="108" spans="1:17">
      <c r="A108" s="35">
        <v>81</v>
      </c>
      <c r="B108" s="30">
        <f>Tabelle2!B85</f>
        <v>0</v>
      </c>
      <c r="C108" s="36"/>
      <c r="D108" s="19"/>
      <c r="E108" s="36"/>
      <c r="F108" s="37" t="str">
        <f t="shared" si="24"/>
        <v xml:space="preserve"> </v>
      </c>
      <c r="G108" s="38" t="str">
        <f t="shared" si="25"/>
        <v xml:space="preserve"> </v>
      </c>
      <c r="H108" s="37" t="str">
        <f t="shared" si="26"/>
        <v xml:space="preserve"> </v>
      </c>
      <c r="I108" s="38" t="str">
        <f t="shared" si="27"/>
        <v xml:space="preserve"> </v>
      </c>
      <c r="J108" s="3" t="str">
        <f t="shared" si="28"/>
        <v xml:space="preserve"> </v>
      </c>
      <c r="K108" s="39" t="str">
        <f t="shared" si="29"/>
        <v xml:space="preserve"> </v>
      </c>
      <c r="L108" s="3" t="str">
        <f t="shared" si="35"/>
        <v xml:space="preserve"> </v>
      </c>
      <c r="M108" s="39" t="str">
        <f t="shared" si="30"/>
        <v xml:space="preserve"> </v>
      </c>
      <c r="N108" s="40" t="str">
        <f t="shared" si="31"/>
        <v xml:space="preserve"> </v>
      </c>
      <c r="O108" s="3" t="str">
        <f t="shared" si="32"/>
        <v xml:space="preserve"> </v>
      </c>
      <c r="P108" s="3" t="str">
        <f t="shared" si="33"/>
        <v xml:space="preserve"> </v>
      </c>
      <c r="Q108" s="26" t="str">
        <f t="shared" si="34"/>
        <v xml:space="preserve"> </v>
      </c>
    </row>
    <row r="109" spans="1:17">
      <c r="A109" s="35">
        <v>82</v>
      </c>
      <c r="B109" s="30">
        <f>Tabelle2!B86</f>
        <v>0</v>
      </c>
      <c r="C109" s="36"/>
      <c r="D109" s="19"/>
      <c r="E109" s="36"/>
      <c r="F109" s="37" t="str">
        <f t="shared" si="24"/>
        <v xml:space="preserve"> </v>
      </c>
      <c r="G109" s="38" t="str">
        <f t="shared" si="25"/>
        <v xml:space="preserve"> </v>
      </c>
      <c r="H109" s="37" t="str">
        <f t="shared" si="26"/>
        <v xml:space="preserve"> </v>
      </c>
      <c r="I109" s="38" t="str">
        <f t="shared" si="27"/>
        <v xml:space="preserve"> </v>
      </c>
      <c r="J109" s="3" t="str">
        <f t="shared" si="28"/>
        <v xml:space="preserve"> </v>
      </c>
      <c r="K109" s="39" t="str">
        <f t="shared" si="29"/>
        <v xml:space="preserve"> </v>
      </c>
      <c r="L109" s="3" t="str">
        <f t="shared" si="35"/>
        <v xml:space="preserve"> </v>
      </c>
      <c r="M109" s="39" t="str">
        <f t="shared" si="30"/>
        <v xml:space="preserve"> </v>
      </c>
      <c r="N109" s="40" t="str">
        <f t="shared" si="31"/>
        <v xml:space="preserve"> </v>
      </c>
      <c r="O109" s="3" t="str">
        <f t="shared" si="32"/>
        <v xml:space="preserve"> </v>
      </c>
      <c r="P109" s="3" t="str">
        <f t="shared" si="33"/>
        <v xml:space="preserve"> </v>
      </c>
      <c r="Q109" s="26" t="str">
        <f t="shared" si="34"/>
        <v xml:space="preserve"> </v>
      </c>
    </row>
    <row r="110" spans="1:17">
      <c r="A110" s="35">
        <v>83</v>
      </c>
      <c r="B110" s="30">
        <f>Tabelle2!B87</f>
        <v>0</v>
      </c>
      <c r="C110" s="36"/>
      <c r="D110" s="19"/>
      <c r="E110" s="36"/>
      <c r="F110" s="37" t="str">
        <f t="shared" si="24"/>
        <v xml:space="preserve"> </v>
      </c>
      <c r="G110" s="38" t="str">
        <f t="shared" si="25"/>
        <v xml:space="preserve"> </v>
      </c>
      <c r="H110" s="37" t="str">
        <f t="shared" si="26"/>
        <v xml:space="preserve"> </v>
      </c>
      <c r="I110" s="38" t="str">
        <f t="shared" si="27"/>
        <v xml:space="preserve"> </v>
      </c>
      <c r="J110" s="3" t="str">
        <f t="shared" si="28"/>
        <v xml:space="preserve"> </v>
      </c>
      <c r="K110" s="39" t="str">
        <f t="shared" si="29"/>
        <v xml:space="preserve"> </v>
      </c>
      <c r="L110" s="3" t="str">
        <f t="shared" si="35"/>
        <v xml:space="preserve"> </v>
      </c>
      <c r="M110" s="39" t="str">
        <f t="shared" si="30"/>
        <v xml:space="preserve"> </v>
      </c>
      <c r="N110" s="40" t="str">
        <f t="shared" si="31"/>
        <v xml:space="preserve"> </v>
      </c>
      <c r="O110" s="3" t="str">
        <f t="shared" si="32"/>
        <v xml:space="preserve"> </v>
      </c>
      <c r="P110" s="3" t="str">
        <f t="shared" si="33"/>
        <v xml:space="preserve"> </v>
      </c>
      <c r="Q110" s="26" t="str">
        <f t="shared" si="34"/>
        <v xml:space="preserve"> </v>
      </c>
    </row>
    <row r="111" spans="1:17">
      <c r="A111" s="35">
        <v>84</v>
      </c>
      <c r="B111" s="30">
        <f>Tabelle2!B88</f>
        <v>0</v>
      </c>
      <c r="C111" s="36"/>
      <c r="D111" s="19"/>
      <c r="E111" s="36"/>
      <c r="F111" s="37" t="str">
        <f t="shared" si="24"/>
        <v xml:space="preserve"> </v>
      </c>
      <c r="G111" s="38" t="str">
        <f t="shared" si="25"/>
        <v xml:space="preserve"> </v>
      </c>
      <c r="H111" s="37" t="str">
        <f t="shared" si="26"/>
        <v xml:space="preserve"> </v>
      </c>
      <c r="I111" s="38" t="str">
        <f t="shared" si="27"/>
        <v xml:space="preserve"> </v>
      </c>
      <c r="J111" s="3" t="str">
        <f t="shared" si="28"/>
        <v xml:space="preserve"> </v>
      </c>
      <c r="K111" s="39" t="str">
        <f t="shared" si="29"/>
        <v xml:space="preserve"> </v>
      </c>
      <c r="L111" s="3" t="str">
        <f t="shared" si="35"/>
        <v xml:space="preserve"> </v>
      </c>
      <c r="M111" s="39" t="str">
        <f t="shared" si="30"/>
        <v xml:space="preserve"> </v>
      </c>
      <c r="N111" s="40" t="str">
        <f t="shared" si="31"/>
        <v xml:space="preserve"> </v>
      </c>
      <c r="O111" s="3" t="str">
        <f t="shared" si="32"/>
        <v xml:space="preserve"> </v>
      </c>
      <c r="P111" s="3" t="str">
        <f t="shared" si="33"/>
        <v xml:space="preserve"> </v>
      </c>
      <c r="Q111" s="26" t="str">
        <f t="shared" si="34"/>
        <v xml:space="preserve"> </v>
      </c>
    </row>
    <row r="112" spans="1:17">
      <c r="A112" s="35">
        <v>85</v>
      </c>
      <c r="B112" s="30">
        <f>Tabelle2!B89</f>
        <v>0</v>
      </c>
      <c r="C112" s="36"/>
      <c r="D112" s="19"/>
      <c r="E112" s="36"/>
      <c r="F112" s="37" t="str">
        <f t="shared" si="24"/>
        <v xml:space="preserve"> </v>
      </c>
      <c r="G112" s="38" t="str">
        <f t="shared" si="25"/>
        <v xml:space="preserve"> </v>
      </c>
      <c r="H112" s="37" t="str">
        <f t="shared" si="26"/>
        <v xml:space="preserve"> </v>
      </c>
      <c r="I112" s="38" t="str">
        <f t="shared" si="27"/>
        <v xml:space="preserve"> </v>
      </c>
      <c r="J112" s="3" t="str">
        <f t="shared" si="28"/>
        <v xml:space="preserve"> </v>
      </c>
      <c r="K112" s="39" t="str">
        <f t="shared" si="29"/>
        <v xml:space="preserve"> </v>
      </c>
      <c r="L112" s="3" t="str">
        <f t="shared" si="35"/>
        <v xml:space="preserve"> </v>
      </c>
      <c r="M112" s="39" t="str">
        <f t="shared" si="30"/>
        <v xml:space="preserve"> </v>
      </c>
      <c r="N112" s="40" t="str">
        <f t="shared" si="31"/>
        <v xml:space="preserve"> </v>
      </c>
      <c r="O112" s="3" t="str">
        <f t="shared" si="32"/>
        <v xml:space="preserve"> </v>
      </c>
      <c r="P112" s="3" t="str">
        <f t="shared" si="33"/>
        <v xml:space="preserve"> </v>
      </c>
      <c r="Q112" s="26" t="str">
        <f t="shared" si="34"/>
        <v xml:space="preserve"> </v>
      </c>
    </row>
    <row r="113" spans="1:17">
      <c r="A113" s="35">
        <v>86</v>
      </c>
      <c r="B113" s="30">
        <f>Tabelle2!B90</f>
        <v>0</v>
      </c>
      <c r="C113" s="36"/>
      <c r="D113" s="19"/>
      <c r="E113" s="36"/>
      <c r="F113" s="37" t="str">
        <f t="shared" si="24"/>
        <v xml:space="preserve"> </v>
      </c>
      <c r="G113" s="38" t="str">
        <f t="shared" si="25"/>
        <v xml:space="preserve"> </v>
      </c>
      <c r="H113" s="37" t="str">
        <f t="shared" si="26"/>
        <v xml:space="preserve"> </v>
      </c>
      <c r="I113" s="38" t="str">
        <f t="shared" si="27"/>
        <v xml:space="preserve"> </v>
      </c>
      <c r="J113" s="3" t="str">
        <f t="shared" si="28"/>
        <v xml:space="preserve"> </v>
      </c>
      <c r="K113" s="39" t="str">
        <f t="shared" si="29"/>
        <v xml:space="preserve"> </v>
      </c>
      <c r="L113" s="3" t="str">
        <f t="shared" si="35"/>
        <v xml:space="preserve"> </v>
      </c>
      <c r="M113" s="39" t="str">
        <f t="shared" si="30"/>
        <v xml:space="preserve"> </v>
      </c>
      <c r="N113" s="40" t="str">
        <f t="shared" si="31"/>
        <v xml:space="preserve"> </v>
      </c>
      <c r="O113" s="3" t="str">
        <f t="shared" si="32"/>
        <v xml:space="preserve"> </v>
      </c>
      <c r="P113" s="3" t="str">
        <f t="shared" si="33"/>
        <v xml:space="preserve"> </v>
      </c>
      <c r="Q113" s="26" t="str">
        <f t="shared" si="34"/>
        <v xml:space="preserve"> </v>
      </c>
    </row>
    <row r="114" spans="1:17">
      <c r="A114" s="35">
        <v>87</v>
      </c>
      <c r="B114" s="30">
        <f>Tabelle2!B91</f>
        <v>0</v>
      </c>
      <c r="C114" s="36"/>
      <c r="D114" s="19"/>
      <c r="E114" s="36"/>
      <c r="F114" s="37" t="str">
        <f t="shared" si="24"/>
        <v xml:space="preserve"> </v>
      </c>
      <c r="G114" s="38" t="str">
        <f t="shared" si="25"/>
        <v xml:space="preserve"> </v>
      </c>
      <c r="H114" s="37" t="str">
        <f t="shared" si="26"/>
        <v xml:space="preserve"> </v>
      </c>
      <c r="I114" s="38" t="str">
        <f t="shared" si="27"/>
        <v xml:space="preserve"> </v>
      </c>
      <c r="J114" s="3" t="str">
        <f t="shared" si="28"/>
        <v xml:space="preserve"> </v>
      </c>
      <c r="K114" s="39" t="str">
        <f t="shared" si="29"/>
        <v xml:space="preserve"> </v>
      </c>
      <c r="L114" s="3" t="str">
        <f t="shared" si="35"/>
        <v xml:space="preserve"> </v>
      </c>
      <c r="M114" s="39" t="str">
        <f t="shared" si="30"/>
        <v xml:space="preserve"> </v>
      </c>
      <c r="N114" s="40" t="str">
        <f t="shared" si="31"/>
        <v xml:space="preserve"> </v>
      </c>
      <c r="O114" s="3" t="str">
        <f t="shared" si="32"/>
        <v xml:space="preserve"> </v>
      </c>
      <c r="P114" s="3" t="str">
        <f t="shared" si="33"/>
        <v xml:space="preserve"> </v>
      </c>
      <c r="Q114" s="26" t="str">
        <f t="shared" si="34"/>
        <v xml:space="preserve"> </v>
      </c>
    </row>
    <row r="115" spans="1:17">
      <c r="A115" s="35">
        <v>88</v>
      </c>
      <c r="B115" s="30">
        <f>Tabelle2!B92</f>
        <v>0</v>
      </c>
      <c r="C115" s="36"/>
      <c r="D115" s="19"/>
      <c r="E115" s="36"/>
      <c r="F115" s="37" t="str">
        <f t="shared" si="24"/>
        <v xml:space="preserve"> </v>
      </c>
      <c r="G115" s="38" t="str">
        <f t="shared" si="25"/>
        <v xml:space="preserve"> </v>
      </c>
      <c r="H115" s="37" t="str">
        <f t="shared" si="26"/>
        <v xml:space="preserve"> </v>
      </c>
      <c r="I115" s="38" t="str">
        <f t="shared" si="27"/>
        <v xml:space="preserve"> </v>
      </c>
      <c r="J115" s="3" t="str">
        <f t="shared" si="28"/>
        <v xml:space="preserve"> </v>
      </c>
      <c r="K115" s="39" t="str">
        <f t="shared" si="29"/>
        <v xml:space="preserve"> </v>
      </c>
      <c r="L115" s="3" t="str">
        <f t="shared" si="35"/>
        <v xml:space="preserve"> </v>
      </c>
      <c r="M115" s="39" t="str">
        <f t="shared" si="30"/>
        <v xml:space="preserve"> </v>
      </c>
      <c r="N115" s="40" t="str">
        <f t="shared" si="31"/>
        <v xml:space="preserve"> </v>
      </c>
      <c r="O115" s="3" t="str">
        <f t="shared" si="32"/>
        <v xml:space="preserve"> </v>
      </c>
      <c r="P115" s="3" t="str">
        <f t="shared" si="33"/>
        <v xml:space="preserve"> </v>
      </c>
      <c r="Q115" s="26" t="str">
        <f t="shared" si="34"/>
        <v xml:space="preserve"> </v>
      </c>
    </row>
    <row r="116" spans="1:17">
      <c r="A116" s="35">
        <v>89</v>
      </c>
      <c r="B116" s="30">
        <f>Tabelle2!B93</f>
        <v>0</v>
      </c>
      <c r="C116" s="36"/>
      <c r="D116" s="19"/>
      <c r="E116" s="36"/>
      <c r="F116" s="37" t="str">
        <f t="shared" si="24"/>
        <v xml:space="preserve"> </v>
      </c>
      <c r="G116" s="38" t="str">
        <f t="shared" si="25"/>
        <v xml:space="preserve"> </v>
      </c>
      <c r="H116" s="37" t="str">
        <f t="shared" si="26"/>
        <v xml:space="preserve"> </v>
      </c>
      <c r="I116" s="38" t="str">
        <f t="shared" si="27"/>
        <v xml:space="preserve"> </v>
      </c>
      <c r="J116" s="3" t="str">
        <f t="shared" si="28"/>
        <v xml:space="preserve"> </v>
      </c>
      <c r="K116" s="39" t="str">
        <f t="shared" si="29"/>
        <v xml:space="preserve"> </v>
      </c>
      <c r="L116" s="3" t="str">
        <f t="shared" si="35"/>
        <v xml:space="preserve"> </v>
      </c>
      <c r="M116" s="39" t="str">
        <f t="shared" si="30"/>
        <v xml:space="preserve"> </v>
      </c>
      <c r="N116" s="40" t="str">
        <f t="shared" si="31"/>
        <v xml:space="preserve"> </v>
      </c>
      <c r="O116" s="3" t="str">
        <f t="shared" si="32"/>
        <v xml:space="preserve"> </v>
      </c>
      <c r="P116" s="3" t="str">
        <f t="shared" si="33"/>
        <v xml:space="preserve"> </v>
      </c>
      <c r="Q116" s="26" t="str">
        <f t="shared" si="34"/>
        <v xml:space="preserve"> </v>
      </c>
    </row>
    <row r="117" spans="1:17">
      <c r="A117" s="35">
        <v>90</v>
      </c>
      <c r="B117" s="30">
        <f>Tabelle2!B94</f>
        <v>0</v>
      </c>
      <c r="C117" s="36"/>
      <c r="D117" s="19"/>
      <c r="E117" s="36"/>
      <c r="F117" s="37" t="str">
        <f t="shared" si="24"/>
        <v xml:space="preserve"> </v>
      </c>
      <c r="G117" s="38" t="str">
        <f t="shared" si="25"/>
        <v xml:space="preserve"> </v>
      </c>
      <c r="H117" s="37" t="str">
        <f t="shared" si="26"/>
        <v xml:space="preserve"> </v>
      </c>
      <c r="I117" s="38" t="str">
        <f t="shared" si="27"/>
        <v xml:space="preserve"> </v>
      </c>
      <c r="J117" s="3" t="str">
        <f t="shared" si="28"/>
        <v xml:space="preserve"> </v>
      </c>
      <c r="K117" s="39" t="str">
        <f t="shared" si="29"/>
        <v xml:space="preserve"> </v>
      </c>
      <c r="L117" s="3" t="str">
        <f t="shared" si="35"/>
        <v xml:space="preserve"> </v>
      </c>
      <c r="M117" s="39" t="str">
        <f t="shared" si="30"/>
        <v xml:space="preserve"> </v>
      </c>
      <c r="N117" s="40" t="str">
        <f t="shared" si="31"/>
        <v xml:space="preserve"> </v>
      </c>
      <c r="O117" s="3" t="str">
        <f t="shared" si="32"/>
        <v xml:space="preserve"> </v>
      </c>
      <c r="P117" s="3" t="str">
        <f t="shared" si="33"/>
        <v xml:space="preserve"> </v>
      </c>
      <c r="Q117" s="26" t="str">
        <f t="shared" si="34"/>
        <v xml:space="preserve"> </v>
      </c>
    </row>
    <row r="118" spans="1:17">
      <c r="A118" s="35">
        <v>91</v>
      </c>
      <c r="B118" s="30">
        <f>Tabelle2!B95</f>
        <v>0</v>
      </c>
      <c r="C118" s="36"/>
      <c r="D118" s="19"/>
      <c r="E118" s="36"/>
      <c r="F118" s="37" t="str">
        <f t="shared" si="24"/>
        <v xml:space="preserve"> </v>
      </c>
      <c r="G118" s="38" t="str">
        <f t="shared" si="25"/>
        <v xml:space="preserve"> </v>
      </c>
      <c r="H118" s="37" t="str">
        <f t="shared" si="26"/>
        <v xml:space="preserve"> </v>
      </c>
      <c r="I118" s="38" t="str">
        <f t="shared" si="27"/>
        <v xml:space="preserve"> </v>
      </c>
      <c r="J118" s="3" t="str">
        <f t="shared" si="28"/>
        <v xml:space="preserve"> </v>
      </c>
      <c r="K118" s="39" t="str">
        <f t="shared" si="29"/>
        <v xml:space="preserve"> </v>
      </c>
      <c r="L118" s="3" t="str">
        <f t="shared" si="35"/>
        <v xml:space="preserve"> </v>
      </c>
      <c r="M118" s="39" t="str">
        <f t="shared" si="30"/>
        <v xml:space="preserve"> </v>
      </c>
      <c r="N118" s="40" t="str">
        <f t="shared" si="31"/>
        <v xml:space="preserve"> </v>
      </c>
      <c r="O118" s="3" t="str">
        <f t="shared" si="32"/>
        <v xml:space="preserve"> </v>
      </c>
      <c r="P118" s="3" t="str">
        <f t="shared" si="33"/>
        <v xml:space="preserve"> </v>
      </c>
      <c r="Q118" s="26" t="str">
        <f t="shared" si="34"/>
        <v xml:space="preserve"> </v>
      </c>
    </row>
    <row r="119" spans="1:17">
      <c r="A119" s="35">
        <v>92</v>
      </c>
      <c r="B119" s="30">
        <f>Tabelle2!B96</f>
        <v>0</v>
      </c>
      <c r="C119" s="36"/>
      <c r="D119" s="19"/>
      <c r="E119" s="36"/>
      <c r="F119" s="37" t="str">
        <f t="shared" si="24"/>
        <v xml:space="preserve"> </v>
      </c>
      <c r="G119" s="38" t="str">
        <f t="shared" si="25"/>
        <v xml:space="preserve"> </v>
      </c>
      <c r="H119" s="37" t="str">
        <f t="shared" si="26"/>
        <v xml:space="preserve"> </v>
      </c>
      <c r="I119" s="38" t="str">
        <f t="shared" si="27"/>
        <v xml:space="preserve"> </v>
      </c>
      <c r="J119" s="3" t="str">
        <f t="shared" si="28"/>
        <v xml:space="preserve"> </v>
      </c>
      <c r="K119" s="39" t="str">
        <f t="shared" si="29"/>
        <v xml:space="preserve"> </v>
      </c>
      <c r="L119" s="3" t="str">
        <f t="shared" si="35"/>
        <v xml:space="preserve"> </v>
      </c>
      <c r="M119" s="39" t="str">
        <f t="shared" si="30"/>
        <v xml:space="preserve"> </v>
      </c>
      <c r="N119" s="40" t="str">
        <f t="shared" si="31"/>
        <v xml:space="preserve"> </v>
      </c>
      <c r="O119" s="3" t="str">
        <f t="shared" si="32"/>
        <v xml:space="preserve"> </v>
      </c>
      <c r="P119" s="3" t="str">
        <f t="shared" si="33"/>
        <v xml:space="preserve"> </v>
      </c>
      <c r="Q119" s="26" t="str">
        <f t="shared" si="34"/>
        <v xml:space="preserve"> </v>
      </c>
    </row>
    <row r="120" spans="1:17">
      <c r="A120" s="35">
        <v>93</v>
      </c>
      <c r="B120" s="30">
        <f>Tabelle2!B97</f>
        <v>0</v>
      </c>
      <c r="C120" s="36"/>
      <c r="D120" s="19"/>
      <c r="E120" s="36"/>
      <c r="F120" s="37" t="str">
        <f t="shared" si="24"/>
        <v xml:space="preserve"> </v>
      </c>
      <c r="G120" s="38" t="str">
        <f t="shared" si="25"/>
        <v xml:space="preserve"> </v>
      </c>
      <c r="H120" s="37" t="str">
        <f t="shared" si="26"/>
        <v xml:space="preserve"> </v>
      </c>
      <c r="I120" s="38" t="str">
        <f t="shared" si="27"/>
        <v xml:space="preserve"> </v>
      </c>
      <c r="J120" s="3" t="str">
        <f t="shared" si="28"/>
        <v xml:space="preserve"> </v>
      </c>
      <c r="K120" s="39" t="str">
        <f t="shared" si="29"/>
        <v xml:space="preserve"> </v>
      </c>
      <c r="L120" s="3" t="str">
        <f t="shared" si="35"/>
        <v xml:space="preserve"> </v>
      </c>
      <c r="M120" s="39" t="str">
        <f t="shared" si="30"/>
        <v xml:space="preserve"> </v>
      </c>
      <c r="N120" s="40" t="str">
        <f t="shared" si="31"/>
        <v xml:space="preserve"> </v>
      </c>
      <c r="O120" s="3" t="str">
        <f t="shared" si="32"/>
        <v xml:space="preserve"> </v>
      </c>
      <c r="P120" s="3" t="str">
        <f t="shared" si="33"/>
        <v xml:space="preserve"> </v>
      </c>
      <c r="Q120" s="26" t="str">
        <f t="shared" si="34"/>
        <v xml:space="preserve"> </v>
      </c>
    </row>
    <row r="121" spans="1:17">
      <c r="A121" s="35">
        <v>94</v>
      </c>
      <c r="B121" s="30">
        <f>Tabelle2!B98</f>
        <v>0</v>
      </c>
      <c r="C121" s="36"/>
      <c r="D121" s="19"/>
      <c r="E121" s="36"/>
      <c r="F121" s="37" t="str">
        <f t="shared" si="24"/>
        <v xml:space="preserve"> </v>
      </c>
      <c r="G121" s="38" t="str">
        <f t="shared" si="25"/>
        <v xml:space="preserve"> </v>
      </c>
      <c r="H121" s="37" t="str">
        <f t="shared" si="26"/>
        <v xml:space="preserve"> </v>
      </c>
      <c r="I121" s="38" t="str">
        <f t="shared" si="27"/>
        <v xml:space="preserve"> </v>
      </c>
      <c r="J121" s="3" t="str">
        <f t="shared" si="28"/>
        <v xml:space="preserve"> </v>
      </c>
      <c r="K121" s="39" t="str">
        <f t="shared" si="29"/>
        <v xml:space="preserve"> </v>
      </c>
      <c r="L121" s="3" t="str">
        <f t="shared" si="35"/>
        <v xml:space="preserve"> </v>
      </c>
      <c r="M121" s="39" t="str">
        <f t="shared" si="30"/>
        <v xml:space="preserve"> </v>
      </c>
      <c r="N121" s="40" t="str">
        <f t="shared" si="31"/>
        <v xml:space="preserve"> </v>
      </c>
      <c r="O121" s="3" t="str">
        <f t="shared" si="32"/>
        <v xml:space="preserve"> </v>
      </c>
      <c r="P121" s="3" t="str">
        <f t="shared" si="33"/>
        <v xml:space="preserve"> </v>
      </c>
      <c r="Q121" s="26" t="str">
        <f t="shared" si="34"/>
        <v xml:space="preserve"> </v>
      </c>
    </row>
    <row r="122" spans="1:17">
      <c r="A122" s="35">
        <v>95</v>
      </c>
      <c r="B122" s="30">
        <f>Tabelle2!B99</f>
        <v>0</v>
      </c>
      <c r="C122" s="36"/>
      <c r="D122" s="19"/>
      <c r="E122" s="36"/>
      <c r="F122" s="37" t="str">
        <f t="shared" si="24"/>
        <v xml:space="preserve"> </v>
      </c>
      <c r="G122" s="38" t="str">
        <f t="shared" si="25"/>
        <v xml:space="preserve"> </v>
      </c>
      <c r="H122" s="37" t="str">
        <f t="shared" si="26"/>
        <v xml:space="preserve"> </v>
      </c>
      <c r="I122" s="38" t="str">
        <f t="shared" si="27"/>
        <v xml:space="preserve"> </v>
      </c>
      <c r="J122" s="3" t="str">
        <f t="shared" si="28"/>
        <v xml:space="preserve"> </v>
      </c>
      <c r="K122" s="39" t="str">
        <f t="shared" si="29"/>
        <v xml:space="preserve"> </v>
      </c>
      <c r="L122" s="3" t="str">
        <f t="shared" si="35"/>
        <v xml:space="preserve"> </v>
      </c>
      <c r="M122" s="39" t="str">
        <f t="shared" si="30"/>
        <v xml:space="preserve"> </v>
      </c>
      <c r="N122" s="40" t="str">
        <f t="shared" si="31"/>
        <v xml:space="preserve"> </v>
      </c>
      <c r="O122" s="3" t="str">
        <f t="shared" si="32"/>
        <v xml:space="preserve"> </v>
      </c>
      <c r="P122" s="3" t="str">
        <f t="shared" si="33"/>
        <v xml:space="preserve"> </v>
      </c>
      <c r="Q122" s="26" t="str">
        <f t="shared" si="34"/>
        <v xml:space="preserve"> </v>
      </c>
    </row>
    <row r="123" spans="1:17">
      <c r="A123" s="35">
        <v>96</v>
      </c>
      <c r="B123" s="30">
        <f>Tabelle2!B100</f>
        <v>0</v>
      </c>
      <c r="C123" s="36"/>
      <c r="D123" s="19"/>
      <c r="E123" s="36"/>
      <c r="F123" s="37" t="str">
        <f t="shared" si="24"/>
        <v xml:space="preserve"> </v>
      </c>
      <c r="G123" s="38" t="str">
        <f t="shared" si="25"/>
        <v xml:space="preserve"> </v>
      </c>
      <c r="H123" s="37" t="str">
        <f t="shared" si="26"/>
        <v xml:space="preserve"> </v>
      </c>
      <c r="I123" s="38" t="str">
        <f t="shared" si="27"/>
        <v xml:space="preserve"> </v>
      </c>
      <c r="J123" s="3" t="str">
        <f t="shared" si="28"/>
        <v xml:space="preserve"> </v>
      </c>
      <c r="K123" s="39" t="str">
        <f t="shared" si="29"/>
        <v xml:space="preserve"> </v>
      </c>
      <c r="L123" s="3" t="str">
        <f t="shared" si="35"/>
        <v xml:space="preserve"> </v>
      </c>
      <c r="M123" s="39" t="str">
        <f t="shared" si="30"/>
        <v xml:space="preserve"> </v>
      </c>
      <c r="N123" s="40" t="str">
        <f t="shared" si="31"/>
        <v xml:space="preserve"> </v>
      </c>
      <c r="O123" s="3" t="str">
        <f t="shared" si="32"/>
        <v xml:space="preserve"> </v>
      </c>
      <c r="P123" s="3" t="str">
        <f t="shared" si="33"/>
        <v xml:space="preserve"> </v>
      </c>
      <c r="Q123" s="26" t="str">
        <f t="shared" si="34"/>
        <v xml:space="preserve"> </v>
      </c>
    </row>
    <row r="124" spans="1:17">
      <c r="A124" s="35">
        <v>97</v>
      </c>
      <c r="B124" s="30">
        <f>Tabelle2!B101</f>
        <v>0</v>
      </c>
      <c r="C124" s="36"/>
      <c r="D124" s="19"/>
      <c r="E124" s="36"/>
      <c r="F124" s="37" t="str">
        <f>IF(E124=""," ",B124*$B$8/C124)</f>
        <v xml:space="preserve"> </v>
      </c>
      <c r="G124" s="38" t="str">
        <f t="shared" si="25"/>
        <v xml:space="preserve"> </v>
      </c>
      <c r="H124" s="37" t="str">
        <f>IF(E124=""," ",F124+G124)</f>
        <v xml:space="preserve"> </v>
      </c>
      <c r="I124" s="38" t="str">
        <f t="shared" si="27"/>
        <v xml:space="preserve"> </v>
      </c>
      <c r="J124" s="3" t="str">
        <f>IF(E124=""," ",1/(1+($I$11/(I124*$B$5))))</f>
        <v xml:space="preserve"> </v>
      </c>
      <c r="K124" s="39" t="str">
        <f>IF(E124=""," ",H124*SQRT(F124)*J124*SQRT(J124)*$I$8/$B$4/$B$10)</f>
        <v xml:space="preserve"> </v>
      </c>
      <c r="L124" s="3" t="str">
        <f t="shared" si="35"/>
        <v xml:space="preserve"> </v>
      </c>
      <c r="M124" s="39" t="str">
        <f t="shared" si="30"/>
        <v xml:space="preserve"> </v>
      </c>
      <c r="N124" s="40" t="str">
        <f>IF(M124=" "," ",INT(M124+0.5))</f>
        <v xml:space="preserve"> </v>
      </c>
      <c r="O124" s="3" t="str">
        <f>IF(N124&lt;6,K124/N124," ")</f>
        <v xml:space="preserve"> </v>
      </c>
      <c r="P124" s="3" t="str">
        <f t="shared" si="33"/>
        <v xml:space="preserve"> </v>
      </c>
      <c r="Q124" s="26" t="str">
        <f t="shared" si="34"/>
        <v xml:space="preserve"> </v>
      </c>
    </row>
    <row r="125" spans="1:17">
      <c r="A125" s="35">
        <v>98</v>
      </c>
      <c r="B125" s="30">
        <f>Tabelle2!B102</f>
        <v>0</v>
      </c>
      <c r="C125" s="36"/>
      <c r="D125" s="19"/>
      <c r="E125" s="36"/>
      <c r="F125" s="37" t="str">
        <f>IF(E125=""," ",B125*$B$8/C125)</f>
        <v xml:space="preserve"> </v>
      </c>
      <c r="G125" s="38" t="str">
        <f t="shared" si="25"/>
        <v xml:space="preserve"> </v>
      </c>
      <c r="H125" s="37" t="str">
        <f>IF(E125=""," ",F125+G125)</f>
        <v xml:space="preserve"> </v>
      </c>
      <c r="I125" s="38" t="str">
        <f t="shared" si="27"/>
        <v xml:space="preserve"> </v>
      </c>
      <c r="J125" s="3" t="str">
        <f>IF(E125=""," ",1/(1+($I$11/(I125*$B$5))))</f>
        <v xml:space="preserve"> </v>
      </c>
      <c r="K125" s="39" t="str">
        <f>IF(E125=""," ",H125*SQRT(F125)*J125*SQRT(J125)*$I$8/$B$4/$B$10)</f>
        <v xml:space="preserve"> </v>
      </c>
      <c r="L125" s="3" t="str">
        <f t="shared" si="35"/>
        <v xml:space="preserve"> </v>
      </c>
      <c r="M125" s="39" t="str">
        <f t="shared" si="30"/>
        <v xml:space="preserve"> </v>
      </c>
      <c r="N125" s="40" t="str">
        <f>IF(M125=" "," ",INT(M125+0.5))</f>
        <v xml:space="preserve"> </v>
      </c>
      <c r="O125" s="3" t="str">
        <f>IF(N125&lt;6,K125/N125," ")</f>
        <v xml:space="preserve"> </v>
      </c>
      <c r="P125" s="3" t="str">
        <f t="shared" si="33"/>
        <v xml:space="preserve"> </v>
      </c>
      <c r="Q125" s="26" t="str">
        <f t="shared" si="34"/>
        <v xml:space="preserve"> </v>
      </c>
    </row>
    <row r="126" spans="1:17">
      <c r="A126" s="35">
        <v>99</v>
      </c>
      <c r="B126" s="30">
        <f>Tabelle2!B103</f>
        <v>0</v>
      </c>
      <c r="C126" s="36"/>
      <c r="D126" s="19"/>
      <c r="E126" s="36"/>
      <c r="F126" s="37" t="str">
        <f>IF(E126=""," ",B126*$B$8/C126)</f>
        <v xml:space="preserve"> </v>
      </c>
      <c r="G126" s="38" t="str">
        <f t="shared" si="25"/>
        <v xml:space="preserve"> </v>
      </c>
      <c r="H126" s="37" t="str">
        <f>IF(E126=""," ",F126+G126)</f>
        <v xml:space="preserve"> </v>
      </c>
      <c r="I126" s="38" t="str">
        <f t="shared" si="27"/>
        <v xml:space="preserve"> </v>
      </c>
      <c r="J126" s="3" t="str">
        <f>IF(E126=""," ",1/(1+($I$11/(I126*$B$5))))</f>
        <v xml:space="preserve"> </v>
      </c>
      <c r="K126" s="39" t="str">
        <f>IF(E126=""," ",H126*SQRT(F126)*J126*SQRT(J126)*$I$8/$B$4/$B$10)</f>
        <v xml:space="preserve"> </v>
      </c>
      <c r="L126" s="3" t="str">
        <f t="shared" si="35"/>
        <v xml:space="preserve"> </v>
      </c>
      <c r="M126" s="39" t="str">
        <f t="shared" si="30"/>
        <v xml:space="preserve"> </v>
      </c>
      <c r="N126" s="40" t="str">
        <f>IF(M126=" "," ",INT(M126+0.5))</f>
        <v xml:space="preserve"> </v>
      </c>
      <c r="O126" s="3" t="str">
        <f>IF(N126&lt;6,K126/N126," ")</f>
        <v xml:space="preserve"> </v>
      </c>
      <c r="P126" s="3" t="str">
        <f t="shared" si="33"/>
        <v xml:space="preserve"> </v>
      </c>
      <c r="Q126" s="26" t="str">
        <f t="shared" si="34"/>
        <v xml:space="preserve"> </v>
      </c>
    </row>
    <row r="127" spans="1:17">
      <c r="A127" s="35">
        <v>100</v>
      </c>
      <c r="B127" s="30">
        <f>Tabelle2!B104</f>
        <v>0</v>
      </c>
      <c r="C127" s="36"/>
      <c r="D127" s="19"/>
      <c r="E127" s="36"/>
      <c r="F127" s="37" t="str">
        <f>IF(E127=""," ",B127*$B$8/C127)</f>
        <v xml:space="preserve"> </v>
      </c>
      <c r="G127" s="38" t="str">
        <f t="shared" si="25"/>
        <v xml:space="preserve"> </v>
      </c>
      <c r="H127" s="37" t="str">
        <f>IF(E127=""," ",F127+G127)</f>
        <v xml:space="preserve"> </v>
      </c>
      <c r="I127" s="38" t="str">
        <f t="shared" si="27"/>
        <v xml:space="preserve"> </v>
      </c>
      <c r="J127" s="3" t="str">
        <f>IF(E127=""," ",1/(1+($I$11/(I127*$B$5))))</f>
        <v xml:space="preserve"> </v>
      </c>
      <c r="K127" s="39" t="str">
        <f>IF(E127=""," ",H127*SQRT(F127)*J127*SQRT(J127)*$I$8/$B$4/$B$10)</f>
        <v xml:space="preserve"> </v>
      </c>
      <c r="L127" s="3" t="str">
        <f t="shared" si="35"/>
        <v xml:space="preserve"> </v>
      </c>
      <c r="M127" s="39" t="str">
        <f t="shared" si="30"/>
        <v xml:space="preserve"> </v>
      </c>
      <c r="N127" s="40" t="str">
        <f>IF(M127=" "," ",INT(M127+0.5))</f>
        <v xml:space="preserve"> </v>
      </c>
      <c r="O127" s="3" t="str">
        <f>IF(N127&lt;6,K127/N127," ")</f>
        <v xml:space="preserve"> </v>
      </c>
      <c r="P127" s="3" t="str">
        <f t="shared" si="33"/>
        <v xml:space="preserve"> </v>
      </c>
      <c r="Q127" s="26" t="str">
        <f t="shared" si="34"/>
        <v xml:space="preserve"> </v>
      </c>
    </row>
    <row r="128" spans="1:17">
      <c r="B128" t="s">
        <v>67</v>
      </c>
      <c r="C128" s="3" t="s">
        <v>67</v>
      </c>
      <c r="D128" t="s">
        <v>67</v>
      </c>
      <c r="E128" s="3" t="s">
        <v>67</v>
      </c>
      <c r="F128" t="s">
        <v>67</v>
      </c>
      <c r="G128" t="s">
        <v>67</v>
      </c>
      <c r="H128" t="s">
        <v>67</v>
      </c>
      <c r="I128" t="s">
        <v>67</v>
      </c>
      <c r="J128" t="s">
        <v>67</v>
      </c>
      <c r="K128" t="s">
        <v>67</v>
      </c>
      <c r="L128" t="s">
        <v>67</v>
      </c>
      <c r="M128" t="s">
        <v>67</v>
      </c>
      <c r="N128" t="s">
        <v>67</v>
      </c>
      <c r="O128" t="s">
        <v>67</v>
      </c>
      <c r="P128" t="s">
        <v>67</v>
      </c>
      <c r="Q128" t="s">
        <v>67</v>
      </c>
    </row>
  </sheetData>
  <mergeCells count="1">
    <mergeCell ref="A1:P1"/>
  </mergeCells>
  <printOptions gridLines="1"/>
  <pageMargins left="0.9839" right="0.39370000000000005" top="1.0827" bottom="1.0827" header="0.78739999999999999" footer="0.78739999999999999"/>
  <pageSetup paperSize="0" fitToHeight="2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A007-A31C-4B44-9533-73E2D45ABBAE}">
  <dimension ref="A1:N84"/>
  <sheetViews>
    <sheetView zoomScale="190" zoomScaleNormal="190" workbookViewId="0">
      <selection activeCell="G5" sqref="G5:G69"/>
    </sheetView>
  </sheetViews>
  <sheetFormatPr defaultColWidth="11.7109375" defaultRowHeight="12.75"/>
  <cols>
    <col min="1" max="1" width="4.5703125" customWidth="1"/>
    <col min="2" max="2" width="14.42578125" customWidth="1"/>
    <col min="3" max="3" width="11.7109375" customWidth="1"/>
    <col min="4" max="4" width="15.140625" customWidth="1"/>
    <col min="5" max="5" width="11.7109375" customWidth="1"/>
    <col min="6" max="6" width="1.28515625" customWidth="1"/>
    <col min="7" max="7" width="15" customWidth="1"/>
    <col min="8" max="8" width="11.7109375" customWidth="1"/>
    <col min="9" max="9" width="24.5703125" customWidth="1"/>
    <col min="10" max="13" width="11.7109375" customWidth="1"/>
    <col min="14" max="14" width="41.85546875" customWidth="1"/>
    <col min="15" max="15" width="11.7109375" customWidth="1"/>
  </cols>
  <sheetData>
    <row r="1" spans="1:14" ht="26.25">
      <c r="A1" s="61" t="s">
        <v>68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3" spans="1:14">
      <c r="A3" s="48" t="s">
        <v>51</v>
      </c>
      <c r="B3" s="49" t="s">
        <v>69</v>
      </c>
      <c r="C3" s="50" t="s">
        <v>70</v>
      </c>
      <c r="D3" s="50" t="s">
        <v>71</v>
      </c>
      <c r="E3" s="50" t="s">
        <v>72</v>
      </c>
      <c r="F3" s="50" t="s">
        <v>73</v>
      </c>
      <c r="G3" s="50" t="s">
        <v>74</v>
      </c>
      <c r="H3" s="50" t="s">
        <v>75</v>
      </c>
    </row>
    <row r="4" spans="1:14">
      <c r="A4" s="51"/>
      <c r="B4" s="52" t="s">
        <v>62</v>
      </c>
      <c r="C4" s="52" t="s">
        <v>63</v>
      </c>
      <c r="D4" s="53" t="s">
        <v>63</v>
      </c>
      <c r="E4" s="53" t="s">
        <v>63</v>
      </c>
      <c r="F4" s="52" t="s">
        <v>63</v>
      </c>
      <c r="G4" s="53" t="s">
        <v>63</v>
      </c>
      <c r="H4" s="53" t="s">
        <v>63</v>
      </c>
    </row>
    <row r="5" spans="1:14">
      <c r="A5" s="35">
        <v>1</v>
      </c>
      <c r="B5">
        <v>10</v>
      </c>
      <c r="D5">
        <v>4.62</v>
      </c>
      <c r="E5" s="54">
        <f>D5-C5</f>
        <v>4.62</v>
      </c>
      <c r="G5">
        <v>3.42</v>
      </c>
      <c r="H5" s="54">
        <f>G5-F5</f>
        <v>3.42</v>
      </c>
    </row>
    <row r="6" spans="1:14">
      <c r="A6" s="35">
        <v>2</v>
      </c>
      <c r="B6">
        <v>10</v>
      </c>
      <c r="D6">
        <v>4.4109999999999996</v>
      </c>
      <c r="E6" s="54">
        <f t="shared" ref="E6:E69" si="0">D6-C6</f>
        <v>4.4109999999999996</v>
      </c>
      <c r="G6">
        <v>3.46</v>
      </c>
      <c r="H6" s="54">
        <f t="shared" ref="H6:H69" si="1">G6-F6</f>
        <v>3.46</v>
      </c>
    </row>
    <row r="7" spans="1:14">
      <c r="A7" s="35">
        <v>3</v>
      </c>
      <c r="B7">
        <v>10</v>
      </c>
      <c r="D7">
        <v>4.5570000000000004</v>
      </c>
      <c r="E7" s="54">
        <f t="shared" si="0"/>
        <v>4.5570000000000004</v>
      </c>
      <c r="G7">
        <v>3.52</v>
      </c>
      <c r="H7" s="54">
        <f t="shared" si="1"/>
        <v>3.52</v>
      </c>
    </row>
    <row r="8" spans="1:14">
      <c r="A8" s="35">
        <v>4</v>
      </c>
      <c r="B8">
        <v>10</v>
      </c>
      <c r="D8">
        <v>4.5069999999999997</v>
      </c>
      <c r="E8" s="54">
        <f t="shared" si="0"/>
        <v>4.5069999999999997</v>
      </c>
      <c r="G8">
        <v>3.6869999999999998</v>
      </c>
      <c r="H8" s="54">
        <f t="shared" si="1"/>
        <v>3.6869999999999998</v>
      </c>
    </row>
    <row r="9" spans="1:14">
      <c r="A9" s="55">
        <v>5</v>
      </c>
      <c r="B9" s="56">
        <v>10</v>
      </c>
      <c r="C9" s="56"/>
      <c r="D9" s="56">
        <v>4.6230000000000002</v>
      </c>
      <c r="E9" s="54">
        <f t="shared" si="0"/>
        <v>4.6230000000000002</v>
      </c>
      <c r="F9" s="56"/>
      <c r="G9" s="56">
        <v>3.8650000000000002</v>
      </c>
      <c r="H9" s="54">
        <f t="shared" si="1"/>
        <v>3.8650000000000002</v>
      </c>
    </row>
    <row r="10" spans="1:14">
      <c r="A10" s="35">
        <v>6</v>
      </c>
      <c r="B10">
        <v>10</v>
      </c>
      <c r="D10">
        <v>8.2769999999999992</v>
      </c>
      <c r="E10" s="54">
        <f t="shared" si="0"/>
        <v>8.2769999999999992</v>
      </c>
      <c r="G10">
        <v>8.0980000000000008</v>
      </c>
      <c r="H10" s="54">
        <f t="shared" si="1"/>
        <v>8.0980000000000008</v>
      </c>
    </row>
    <row r="11" spans="1:14">
      <c r="A11" s="35">
        <v>7</v>
      </c>
      <c r="B11">
        <v>10</v>
      </c>
      <c r="D11">
        <v>8.8829999999999991</v>
      </c>
      <c r="E11" s="54">
        <f t="shared" si="0"/>
        <v>8.8829999999999991</v>
      </c>
      <c r="G11">
        <v>8.4990000000000006</v>
      </c>
      <c r="H11" s="54">
        <f t="shared" si="1"/>
        <v>8.4990000000000006</v>
      </c>
    </row>
    <row r="12" spans="1:14">
      <c r="A12" s="35">
        <v>8</v>
      </c>
      <c r="B12">
        <v>10</v>
      </c>
      <c r="D12">
        <v>8.5060000000000002</v>
      </c>
      <c r="E12" s="54">
        <f t="shared" si="0"/>
        <v>8.5060000000000002</v>
      </c>
      <c r="G12">
        <v>8.2059999999999995</v>
      </c>
      <c r="H12" s="54">
        <f t="shared" si="1"/>
        <v>8.2059999999999995</v>
      </c>
    </row>
    <row r="13" spans="1:14">
      <c r="A13" s="35">
        <v>9</v>
      </c>
      <c r="B13">
        <v>10</v>
      </c>
      <c r="D13">
        <v>8.452</v>
      </c>
      <c r="E13" s="54">
        <f t="shared" si="0"/>
        <v>8.452</v>
      </c>
      <c r="G13">
        <v>7.9550000000000001</v>
      </c>
      <c r="H13" s="54">
        <f t="shared" si="1"/>
        <v>7.9550000000000001</v>
      </c>
    </row>
    <row r="14" spans="1:14">
      <c r="A14" s="35">
        <v>10</v>
      </c>
      <c r="B14" s="56">
        <v>10</v>
      </c>
      <c r="C14" s="56"/>
      <c r="D14" s="56">
        <v>8.8879999999999999</v>
      </c>
      <c r="E14" s="54">
        <f t="shared" si="0"/>
        <v>8.8879999999999999</v>
      </c>
      <c r="F14" s="56"/>
      <c r="G14" s="56">
        <v>8.7100000000000009</v>
      </c>
      <c r="H14" s="54">
        <f t="shared" si="1"/>
        <v>8.7100000000000009</v>
      </c>
    </row>
    <row r="15" spans="1:14">
      <c r="A15" s="35">
        <v>11</v>
      </c>
      <c r="B15">
        <v>10</v>
      </c>
      <c r="D15">
        <v>5.5309999999999997</v>
      </c>
      <c r="E15" s="54">
        <f t="shared" si="0"/>
        <v>5.5309999999999997</v>
      </c>
      <c r="G15">
        <v>4.9969999999999999</v>
      </c>
      <c r="H15" s="54">
        <f t="shared" si="1"/>
        <v>4.9969999999999999</v>
      </c>
    </row>
    <row r="16" spans="1:14">
      <c r="A16" s="35">
        <v>12</v>
      </c>
      <c r="B16">
        <v>10</v>
      </c>
      <c r="D16">
        <v>5.3780000000000001</v>
      </c>
      <c r="E16" s="54">
        <f t="shared" si="0"/>
        <v>5.3780000000000001</v>
      </c>
      <c r="G16">
        <v>5.1219999999999999</v>
      </c>
      <c r="H16" s="54">
        <f t="shared" si="1"/>
        <v>5.1219999999999999</v>
      </c>
    </row>
    <row r="17" spans="1:8">
      <c r="A17" s="35">
        <v>13</v>
      </c>
      <c r="B17">
        <v>10</v>
      </c>
      <c r="D17">
        <v>5.2160000000000002</v>
      </c>
      <c r="E17" s="54">
        <f t="shared" si="0"/>
        <v>5.2160000000000002</v>
      </c>
      <c r="G17">
        <v>4.9930000000000003</v>
      </c>
      <c r="H17" s="54">
        <f t="shared" si="1"/>
        <v>4.9930000000000003</v>
      </c>
    </row>
    <row r="18" spans="1:8">
      <c r="A18" s="35">
        <v>14</v>
      </c>
      <c r="B18">
        <v>10</v>
      </c>
      <c r="D18">
        <v>5.8220000000000001</v>
      </c>
      <c r="E18" s="54">
        <f t="shared" si="0"/>
        <v>5.8220000000000001</v>
      </c>
      <c r="G18">
        <v>5.0990000000000002</v>
      </c>
      <c r="H18" s="54">
        <f t="shared" si="1"/>
        <v>5.0990000000000002</v>
      </c>
    </row>
    <row r="19" spans="1:8">
      <c r="A19" s="35">
        <v>15</v>
      </c>
      <c r="B19" s="56">
        <v>10</v>
      </c>
      <c r="C19" s="56"/>
      <c r="D19" s="56">
        <v>5.3090000000000002</v>
      </c>
      <c r="E19" s="54">
        <f t="shared" si="0"/>
        <v>5.3090000000000002</v>
      </c>
      <c r="F19" s="56"/>
      <c r="G19" s="56">
        <v>4.5199999999999996</v>
      </c>
      <c r="H19" s="54">
        <f t="shared" si="1"/>
        <v>4.5199999999999996</v>
      </c>
    </row>
    <row r="20" spans="1:8">
      <c r="A20" s="35">
        <v>16</v>
      </c>
      <c r="B20">
        <v>10</v>
      </c>
      <c r="D20">
        <v>4.9189999999999996</v>
      </c>
      <c r="E20" s="54">
        <f t="shared" si="0"/>
        <v>4.9189999999999996</v>
      </c>
      <c r="G20">
        <v>14.757999999999999</v>
      </c>
      <c r="H20" s="54">
        <f t="shared" si="1"/>
        <v>14.757999999999999</v>
      </c>
    </row>
    <row r="21" spans="1:8">
      <c r="A21" s="35">
        <v>17</v>
      </c>
      <c r="B21">
        <v>10</v>
      </c>
      <c r="D21">
        <v>5.1669999999999998</v>
      </c>
      <c r="E21" s="54">
        <f t="shared" si="0"/>
        <v>5.1669999999999998</v>
      </c>
      <c r="G21">
        <v>14.795</v>
      </c>
      <c r="H21" s="54">
        <f t="shared" si="1"/>
        <v>14.795</v>
      </c>
    </row>
    <row r="22" spans="1:8">
      <c r="A22" s="35">
        <v>18</v>
      </c>
      <c r="B22">
        <v>10</v>
      </c>
      <c r="D22">
        <v>5.2560000000000002</v>
      </c>
      <c r="E22" s="54">
        <f t="shared" si="0"/>
        <v>5.2560000000000002</v>
      </c>
      <c r="G22">
        <v>15.53</v>
      </c>
      <c r="H22" s="54">
        <f t="shared" si="1"/>
        <v>15.53</v>
      </c>
    </row>
    <row r="23" spans="1:8">
      <c r="A23" s="35">
        <v>19</v>
      </c>
      <c r="B23">
        <v>10</v>
      </c>
      <c r="D23">
        <v>5.08</v>
      </c>
      <c r="E23" s="54">
        <f t="shared" si="0"/>
        <v>5.08</v>
      </c>
      <c r="G23">
        <v>15.749000000000001</v>
      </c>
      <c r="H23" s="54">
        <f t="shared" si="1"/>
        <v>15.749000000000001</v>
      </c>
    </row>
    <row r="24" spans="1:8">
      <c r="A24" s="35">
        <v>20</v>
      </c>
      <c r="B24" s="56">
        <v>10</v>
      </c>
      <c r="C24" s="56"/>
      <c r="D24" s="56">
        <v>4.8769999999999998</v>
      </c>
      <c r="E24" s="54">
        <f t="shared" si="0"/>
        <v>4.8769999999999998</v>
      </c>
      <c r="F24" s="56"/>
      <c r="G24" s="56">
        <v>14.061</v>
      </c>
      <c r="H24" s="54">
        <f t="shared" si="1"/>
        <v>14.061</v>
      </c>
    </row>
    <row r="25" spans="1:8">
      <c r="A25" s="35">
        <v>21</v>
      </c>
      <c r="B25">
        <v>10</v>
      </c>
      <c r="D25">
        <v>7.5060000000000002</v>
      </c>
      <c r="E25" s="54">
        <f t="shared" si="0"/>
        <v>7.5060000000000002</v>
      </c>
      <c r="G25">
        <v>8.8710000000000004</v>
      </c>
      <c r="H25" s="54">
        <f t="shared" si="1"/>
        <v>8.8710000000000004</v>
      </c>
    </row>
    <row r="26" spans="1:8">
      <c r="A26" s="35">
        <v>22</v>
      </c>
      <c r="B26">
        <v>10</v>
      </c>
      <c r="D26">
        <v>7.71</v>
      </c>
      <c r="E26" s="54">
        <f t="shared" si="0"/>
        <v>7.71</v>
      </c>
      <c r="G26">
        <v>9.2439999999999998</v>
      </c>
      <c r="H26" s="54">
        <f t="shared" si="1"/>
        <v>9.2439999999999998</v>
      </c>
    </row>
    <row r="27" spans="1:8">
      <c r="A27" s="35">
        <v>23</v>
      </c>
      <c r="B27">
        <v>10</v>
      </c>
      <c r="D27">
        <v>7.931</v>
      </c>
      <c r="E27" s="54">
        <f t="shared" si="0"/>
        <v>7.931</v>
      </c>
      <c r="G27">
        <v>10.101000000000001</v>
      </c>
      <c r="H27" s="54">
        <f t="shared" si="1"/>
        <v>10.101000000000001</v>
      </c>
    </row>
    <row r="28" spans="1:8">
      <c r="A28" s="35">
        <v>24</v>
      </c>
      <c r="B28">
        <v>10</v>
      </c>
      <c r="D28">
        <v>7.6849999999999996</v>
      </c>
      <c r="E28" s="54">
        <f t="shared" si="0"/>
        <v>7.6849999999999996</v>
      </c>
      <c r="G28">
        <v>8.9290000000000003</v>
      </c>
      <c r="H28" s="54">
        <f t="shared" si="1"/>
        <v>8.9290000000000003</v>
      </c>
    </row>
    <row r="29" spans="1:8">
      <c r="A29" s="35">
        <v>25</v>
      </c>
      <c r="B29" s="56">
        <v>10</v>
      </c>
      <c r="C29" s="56"/>
      <c r="D29" s="56">
        <v>7.9480000000000004</v>
      </c>
      <c r="E29" s="54">
        <f t="shared" si="0"/>
        <v>7.9480000000000004</v>
      </c>
      <c r="F29" s="56"/>
      <c r="G29" s="56">
        <v>9.5779999999999994</v>
      </c>
      <c r="H29" s="54">
        <f t="shared" si="1"/>
        <v>9.5779999999999994</v>
      </c>
    </row>
    <row r="30" spans="1:8">
      <c r="A30" s="35">
        <v>26</v>
      </c>
      <c r="B30">
        <v>10</v>
      </c>
      <c r="D30">
        <v>6.6509999999999998</v>
      </c>
      <c r="E30" s="54">
        <f t="shared" si="0"/>
        <v>6.6509999999999998</v>
      </c>
      <c r="G30">
        <v>4.0060000000000002</v>
      </c>
      <c r="H30" s="54">
        <f t="shared" si="1"/>
        <v>4.0060000000000002</v>
      </c>
    </row>
    <row r="31" spans="1:8">
      <c r="A31" s="35">
        <v>27</v>
      </c>
      <c r="B31">
        <v>10</v>
      </c>
      <c r="D31">
        <v>6.2519999999999998</v>
      </c>
      <c r="E31" s="54">
        <f t="shared" si="0"/>
        <v>6.2519999999999998</v>
      </c>
      <c r="G31">
        <v>4.22</v>
      </c>
      <c r="H31" s="54">
        <f t="shared" si="1"/>
        <v>4.22</v>
      </c>
    </row>
    <row r="32" spans="1:8">
      <c r="A32" s="35">
        <v>28</v>
      </c>
      <c r="B32">
        <v>10</v>
      </c>
      <c r="D32">
        <v>6.2869999999999999</v>
      </c>
      <c r="E32" s="54">
        <f t="shared" si="0"/>
        <v>6.2869999999999999</v>
      </c>
      <c r="G32">
        <v>4.069</v>
      </c>
      <c r="H32" s="54">
        <f t="shared" si="1"/>
        <v>4.069</v>
      </c>
    </row>
    <row r="33" spans="1:8">
      <c r="A33" s="35">
        <v>29</v>
      </c>
      <c r="B33">
        <v>10</v>
      </c>
      <c r="D33">
        <v>6.4189999999999996</v>
      </c>
      <c r="E33" s="54">
        <f t="shared" si="0"/>
        <v>6.4189999999999996</v>
      </c>
      <c r="G33">
        <v>4.0449999999999999</v>
      </c>
      <c r="H33" s="54">
        <f t="shared" si="1"/>
        <v>4.0449999999999999</v>
      </c>
    </row>
    <row r="34" spans="1:8">
      <c r="A34" s="35">
        <v>30</v>
      </c>
      <c r="B34" s="56">
        <v>10</v>
      </c>
      <c r="C34" s="56"/>
      <c r="D34" s="56">
        <v>7.1509999999999998</v>
      </c>
      <c r="E34" s="54">
        <f t="shared" si="0"/>
        <v>7.1509999999999998</v>
      </c>
      <c r="F34" s="56"/>
      <c r="G34" s="56">
        <v>4.1929999999999996</v>
      </c>
      <c r="H34" s="54">
        <f t="shared" si="1"/>
        <v>4.1929999999999996</v>
      </c>
    </row>
    <row r="35" spans="1:8">
      <c r="A35" s="35">
        <v>31</v>
      </c>
      <c r="B35">
        <v>10</v>
      </c>
      <c r="D35">
        <v>4.5970000000000004</v>
      </c>
      <c r="E35" s="54">
        <f t="shared" si="0"/>
        <v>4.5970000000000004</v>
      </c>
      <c r="G35">
        <v>7.577</v>
      </c>
      <c r="H35" s="54">
        <f t="shared" si="1"/>
        <v>7.577</v>
      </c>
    </row>
    <row r="36" spans="1:8">
      <c r="A36" s="35">
        <v>32</v>
      </c>
      <c r="B36">
        <v>10</v>
      </c>
      <c r="D36">
        <v>4.6589999999999998</v>
      </c>
      <c r="E36" s="54">
        <f t="shared" si="0"/>
        <v>4.6589999999999998</v>
      </c>
      <c r="G36">
        <v>7.8550000000000004</v>
      </c>
      <c r="H36" s="54">
        <f t="shared" si="1"/>
        <v>7.8550000000000004</v>
      </c>
    </row>
    <row r="37" spans="1:8">
      <c r="A37" s="35">
        <v>33</v>
      </c>
      <c r="B37">
        <v>10</v>
      </c>
      <c r="D37">
        <v>4.7729999999999997</v>
      </c>
      <c r="E37" s="54">
        <f t="shared" si="0"/>
        <v>4.7729999999999997</v>
      </c>
      <c r="G37">
        <v>7.7190000000000003</v>
      </c>
      <c r="H37" s="54">
        <f t="shared" si="1"/>
        <v>7.7190000000000003</v>
      </c>
    </row>
    <row r="38" spans="1:8">
      <c r="A38" s="35">
        <v>34</v>
      </c>
      <c r="B38">
        <v>10</v>
      </c>
      <c r="D38">
        <v>4.6630000000000003</v>
      </c>
      <c r="E38" s="54">
        <f t="shared" si="0"/>
        <v>4.6630000000000003</v>
      </c>
      <c r="G38">
        <v>7.9160000000000004</v>
      </c>
      <c r="H38" s="54">
        <f t="shared" si="1"/>
        <v>7.9160000000000004</v>
      </c>
    </row>
    <row r="39" spans="1:8">
      <c r="A39" s="35">
        <v>35</v>
      </c>
      <c r="B39" s="56">
        <v>10</v>
      </c>
      <c r="C39" s="56"/>
      <c r="D39" s="56">
        <v>4.8550000000000004</v>
      </c>
      <c r="E39" s="54">
        <f t="shared" si="0"/>
        <v>4.8550000000000004</v>
      </c>
      <c r="F39" s="56"/>
      <c r="G39" s="56">
        <v>7.9109999999999996</v>
      </c>
      <c r="H39" s="54">
        <f t="shared" si="1"/>
        <v>7.9109999999999996</v>
      </c>
    </row>
    <row r="40" spans="1:8">
      <c r="A40" s="35">
        <v>36</v>
      </c>
      <c r="B40">
        <v>10</v>
      </c>
      <c r="D40">
        <v>6.2270000000000003</v>
      </c>
      <c r="E40" s="54">
        <f t="shared" si="0"/>
        <v>6.2270000000000003</v>
      </c>
      <c r="G40">
        <v>7.93</v>
      </c>
      <c r="H40" s="54">
        <f t="shared" si="1"/>
        <v>7.93</v>
      </c>
    </row>
    <row r="41" spans="1:8">
      <c r="A41" s="35">
        <v>37</v>
      </c>
      <c r="B41">
        <v>10</v>
      </c>
      <c r="D41">
        <v>6.4649999999999999</v>
      </c>
      <c r="E41" s="54">
        <f t="shared" si="0"/>
        <v>6.4649999999999999</v>
      </c>
      <c r="G41">
        <v>8.0950000000000006</v>
      </c>
      <c r="H41" s="54">
        <f t="shared" si="1"/>
        <v>8.0950000000000006</v>
      </c>
    </row>
    <row r="42" spans="1:8">
      <c r="A42" s="35">
        <v>38</v>
      </c>
      <c r="B42">
        <v>10</v>
      </c>
      <c r="D42">
        <v>6.1950000000000003</v>
      </c>
      <c r="E42" s="54">
        <f t="shared" si="0"/>
        <v>6.1950000000000003</v>
      </c>
      <c r="G42">
        <v>8.6980000000000004</v>
      </c>
      <c r="H42" s="54">
        <f t="shared" si="1"/>
        <v>8.6980000000000004</v>
      </c>
    </row>
    <row r="43" spans="1:8">
      <c r="A43" s="35">
        <v>39</v>
      </c>
      <c r="B43">
        <v>10</v>
      </c>
      <c r="D43">
        <v>6.4610000000000003</v>
      </c>
      <c r="E43" s="54">
        <f t="shared" si="0"/>
        <v>6.4610000000000003</v>
      </c>
      <c r="G43">
        <v>7.9569999999999999</v>
      </c>
      <c r="H43" s="54">
        <f t="shared" si="1"/>
        <v>7.9569999999999999</v>
      </c>
    </row>
    <row r="44" spans="1:8">
      <c r="A44" s="35">
        <v>40</v>
      </c>
      <c r="B44" s="56">
        <v>10</v>
      </c>
      <c r="C44" s="56"/>
      <c r="D44" s="56">
        <v>6.29</v>
      </c>
      <c r="E44" s="54">
        <f t="shared" si="0"/>
        <v>6.29</v>
      </c>
      <c r="F44" s="56"/>
      <c r="G44" s="56">
        <v>8.6039999999999992</v>
      </c>
      <c r="H44" s="54">
        <f t="shared" si="1"/>
        <v>8.6039999999999992</v>
      </c>
    </row>
    <row r="45" spans="1:8">
      <c r="A45" s="35">
        <v>41</v>
      </c>
      <c r="B45">
        <v>10</v>
      </c>
      <c r="D45">
        <v>13.914</v>
      </c>
      <c r="E45" s="54">
        <f t="shared" si="0"/>
        <v>13.914</v>
      </c>
      <c r="G45">
        <v>12.462999999999999</v>
      </c>
      <c r="H45" s="54">
        <f t="shared" si="1"/>
        <v>12.462999999999999</v>
      </c>
    </row>
    <row r="46" spans="1:8">
      <c r="A46" s="35">
        <v>42</v>
      </c>
      <c r="B46">
        <v>10</v>
      </c>
      <c r="D46">
        <v>13.294</v>
      </c>
      <c r="E46" s="54">
        <f t="shared" si="0"/>
        <v>13.294</v>
      </c>
      <c r="G46">
        <v>12.143000000000001</v>
      </c>
      <c r="H46" s="54">
        <f t="shared" si="1"/>
        <v>12.143000000000001</v>
      </c>
    </row>
    <row r="47" spans="1:8">
      <c r="A47" s="35">
        <v>43</v>
      </c>
      <c r="B47">
        <v>10</v>
      </c>
      <c r="D47">
        <v>13.44</v>
      </c>
      <c r="E47" s="54">
        <f t="shared" si="0"/>
        <v>13.44</v>
      </c>
      <c r="G47">
        <v>12.842000000000001</v>
      </c>
      <c r="H47" s="54">
        <f t="shared" si="1"/>
        <v>12.842000000000001</v>
      </c>
    </row>
    <row r="48" spans="1:8">
      <c r="A48" s="35">
        <v>44</v>
      </c>
      <c r="B48">
        <v>10</v>
      </c>
      <c r="D48">
        <v>14.279</v>
      </c>
      <c r="E48" s="54">
        <f t="shared" si="0"/>
        <v>14.279</v>
      </c>
      <c r="G48">
        <v>14.413</v>
      </c>
      <c r="H48" s="54">
        <f t="shared" si="1"/>
        <v>14.413</v>
      </c>
    </row>
    <row r="49" spans="1:9">
      <c r="A49" s="35">
        <v>45</v>
      </c>
      <c r="B49" s="56">
        <v>10</v>
      </c>
      <c r="C49" s="56"/>
      <c r="D49" s="56">
        <v>13.651</v>
      </c>
      <c r="E49" s="54">
        <f t="shared" si="0"/>
        <v>13.651</v>
      </c>
      <c r="F49" s="56"/>
      <c r="G49" s="56">
        <v>13.007999999999999</v>
      </c>
      <c r="H49" s="54">
        <f t="shared" si="1"/>
        <v>13.007999999999999</v>
      </c>
    </row>
    <row r="50" spans="1:9">
      <c r="A50" s="35">
        <v>46</v>
      </c>
      <c r="B50">
        <v>10</v>
      </c>
      <c r="D50">
        <v>9.2569999999999997</v>
      </c>
      <c r="E50" s="54">
        <f t="shared" si="0"/>
        <v>9.2569999999999997</v>
      </c>
      <c r="G50">
        <v>2.585</v>
      </c>
      <c r="H50" s="54">
        <f t="shared" si="1"/>
        <v>2.585</v>
      </c>
    </row>
    <row r="51" spans="1:9">
      <c r="A51" s="35">
        <v>47</v>
      </c>
      <c r="B51">
        <v>10</v>
      </c>
      <c r="D51">
        <v>9.9160000000000004</v>
      </c>
      <c r="E51" s="54">
        <f t="shared" si="0"/>
        <v>9.9160000000000004</v>
      </c>
      <c r="G51">
        <v>2.6739999999999999</v>
      </c>
      <c r="H51" s="54">
        <f t="shared" si="1"/>
        <v>2.6739999999999999</v>
      </c>
    </row>
    <row r="52" spans="1:9">
      <c r="A52" s="35">
        <v>48</v>
      </c>
      <c r="B52">
        <v>10</v>
      </c>
      <c r="D52">
        <v>6.35</v>
      </c>
      <c r="E52" s="54">
        <f t="shared" si="0"/>
        <v>6.35</v>
      </c>
      <c r="G52">
        <v>3.62</v>
      </c>
      <c r="H52" s="54">
        <f t="shared" si="1"/>
        <v>3.62</v>
      </c>
    </row>
    <row r="53" spans="1:9">
      <c r="A53" s="35">
        <v>49</v>
      </c>
      <c r="B53">
        <v>10</v>
      </c>
      <c r="D53">
        <v>7.6340000000000003</v>
      </c>
      <c r="E53" s="54">
        <f t="shared" si="0"/>
        <v>7.6340000000000003</v>
      </c>
      <c r="G53">
        <v>2.343</v>
      </c>
      <c r="H53" s="54">
        <f t="shared" si="1"/>
        <v>2.343</v>
      </c>
    </row>
    <row r="54" spans="1:9">
      <c r="A54" s="35">
        <v>50</v>
      </c>
      <c r="B54" s="56">
        <v>10</v>
      </c>
      <c r="C54" s="56"/>
      <c r="D54" s="56">
        <v>8.5350000000000001</v>
      </c>
      <c r="E54" s="54">
        <f t="shared" si="0"/>
        <v>8.5350000000000001</v>
      </c>
      <c r="F54" s="56"/>
      <c r="G54" s="56">
        <v>2.3239999999999998</v>
      </c>
      <c r="H54" s="54">
        <f t="shared" si="1"/>
        <v>2.3239999999999998</v>
      </c>
    </row>
    <row r="55" spans="1:9">
      <c r="A55" s="35">
        <v>51</v>
      </c>
      <c r="B55">
        <v>10</v>
      </c>
      <c r="D55">
        <v>9.8840000000000003</v>
      </c>
      <c r="E55" s="54">
        <f t="shared" si="0"/>
        <v>9.8840000000000003</v>
      </c>
      <c r="G55">
        <v>3.347</v>
      </c>
      <c r="H55" s="54">
        <f t="shared" si="1"/>
        <v>3.347</v>
      </c>
    </row>
    <row r="56" spans="1:9">
      <c r="A56" s="35">
        <v>52</v>
      </c>
      <c r="B56">
        <v>10</v>
      </c>
      <c r="D56">
        <v>9.6549999999999994</v>
      </c>
      <c r="E56" s="54">
        <f t="shared" si="0"/>
        <v>9.6549999999999994</v>
      </c>
      <c r="G56">
        <v>3.633</v>
      </c>
      <c r="H56" s="54">
        <f t="shared" si="1"/>
        <v>3.633</v>
      </c>
    </row>
    <row r="57" spans="1:9">
      <c r="A57" s="35">
        <v>53</v>
      </c>
      <c r="B57">
        <v>10</v>
      </c>
      <c r="D57">
        <v>9.4160000000000004</v>
      </c>
      <c r="E57" s="54">
        <f t="shared" si="0"/>
        <v>9.4160000000000004</v>
      </c>
      <c r="G57">
        <v>3.6059999999999999</v>
      </c>
      <c r="H57" s="54">
        <f t="shared" si="1"/>
        <v>3.6059999999999999</v>
      </c>
    </row>
    <row r="58" spans="1:9">
      <c r="A58" s="35">
        <v>54</v>
      </c>
      <c r="B58">
        <v>10</v>
      </c>
      <c r="D58">
        <v>9.5869999999999997</v>
      </c>
      <c r="E58" s="54">
        <f t="shared" si="0"/>
        <v>9.5869999999999997</v>
      </c>
      <c r="G58">
        <v>3.5</v>
      </c>
      <c r="H58" s="54">
        <f t="shared" si="1"/>
        <v>3.5</v>
      </c>
    </row>
    <row r="59" spans="1:9">
      <c r="A59" s="35">
        <v>55</v>
      </c>
      <c r="B59">
        <v>10</v>
      </c>
      <c r="C59" s="56"/>
      <c r="D59" s="56">
        <v>9.1300000000000008</v>
      </c>
      <c r="E59" s="54">
        <f t="shared" si="0"/>
        <v>9.1300000000000008</v>
      </c>
      <c r="F59" s="56"/>
      <c r="G59" s="56">
        <v>3.8330000000000002</v>
      </c>
      <c r="H59" s="54">
        <f t="shared" si="1"/>
        <v>3.8330000000000002</v>
      </c>
      <c r="I59" t="s">
        <v>76</v>
      </c>
    </row>
    <row r="60" spans="1:9">
      <c r="A60" s="35">
        <v>56</v>
      </c>
      <c r="B60">
        <v>10</v>
      </c>
      <c r="D60">
        <v>11.201000000000001</v>
      </c>
      <c r="E60" s="54">
        <f t="shared" si="0"/>
        <v>11.201000000000001</v>
      </c>
      <c r="G60">
        <v>5.9429999999999996</v>
      </c>
      <c r="H60" s="54">
        <f t="shared" si="1"/>
        <v>5.9429999999999996</v>
      </c>
    </row>
    <row r="61" spans="1:9">
      <c r="A61" s="35">
        <v>57</v>
      </c>
      <c r="B61">
        <v>10</v>
      </c>
      <c r="D61">
        <v>11.827</v>
      </c>
      <c r="E61" s="54">
        <f t="shared" si="0"/>
        <v>11.827</v>
      </c>
      <c r="G61">
        <v>5.5309999999999997</v>
      </c>
      <c r="H61" s="54">
        <f t="shared" si="1"/>
        <v>5.5309999999999997</v>
      </c>
    </row>
    <row r="62" spans="1:9">
      <c r="A62" s="35">
        <v>58</v>
      </c>
      <c r="B62">
        <v>10</v>
      </c>
      <c r="D62">
        <v>10.846</v>
      </c>
      <c r="E62" s="54">
        <f t="shared" si="0"/>
        <v>10.846</v>
      </c>
      <c r="G62">
        <v>5.9850000000000003</v>
      </c>
      <c r="H62" s="54">
        <f t="shared" si="1"/>
        <v>5.9850000000000003</v>
      </c>
    </row>
    <row r="63" spans="1:9">
      <c r="A63" s="35">
        <v>59</v>
      </c>
      <c r="B63">
        <v>10</v>
      </c>
      <c r="D63">
        <v>10.217000000000001</v>
      </c>
      <c r="E63" s="54">
        <f t="shared" si="0"/>
        <v>10.217000000000001</v>
      </c>
      <c r="G63">
        <v>5.4859999999999998</v>
      </c>
      <c r="H63" s="54">
        <f t="shared" si="1"/>
        <v>5.4859999999999998</v>
      </c>
    </row>
    <row r="64" spans="1:9">
      <c r="A64" s="35">
        <v>60</v>
      </c>
      <c r="B64">
        <v>10</v>
      </c>
      <c r="D64">
        <v>9.42</v>
      </c>
      <c r="E64" s="54">
        <f t="shared" si="0"/>
        <v>9.42</v>
      </c>
      <c r="G64">
        <v>5.6150000000000002</v>
      </c>
      <c r="H64" s="54">
        <f t="shared" si="1"/>
        <v>5.6150000000000002</v>
      </c>
    </row>
    <row r="65" spans="1:8">
      <c r="A65" s="35">
        <v>61</v>
      </c>
      <c r="B65">
        <v>10</v>
      </c>
      <c r="D65">
        <v>12.805999999999999</v>
      </c>
      <c r="E65" s="54">
        <f t="shared" si="0"/>
        <v>12.805999999999999</v>
      </c>
      <c r="G65">
        <v>13.23</v>
      </c>
      <c r="H65" s="54">
        <f t="shared" si="1"/>
        <v>13.23</v>
      </c>
    </row>
    <row r="66" spans="1:8">
      <c r="A66" s="35">
        <v>62</v>
      </c>
      <c r="B66">
        <v>10</v>
      </c>
      <c r="D66">
        <v>12.935</v>
      </c>
      <c r="E66" s="54">
        <f t="shared" si="0"/>
        <v>12.935</v>
      </c>
      <c r="G66">
        <v>14.782999999999999</v>
      </c>
      <c r="H66" s="54">
        <f t="shared" si="1"/>
        <v>14.782999999999999</v>
      </c>
    </row>
    <row r="67" spans="1:8">
      <c r="A67" s="35">
        <v>63</v>
      </c>
      <c r="B67">
        <v>10</v>
      </c>
      <c r="D67">
        <v>12.603999999999999</v>
      </c>
      <c r="E67" s="54">
        <f t="shared" si="0"/>
        <v>12.603999999999999</v>
      </c>
      <c r="G67">
        <v>13.723000000000001</v>
      </c>
      <c r="H67" s="54">
        <f t="shared" si="1"/>
        <v>13.723000000000001</v>
      </c>
    </row>
    <row r="68" spans="1:8">
      <c r="A68" s="35">
        <v>64</v>
      </c>
      <c r="B68">
        <v>10</v>
      </c>
      <c r="D68">
        <v>11.901</v>
      </c>
      <c r="E68" s="54">
        <f t="shared" si="0"/>
        <v>11.901</v>
      </c>
      <c r="G68">
        <v>13.307</v>
      </c>
      <c r="H68" s="54">
        <f t="shared" si="1"/>
        <v>13.307</v>
      </c>
    </row>
    <row r="69" spans="1:8">
      <c r="A69" s="35">
        <v>65</v>
      </c>
      <c r="B69">
        <v>10</v>
      </c>
      <c r="D69">
        <v>11.593999999999999</v>
      </c>
      <c r="E69" s="54">
        <f t="shared" si="0"/>
        <v>11.593999999999999</v>
      </c>
      <c r="G69">
        <v>13.452</v>
      </c>
      <c r="H69" s="54">
        <f t="shared" si="1"/>
        <v>13.452</v>
      </c>
    </row>
    <row r="70" spans="1:8">
      <c r="A70" s="35">
        <v>66</v>
      </c>
      <c r="B70">
        <v>10</v>
      </c>
      <c r="E70" s="54">
        <f t="shared" ref="E70:E76" si="2">D70-C70</f>
        <v>0</v>
      </c>
      <c r="H70" s="54">
        <f t="shared" ref="H70:H76" si="3">G70-F70</f>
        <v>0</v>
      </c>
    </row>
    <row r="71" spans="1:8">
      <c r="A71" s="35">
        <v>67</v>
      </c>
      <c r="B71">
        <v>10</v>
      </c>
      <c r="E71" s="54">
        <f t="shared" si="2"/>
        <v>0</v>
      </c>
      <c r="H71" s="54">
        <f t="shared" si="3"/>
        <v>0</v>
      </c>
    </row>
    <row r="72" spans="1:8">
      <c r="A72" s="35">
        <v>68</v>
      </c>
      <c r="B72">
        <v>10</v>
      </c>
      <c r="E72" s="54">
        <f t="shared" si="2"/>
        <v>0</v>
      </c>
      <c r="H72" s="54">
        <f t="shared" si="3"/>
        <v>0</v>
      </c>
    </row>
    <row r="73" spans="1:8">
      <c r="A73" s="35">
        <v>69</v>
      </c>
      <c r="B73">
        <v>10</v>
      </c>
      <c r="E73" s="54">
        <f t="shared" si="2"/>
        <v>0</v>
      </c>
      <c r="H73" s="54">
        <f t="shared" si="3"/>
        <v>0</v>
      </c>
    </row>
    <row r="74" spans="1:8">
      <c r="A74" s="35">
        <v>70</v>
      </c>
      <c r="B74">
        <v>10</v>
      </c>
      <c r="E74" s="54">
        <f t="shared" si="2"/>
        <v>0</v>
      </c>
      <c r="H74" s="54">
        <f t="shared" si="3"/>
        <v>0</v>
      </c>
    </row>
    <row r="75" spans="1:8">
      <c r="A75" s="35">
        <v>71</v>
      </c>
      <c r="E75" s="54">
        <f t="shared" si="2"/>
        <v>0</v>
      </c>
      <c r="H75" s="54">
        <f t="shared" si="3"/>
        <v>0</v>
      </c>
    </row>
    <row r="76" spans="1:8">
      <c r="A76" s="35">
        <v>72</v>
      </c>
      <c r="E76" s="54">
        <f t="shared" si="2"/>
        <v>0</v>
      </c>
      <c r="H76" s="54">
        <f t="shared" si="3"/>
        <v>0</v>
      </c>
    </row>
    <row r="77" spans="1:8">
      <c r="A77" s="35">
        <v>73</v>
      </c>
    </row>
    <row r="78" spans="1:8">
      <c r="A78" s="35">
        <v>74</v>
      </c>
    </row>
    <row r="79" spans="1:8">
      <c r="A79" s="35">
        <v>75</v>
      </c>
    </row>
    <row r="80" spans="1:8">
      <c r="A80" s="35">
        <v>76</v>
      </c>
    </row>
    <row r="81" spans="1:1">
      <c r="A81" s="35">
        <v>77</v>
      </c>
    </row>
    <row r="82" spans="1:1">
      <c r="A82" s="35">
        <v>78</v>
      </c>
    </row>
    <row r="83" spans="1:1">
      <c r="A83" s="35">
        <v>79</v>
      </c>
    </row>
    <row r="84" spans="1:1">
      <c r="A84" s="35">
        <v>80</v>
      </c>
    </row>
  </sheetData>
  <mergeCells count="1">
    <mergeCell ref="A1:N1"/>
  </mergeCells>
  <pageMargins left="0.78739999999999999" right="0.78739999999999999" top="1.2792000000000001" bottom="1.2792000000000001" header="0.9839" footer="0.9839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Eigene Rechnung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Hampel</dc:creator>
  <cp:lastModifiedBy>Zeumer, Finn Elias</cp:lastModifiedBy>
  <cp:revision>3</cp:revision>
  <cp:lastPrinted>2003-09-03T16:16:37Z</cp:lastPrinted>
  <dcterms:created xsi:type="dcterms:W3CDTF">2001-05-30T09:49:31Z</dcterms:created>
  <dcterms:modified xsi:type="dcterms:W3CDTF">2025-09-16T19:03:37Z</dcterms:modified>
</cp:coreProperties>
</file>