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lders\Uni-Heidelberg\Praktika\PAP1\Protokolle\Messprotokolle\22\"/>
    </mc:Choice>
  </mc:AlternateContent>
  <xr:revisionPtr revIDLastSave="0" documentId="13_ncr:1_{B38F0D95-6834-4B8B-94E5-3F13F1F56E60}" xr6:coauthVersionLast="47" xr6:coauthVersionMax="47" xr10:uidLastSave="{00000000-0000-0000-0000-000000000000}"/>
  <bookViews>
    <workbookView xWindow="-120" yWindow="-120" windowWidth="51840" windowHeight="21390" xr2:uid="{53C60F1C-AFB6-45DA-A96B-13CC4EEB5CC4}"/>
  </bookViews>
  <sheets>
    <sheet name="Eigene Rechnung" sheetId="3" r:id="rId1"/>
    <sheet name="1e vs 2e" sheetId="4" r:id="rId2"/>
    <sheet name="Tabelle1" sheetId="1" r:id="rId3"/>
    <sheet name="Tabelle2" sheetId="2" r:id="rId4"/>
  </sheets>
  <definedNames>
    <definedName name="_xlchart.v1.0" hidden="1">'Eigene Rechnung'!$AD$1:$AD$65</definedName>
    <definedName name="_xlnm.Print_Area" localSheetId="0">'Eigene Rechnung'!$A$1:$X$67</definedName>
    <definedName name="_xlnm.Print_Area" localSheetId="2">Tabelle1!$A$1:$Q$92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V67" i="3" a="1"/>
  <c r="V67" i="3" s="1"/>
  <c r="U67" i="3"/>
  <c r="F2" i="4" a="1"/>
  <c r="F2" i="4" s="1"/>
  <c r="C2" i="4" a="1"/>
  <c r="C2" i="4" s="1"/>
  <c r="E21" i="4" a="1"/>
  <c r="E21" i="4" s="1"/>
  <c r="B21" i="4" a="1"/>
  <c r="B21" i="4" s="1"/>
  <c r="E19" i="4"/>
  <c r="B19" i="4"/>
  <c r="V16" i="3"/>
  <c r="X14" i="3"/>
  <c r="X18" i="3" s="1"/>
  <c r="X29" i="3"/>
  <c r="C67" i="3"/>
  <c r="B67" i="3"/>
  <c r="V22" i="3"/>
  <c r="I8" i="1"/>
  <c r="I9" i="1"/>
  <c r="V11" i="3"/>
  <c r="E28" i="1"/>
  <c r="X3" i="3"/>
  <c r="X5" i="3" s="1"/>
  <c r="V3" i="3"/>
  <c r="V5" i="3" s="1"/>
  <c r="F2" i="3" s="1"/>
  <c r="H6" i="2"/>
  <c r="E29" i="1" s="1"/>
  <c r="H7" i="2"/>
  <c r="E30" i="1" s="1"/>
  <c r="H8" i="2"/>
  <c r="E31" i="1" s="1"/>
  <c r="G31" i="1" s="1"/>
  <c r="H9" i="2"/>
  <c r="E32" i="1" s="1"/>
  <c r="H10" i="2"/>
  <c r="H11" i="2"/>
  <c r="H12" i="2"/>
  <c r="H13" i="2"/>
  <c r="E36" i="1" s="1"/>
  <c r="H14" i="2"/>
  <c r="H15" i="2"/>
  <c r="H16" i="2"/>
  <c r="H17" i="2"/>
  <c r="H18" i="2"/>
  <c r="E41" i="1" s="1"/>
  <c r="F41" i="1" s="1"/>
  <c r="H19" i="2"/>
  <c r="H20" i="2"/>
  <c r="H21" i="2"/>
  <c r="H22" i="2"/>
  <c r="E45" i="1" s="1"/>
  <c r="H23" i="2"/>
  <c r="E46" i="1" s="1"/>
  <c r="H24" i="2"/>
  <c r="E47" i="1" s="1"/>
  <c r="H25" i="2"/>
  <c r="H26" i="2"/>
  <c r="H27" i="2"/>
  <c r="H28" i="2"/>
  <c r="H29" i="2"/>
  <c r="E52" i="1" s="1"/>
  <c r="H30" i="2"/>
  <c r="H31" i="2"/>
  <c r="H32" i="2"/>
  <c r="H33" i="2"/>
  <c r="E56" i="1" s="1"/>
  <c r="H34" i="2"/>
  <c r="E57" i="1" s="1"/>
  <c r="H35" i="2"/>
  <c r="H36" i="2"/>
  <c r="H37" i="2"/>
  <c r="H38" i="2"/>
  <c r="E61" i="1" s="1"/>
  <c r="H39" i="2"/>
  <c r="E62" i="1" s="1"/>
  <c r="H40" i="2"/>
  <c r="E63" i="1" s="1"/>
  <c r="G63" i="1" s="1"/>
  <c r="H41" i="2"/>
  <c r="H42" i="2"/>
  <c r="H43" i="2"/>
  <c r="H44" i="2"/>
  <c r="H45" i="2"/>
  <c r="E68" i="1" s="1"/>
  <c r="H46" i="2"/>
  <c r="H47" i="2"/>
  <c r="H48" i="2"/>
  <c r="H49" i="2"/>
  <c r="H50" i="2"/>
  <c r="E73" i="1" s="1"/>
  <c r="H51" i="2"/>
  <c r="H52" i="2"/>
  <c r="H53" i="2"/>
  <c r="H54" i="2"/>
  <c r="E77" i="1" s="1"/>
  <c r="H55" i="2"/>
  <c r="E78" i="1" s="1"/>
  <c r="H56" i="2"/>
  <c r="E79" i="1" s="1"/>
  <c r="G79" i="1" s="1"/>
  <c r="H57" i="2"/>
  <c r="H58" i="2"/>
  <c r="H59" i="2"/>
  <c r="E82" i="1" s="1"/>
  <c r="H60" i="2"/>
  <c r="H61" i="2"/>
  <c r="E84" i="1" s="1"/>
  <c r="H62" i="2"/>
  <c r="H63" i="2"/>
  <c r="E86" i="1" s="1"/>
  <c r="H64" i="2"/>
  <c r="H65" i="2"/>
  <c r="H66" i="2"/>
  <c r="E89" i="1" s="1"/>
  <c r="H67" i="2"/>
  <c r="H68" i="2"/>
  <c r="H69" i="2"/>
  <c r="E6" i="2"/>
  <c r="C29" i="1" s="1"/>
  <c r="E7" i="2"/>
  <c r="C30" i="1" s="1"/>
  <c r="E8" i="2"/>
  <c r="E9" i="2"/>
  <c r="E10" i="2"/>
  <c r="E11" i="2"/>
  <c r="E12" i="2"/>
  <c r="E13" i="2"/>
  <c r="C36" i="1" s="1"/>
  <c r="E14" i="2"/>
  <c r="E15" i="2"/>
  <c r="E16" i="2"/>
  <c r="E17" i="2"/>
  <c r="E18" i="2"/>
  <c r="E19" i="2"/>
  <c r="E20" i="2"/>
  <c r="E21" i="2"/>
  <c r="E22" i="2"/>
  <c r="E23" i="2"/>
  <c r="C46" i="1" s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C62" i="1" s="1"/>
  <c r="E40" i="2"/>
  <c r="E41" i="2"/>
  <c r="E42" i="2"/>
  <c r="E43" i="2"/>
  <c r="E44" i="2"/>
  <c r="E45" i="2"/>
  <c r="C68" i="1" s="1"/>
  <c r="E46" i="2"/>
  <c r="E47" i="2"/>
  <c r="E48" i="2"/>
  <c r="E49" i="2"/>
  <c r="E50" i="2"/>
  <c r="C73" i="1" s="1"/>
  <c r="E51" i="2"/>
  <c r="E52" i="2"/>
  <c r="E53" i="2"/>
  <c r="E54" i="2"/>
  <c r="E55" i="2"/>
  <c r="C78" i="1" s="1"/>
  <c r="E56" i="2"/>
  <c r="E57" i="2"/>
  <c r="E58" i="2"/>
  <c r="E59" i="2"/>
  <c r="E60" i="2"/>
  <c r="E61" i="2"/>
  <c r="C84" i="1" s="1"/>
  <c r="E62" i="2"/>
  <c r="E63" i="2"/>
  <c r="C86" i="1" s="1"/>
  <c r="E64" i="2"/>
  <c r="E65" i="2"/>
  <c r="E66" i="2"/>
  <c r="E67" i="2"/>
  <c r="E68" i="2"/>
  <c r="E69" i="2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E92" i="1"/>
  <c r="D92" i="1"/>
  <c r="B92" i="1"/>
  <c r="D91" i="1"/>
  <c r="C91" i="1"/>
  <c r="B91" i="1"/>
  <c r="D90" i="1"/>
  <c r="B90" i="1"/>
  <c r="D89" i="1"/>
  <c r="C89" i="1"/>
  <c r="B89" i="1"/>
  <c r="D88" i="1"/>
  <c r="B88" i="1"/>
  <c r="D87" i="1"/>
  <c r="B87" i="1"/>
  <c r="D86" i="1"/>
  <c r="B86" i="1"/>
  <c r="E85" i="1"/>
  <c r="D85" i="1"/>
  <c r="C85" i="1"/>
  <c r="B85" i="1"/>
  <c r="D84" i="1"/>
  <c r="B84" i="1"/>
  <c r="D83" i="1"/>
  <c r="C83" i="1"/>
  <c r="B83" i="1"/>
  <c r="D82" i="1"/>
  <c r="B82" i="1"/>
  <c r="E81" i="1"/>
  <c r="D81" i="1"/>
  <c r="C81" i="1"/>
  <c r="B81" i="1"/>
  <c r="D80" i="1"/>
  <c r="B80" i="1"/>
  <c r="D79" i="1"/>
  <c r="B79" i="1"/>
  <c r="D78" i="1"/>
  <c r="B78" i="1"/>
  <c r="D77" i="1"/>
  <c r="C77" i="1"/>
  <c r="B77" i="1"/>
  <c r="E76" i="1"/>
  <c r="G76" i="1" s="1"/>
  <c r="D76" i="1"/>
  <c r="B76" i="1"/>
  <c r="D75" i="1"/>
  <c r="C75" i="1"/>
  <c r="B75" i="1"/>
  <c r="D74" i="1"/>
  <c r="B74" i="1"/>
  <c r="D73" i="1"/>
  <c r="B73" i="1"/>
  <c r="D72" i="1"/>
  <c r="B72" i="1"/>
  <c r="D71" i="1"/>
  <c r="B71" i="1"/>
  <c r="D70" i="1"/>
  <c r="C70" i="1"/>
  <c r="B70" i="1"/>
  <c r="E69" i="1"/>
  <c r="D69" i="1"/>
  <c r="C69" i="1"/>
  <c r="B69" i="1"/>
  <c r="F69" i="1" s="1"/>
  <c r="I69" i="1" s="1"/>
  <c r="J69" i="1" s="1"/>
  <c r="D68" i="1"/>
  <c r="B68" i="1"/>
  <c r="D67" i="1"/>
  <c r="C67" i="1"/>
  <c r="B67" i="1"/>
  <c r="D66" i="1"/>
  <c r="B66" i="1"/>
  <c r="E65" i="1"/>
  <c r="D65" i="1"/>
  <c r="C65" i="1"/>
  <c r="B65" i="1"/>
  <c r="D64" i="1"/>
  <c r="G64" i="1" s="1"/>
  <c r="B64" i="1"/>
  <c r="D63" i="1"/>
  <c r="B63" i="1"/>
  <c r="D62" i="1"/>
  <c r="B62" i="1"/>
  <c r="D61" i="1"/>
  <c r="C61" i="1"/>
  <c r="B61" i="1"/>
  <c r="E60" i="1"/>
  <c r="D60" i="1"/>
  <c r="B60" i="1"/>
  <c r="D59" i="1"/>
  <c r="C59" i="1"/>
  <c r="B59" i="1"/>
  <c r="D58" i="1"/>
  <c r="B58" i="1"/>
  <c r="D57" i="1"/>
  <c r="C57" i="1"/>
  <c r="B57" i="1"/>
  <c r="D56" i="1"/>
  <c r="B56" i="1"/>
  <c r="D55" i="1"/>
  <c r="B55" i="1"/>
  <c r="D54" i="1"/>
  <c r="C54" i="1"/>
  <c r="B54" i="1"/>
  <c r="E53" i="1"/>
  <c r="D53" i="1"/>
  <c r="C53" i="1"/>
  <c r="B53" i="1"/>
  <c r="D52" i="1"/>
  <c r="B52" i="1"/>
  <c r="D51" i="1"/>
  <c r="C51" i="1"/>
  <c r="B51" i="1"/>
  <c r="D50" i="1"/>
  <c r="B50" i="1"/>
  <c r="E49" i="1"/>
  <c r="D49" i="1"/>
  <c r="C49" i="1"/>
  <c r="B49" i="1"/>
  <c r="D48" i="1"/>
  <c r="B48" i="1"/>
  <c r="D47" i="1"/>
  <c r="B47" i="1"/>
  <c r="D46" i="1"/>
  <c r="B46" i="1"/>
  <c r="D45" i="1"/>
  <c r="C45" i="1"/>
  <c r="B45" i="1"/>
  <c r="E44" i="1"/>
  <c r="D44" i="1"/>
  <c r="B44" i="1"/>
  <c r="D43" i="1"/>
  <c r="C43" i="1"/>
  <c r="B43" i="1"/>
  <c r="D42" i="1"/>
  <c r="B42" i="1"/>
  <c r="D41" i="1"/>
  <c r="C41" i="1"/>
  <c r="B41" i="1"/>
  <c r="D40" i="1"/>
  <c r="B40" i="1"/>
  <c r="D39" i="1"/>
  <c r="B39" i="1"/>
  <c r="D38" i="1"/>
  <c r="C38" i="1"/>
  <c r="B38" i="1"/>
  <c r="E37" i="1"/>
  <c r="D37" i="1"/>
  <c r="C37" i="1"/>
  <c r="B37" i="1"/>
  <c r="D36" i="1"/>
  <c r="B36" i="1"/>
  <c r="D35" i="1"/>
  <c r="C35" i="1"/>
  <c r="B35" i="1"/>
  <c r="D34" i="1"/>
  <c r="B34" i="1"/>
  <c r="E33" i="1"/>
  <c r="D33" i="1"/>
  <c r="C33" i="1"/>
  <c r="B33" i="1"/>
  <c r="F33" i="1" s="1"/>
  <c r="I33" i="1" s="1"/>
  <c r="J33" i="1" s="1"/>
  <c r="D32" i="1"/>
  <c r="B32" i="1"/>
  <c r="D31" i="1"/>
  <c r="B31" i="1"/>
  <c r="D30" i="1"/>
  <c r="B30" i="1"/>
  <c r="D29" i="1"/>
  <c r="B29" i="1"/>
  <c r="D28" i="1"/>
  <c r="B28" i="1"/>
  <c r="H76" i="2"/>
  <c r="E76" i="2"/>
  <c r="H75" i="2"/>
  <c r="E75" i="2"/>
  <c r="H74" i="2"/>
  <c r="E74" i="2"/>
  <c r="H73" i="2"/>
  <c r="E73" i="2"/>
  <c r="H72" i="2"/>
  <c r="E72" i="2"/>
  <c r="H71" i="2"/>
  <c r="E71" i="2"/>
  <c r="H70" i="2"/>
  <c r="E70" i="2"/>
  <c r="C92" i="1"/>
  <c r="E91" i="1"/>
  <c r="E90" i="1"/>
  <c r="C90" i="1"/>
  <c r="E88" i="1"/>
  <c r="C88" i="1"/>
  <c r="E87" i="1"/>
  <c r="G87" i="1" s="1"/>
  <c r="C87" i="1"/>
  <c r="E83" i="1"/>
  <c r="C82" i="1"/>
  <c r="E80" i="1"/>
  <c r="C80" i="1"/>
  <c r="C79" i="1"/>
  <c r="C76" i="1"/>
  <c r="E75" i="1"/>
  <c r="E74" i="1"/>
  <c r="C74" i="1"/>
  <c r="E72" i="1"/>
  <c r="G72" i="1" s="1"/>
  <c r="C72" i="1"/>
  <c r="E71" i="1"/>
  <c r="G71" i="1" s="1"/>
  <c r="C71" i="1"/>
  <c r="E70" i="1"/>
  <c r="E67" i="1"/>
  <c r="E66" i="1"/>
  <c r="C66" i="1"/>
  <c r="E64" i="1"/>
  <c r="C64" i="1"/>
  <c r="C63" i="1"/>
  <c r="C60" i="1"/>
  <c r="E59" i="1"/>
  <c r="E58" i="1"/>
  <c r="C58" i="1"/>
  <c r="C56" i="1"/>
  <c r="E55" i="1"/>
  <c r="G55" i="1" s="1"/>
  <c r="C55" i="1"/>
  <c r="E54" i="1"/>
  <c r="C52" i="1"/>
  <c r="E51" i="1"/>
  <c r="E50" i="1"/>
  <c r="C50" i="1"/>
  <c r="E48" i="1"/>
  <c r="C48" i="1"/>
  <c r="C47" i="1"/>
  <c r="C44" i="1"/>
  <c r="E43" i="1"/>
  <c r="E42" i="1"/>
  <c r="C42" i="1"/>
  <c r="E40" i="1"/>
  <c r="C40" i="1"/>
  <c r="E39" i="1"/>
  <c r="G39" i="1" s="1"/>
  <c r="C39" i="1"/>
  <c r="E38" i="1"/>
  <c r="E35" i="1"/>
  <c r="E34" i="1"/>
  <c r="C34" i="1"/>
  <c r="C32" i="1"/>
  <c r="C31" i="1"/>
  <c r="H5" i="2"/>
  <c r="E5" i="2"/>
  <c r="C28" i="1" s="1"/>
  <c r="K127" i="1"/>
  <c r="J127" i="1"/>
  <c r="I127" i="1"/>
  <c r="H127" i="1"/>
  <c r="G127" i="1"/>
  <c r="F127" i="1"/>
  <c r="K126" i="1"/>
  <c r="J126" i="1"/>
  <c r="I126" i="1"/>
  <c r="H126" i="1"/>
  <c r="G126" i="1"/>
  <c r="F126" i="1"/>
  <c r="K125" i="1"/>
  <c r="J125" i="1"/>
  <c r="I125" i="1"/>
  <c r="H125" i="1"/>
  <c r="G125" i="1"/>
  <c r="F125" i="1"/>
  <c r="K124" i="1"/>
  <c r="L124" i="1" s="1"/>
  <c r="J124" i="1"/>
  <c r="I124" i="1"/>
  <c r="H124" i="1"/>
  <c r="G124" i="1"/>
  <c r="F124" i="1"/>
  <c r="K123" i="1"/>
  <c r="L123" i="1" s="1"/>
  <c r="J123" i="1"/>
  <c r="I123" i="1"/>
  <c r="H123" i="1"/>
  <c r="G123" i="1"/>
  <c r="F123" i="1"/>
  <c r="K122" i="1"/>
  <c r="J122" i="1"/>
  <c r="I122" i="1"/>
  <c r="H122" i="1"/>
  <c r="G122" i="1"/>
  <c r="F122" i="1"/>
  <c r="K121" i="1"/>
  <c r="J121" i="1"/>
  <c r="I121" i="1"/>
  <c r="H121" i="1"/>
  <c r="G121" i="1"/>
  <c r="F121" i="1"/>
  <c r="K120" i="1"/>
  <c r="L120" i="1" s="1"/>
  <c r="J120" i="1"/>
  <c r="I120" i="1"/>
  <c r="H120" i="1"/>
  <c r="G120" i="1"/>
  <c r="F120" i="1"/>
  <c r="K119" i="1"/>
  <c r="L119" i="1" s="1"/>
  <c r="J119" i="1"/>
  <c r="I119" i="1"/>
  <c r="H119" i="1"/>
  <c r="G119" i="1"/>
  <c r="F119" i="1"/>
  <c r="K118" i="1"/>
  <c r="J118" i="1"/>
  <c r="I118" i="1"/>
  <c r="H118" i="1"/>
  <c r="G118" i="1"/>
  <c r="F118" i="1"/>
  <c r="K117" i="1"/>
  <c r="J117" i="1"/>
  <c r="I117" i="1"/>
  <c r="H117" i="1"/>
  <c r="G117" i="1"/>
  <c r="F117" i="1"/>
  <c r="K116" i="1"/>
  <c r="L116" i="1" s="1"/>
  <c r="J116" i="1"/>
  <c r="I116" i="1"/>
  <c r="H116" i="1"/>
  <c r="G116" i="1"/>
  <c r="F116" i="1"/>
  <c r="K115" i="1"/>
  <c r="L115" i="1" s="1"/>
  <c r="J115" i="1"/>
  <c r="I115" i="1"/>
  <c r="H115" i="1"/>
  <c r="G115" i="1"/>
  <c r="F115" i="1"/>
  <c r="K114" i="1"/>
  <c r="J114" i="1"/>
  <c r="I114" i="1"/>
  <c r="H114" i="1"/>
  <c r="G114" i="1"/>
  <c r="F114" i="1"/>
  <c r="K113" i="1"/>
  <c r="J113" i="1"/>
  <c r="I113" i="1"/>
  <c r="H113" i="1"/>
  <c r="G113" i="1"/>
  <c r="F113" i="1"/>
  <c r="K112" i="1"/>
  <c r="L112" i="1" s="1"/>
  <c r="J112" i="1"/>
  <c r="I112" i="1"/>
  <c r="H112" i="1"/>
  <c r="G112" i="1"/>
  <c r="F112" i="1"/>
  <c r="K111" i="1"/>
  <c r="L111" i="1" s="1"/>
  <c r="J111" i="1"/>
  <c r="I111" i="1"/>
  <c r="H111" i="1"/>
  <c r="G111" i="1"/>
  <c r="F111" i="1"/>
  <c r="K110" i="1"/>
  <c r="J110" i="1"/>
  <c r="I110" i="1"/>
  <c r="H110" i="1"/>
  <c r="G110" i="1"/>
  <c r="F110" i="1"/>
  <c r="K109" i="1"/>
  <c r="J109" i="1"/>
  <c r="I109" i="1"/>
  <c r="H109" i="1"/>
  <c r="G109" i="1"/>
  <c r="F109" i="1"/>
  <c r="K108" i="1"/>
  <c r="L108" i="1" s="1"/>
  <c r="J108" i="1"/>
  <c r="I108" i="1"/>
  <c r="H108" i="1"/>
  <c r="G108" i="1"/>
  <c r="F108" i="1"/>
  <c r="K107" i="1"/>
  <c r="L107" i="1" s="1"/>
  <c r="J107" i="1"/>
  <c r="I107" i="1"/>
  <c r="H107" i="1"/>
  <c r="G107" i="1"/>
  <c r="F107" i="1"/>
  <c r="K106" i="1"/>
  <c r="J106" i="1"/>
  <c r="I106" i="1"/>
  <c r="H106" i="1"/>
  <c r="G106" i="1"/>
  <c r="F106" i="1"/>
  <c r="K105" i="1"/>
  <c r="J105" i="1"/>
  <c r="I105" i="1"/>
  <c r="H105" i="1"/>
  <c r="G105" i="1"/>
  <c r="F105" i="1"/>
  <c r="K104" i="1"/>
  <c r="J104" i="1"/>
  <c r="I104" i="1"/>
  <c r="H104" i="1"/>
  <c r="G104" i="1"/>
  <c r="F104" i="1"/>
  <c r="K103" i="1"/>
  <c r="J103" i="1"/>
  <c r="I103" i="1"/>
  <c r="H103" i="1"/>
  <c r="G103" i="1"/>
  <c r="F103" i="1"/>
  <c r="K102" i="1"/>
  <c r="J102" i="1"/>
  <c r="I102" i="1"/>
  <c r="H102" i="1"/>
  <c r="G102" i="1"/>
  <c r="F102" i="1"/>
  <c r="K101" i="1"/>
  <c r="J101" i="1"/>
  <c r="I101" i="1"/>
  <c r="H101" i="1"/>
  <c r="G101" i="1"/>
  <c r="F101" i="1"/>
  <c r="K100" i="1"/>
  <c r="J100" i="1"/>
  <c r="I100" i="1"/>
  <c r="H100" i="1"/>
  <c r="G100" i="1"/>
  <c r="F100" i="1"/>
  <c r="K99" i="1"/>
  <c r="J99" i="1"/>
  <c r="I99" i="1"/>
  <c r="H99" i="1"/>
  <c r="G99" i="1"/>
  <c r="F99" i="1"/>
  <c r="K98" i="1"/>
  <c r="J98" i="1"/>
  <c r="I98" i="1"/>
  <c r="H98" i="1"/>
  <c r="G98" i="1"/>
  <c r="F98" i="1"/>
  <c r="K97" i="1"/>
  <c r="J97" i="1"/>
  <c r="I97" i="1"/>
  <c r="H97" i="1"/>
  <c r="G97" i="1"/>
  <c r="F97" i="1"/>
  <c r="K96" i="1"/>
  <c r="J96" i="1"/>
  <c r="I96" i="1"/>
  <c r="H96" i="1"/>
  <c r="G96" i="1"/>
  <c r="F96" i="1"/>
  <c r="K95" i="1"/>
  <c r="J95" i="1"/>
  <c r="I95" i="1"/>
  <c r="H95" i="1"/>
  <c r="G95" i="1"/>
  <c r="F95" i="1"/>
  <c r="K94" i="1"/>
  <c r="J94" i="1"/>
  <c r="I94" i="1"/>
  <c r="H94" i="1"/>
  <c r="G94" i="1"/>
  <c r="F94" i="1"/>
  <c r="K93" i="1"/>
  <c r="J93" i="1"/>
  <c r="I93" i="1"/>
  <c r="H93" i="1"/>
  <c r="G93" i="1"/>
  <c r="F93" i="1"/>
  <c r="G92" i="1"/>
  <c r="G91" i="1"/>
  <c r="G88" i="1"/>
  <c r="F85" i="1"/>
  <c r="G80" i="1"/>
  <c r="F65" i="1"/>
  <c r="G60" i="1"/>
  <c r="G59" i="1"/>
  <c r="G48" i="1"/>
  <c r="G44" i="1"/>
  <c r="G35" i="1"/>
  <c r="G28" i="1"/>
  <c r="B12" i="1"/>
  <c r="I10" i="1"/>
  <c r="F13" i="3" l="1"/>
  <c r="F65" i="3"/>
  <c r="F61" i="3"/>
  <c r="F60" i="3"/>
  <c r="F49" i="3"/>
  <c r="F45" i="3"/>
  <c r="F33" i="3"/>
  <c r="F29" i="3"/>
  <c r="F17" i="3"/>
  <c r="F64" i="3"/>
  <c r="F48" i="3"/>
  <c r="F32" i="3"/>
  <c r="F16" i="3"/>
  <c r="G16" i="3" s="1"/>
  <c r="F63" i="3"/>
  <c r="G63" i="3" s="1"/>
  <c r="F47" i="3"/>
  <c r="G47" i="3" s="1"/>
  <c r="F31" i="3"/>
  <c r="G31" i="3" s="1"/>
  <c r="F15" i="3"/>
  <c r="G15" i="3" s="1"/>
  <c r="F62" i="3"/>
  <c r="G62" i="3" s="1"/>
  <c r="F46" i="3"/>
  <c r="G46" i="3" s="1"/>
  <c r="F30" i="3"/>
  <c r="F14" i="3"/>
  <c r="G14" i="3" s="1"/>
  <c r="F44" i="3"/>
  <c r="G44" i="3" s="1"/>
  <c r="F28" i="3"/>
  <c r="G28" i="3" s="1"/>
  <c r="F12" i="3"/>
  <c r="G12" i="3" s="1"/>
  <c r="F59" i="3"/>
  <c r="G59" i="3" s="1"/>
  <c r="F43" i="3"/>
  <c r="G43" i="3" s="1"/>
  <c r="F27" i="3"/>
  <c r="G27" i="3" s="1"/>
  <c r="F11" i="3"/>
  <c r="G11" i="3" s="1"/>
  <c r="F58" i="3"/>
  <c r="G58" i="3" s="1"/>
  <c r="F42" i="3"/>
  <c r="G42" i="3" s="1"/>
  <c r="F26" i="3"/>
  <c r="G26" i="3" s="1"/>
  <c r="F10" i="3"/>
  <c r="G10" i="3" s="1"/>
  <c r="F57" i="3"/>
  <c r="G57" i="3" s="1"/>
  <c r="F41" i="3"/>
  <c r="F25" i="3"/>
  <c r="G25" i="3" s="1"/>
  <c r="F9" i="3"/>
  <c r="F56" i="3"/>
  <c r="F40" i="3"/>
  <c r="F24" i="3"/>
  <c r="F8" i="3"/>
  <c r="G8" i="3" s="1"/>
  <c r="F55" i="3"/>
  <c r="G55" i="3" s="1"/>
  <c r="F39" i="3"/>
  <c r="G39" i="3" s="1"/>
  <c r="F23" i="3"/>
  <c r="F7" i="3"/>
  <c r="G7" i="3" s="1"/>
  <c r="F54" i="3"/>
  <c r="G54" i="3" s="1"/>
  <c r="F38" i="3"/>
  <c r="G38" i="3" s="1"/>
  <c r="F22" i="3"/>
  <c r="G22" i="3" s="1"/>
  <c r="F6" i="3"/>
  <c r="G6" i="3" s="1"/>
  <c r="F53" i="3"/>
  <c r="G53" i="3" s="1"/>
  <c r="F37" i="3"/>
  <c r="F21" i="3"/>
  <c r="G21" i="3" s="1"/>
  <c r="F5" i="3"/>
  <c r="F52" i="3"/>
  <c r="F36" i="3"/>
  <c r="F20" i="3"/>
  <c r="G20" i="3" s="1"/>
  <c r="F4" i="3"/>
  <c r="G4" i="3" s="1"/>
  <c r="F51" i="3"/>
  <c r="G51" i="3" s="1"/>
  <c r="F35" i="3"/>
  <c r="G35" i="3" s="1"/>
  <c r="F19" i="3"/>
  <c r="F3" i="3"/>
  <c r="G3" i="3" s="1"/>
  <c r="F66" i="3"/>
  <c r="G66" i="3" s="1"/>
  <c r="F50" i="3"/>
  <c r="G50" i="3" s="1"/>
  <c r="F34" i="3"/>
  <c r="G34" i="3" s="1"/>
  <c r="F18" i="3"/>
  <c r="G18" i="3" s="1"/>
  <c r="G45" i="3"/>
  <c r="D12" i="3"/>
  <c r="D65" i="3"/>
  <c r="D60" i="3"/>
  <c r="D13" i="3"/>
  <c r="E13" i="3" s="1"/>
  <c r="D10" i="3"/>
  <c r="E10" i="3" s="1"/>
  <c r="D61" i="3"/>
  <c r="E61" i="3" s="1"/>
  <c r="D58" i="3"/>
  <c r="D49" i="3"/>
  <c r="E49" i="3" s="1"/>
  <c r="D45" i="3"/>
  <c r="E45" i="3" s="1"/>
  <c r="D44" i="3"/>
  <c r="E44" i="3" s="1"/>
  <c r="D42" i="3"/>
  <c r="E42" i="3" s="1"/>
  <c r="G30" i="3"/>
  <c r="D33" i="3"/>
  <c r="E33" i="3" s="1"/>
  <c r="D29" i="3"/>
  <c r="E29" i="3" s="1"/>
  <c r="D28" i="3"/>
  <c r="E28" i="3" s="1"/>
  <c r="D26" i="3"/>
  <c r="E26" i="3" s="1"/>
  <c r="D17" i="3"/>
  <c r="E17" i="3" s="1"/>
  <c r="G2" i="3"/>
  <c r="D62" i="3"/>
  <c r="E62" i="3" s="1"/>
  <c r="D46" i="3"/>
  <c r="E46" i="3" s="1"/>
  <c r="D30" i="3"/>
  <c r="E30" i="3" s="1"/>
  <c r="D14" i="3"/>
  <c r="E14" i="3" s="1"/>
  <c r="G61" i="3"/>
  <c r="G29" i="3"/>
  <c r="G13" i="3"/>
  <c r="D59" i="3"/>
  <c r="E59" i="3" s="1"/>
  <c r="D43" i="3"/>
  <c r="E43" i="3" s="1"/>
  <c r="D27" i="3"/>
  <c r="E27" i="3" s="1"/>
  <c r="D11" i="3"/>
  <c r="E11" i="3" s="1"/>
  <c r="G60" i="3"/>
  <c r="D57" i="3"/>
  <c r="E57" i="3" s="1"/>
  <c r="D41" i="3"/>
  <c r="E41" i="3" s="1"/>
  <c r="D25" i="3"/>
  <c r="E25" i="3" s="1"/>
  <c r="D9" i="3"/>
  <c r="E9" i="3" s="1"/>
  <c r="D56" i="3"/>
  <c r="E56" i="3" s="1"/>
  <c r="D40" i="3"/>
  <c r="E40" i="3" s="1"/>
  <c r="D24" i="3"/>
  <c r="E24" i="3" s="1"/>
  <c r="D8" i="3"/>
  <c r="E8" i="3" s="1"/>
  <c r="G41" i="3"/>
  <c r="G9" i="3"/>
  <c r="D55" i="3"/>
  <c r="E55" i="3" s="1"/>
  <c r="D39" i="3"/>
  <c r="E39" i="3" s="1"/>
  <c r="D23" i="3"/>
  <c r="E23" i="3" s="1"/>
  <c r="D7" i="3"/>
  <c r="E7" i="3" s="1"/>
  <c r="G56" i="3"/>
  <c r="G40" i="3"/>
  <c r="G24" i="3"/>
  <c r="D54" i="3"/>
  <c r="E54" i="3" s="1"/>
  <c r="D38" i="3"/>
  <c r="E38" i="3" s="1"/>
  <c r="D22" i="3"/>
  <c r="E22" i="3" s="1"/>
  <c r="D6" i="3"/>
  <c r="E6" i="3" s="1"/>
  <c r="G23" i="3"/>
  <c r="D53" i="3"/>
  <c r="E53" i="3" s="1"/>
  <c r="D37" i="3"/>
  <c r="E37" i="3" s="1"/>
  <c r="D21" i="3"/>
  <c r="E21" i="3" s="1"/>
  <c r="D5" i="3"/>
  <c r="E5" i="3" s="1"/>
  <c r="D52" i="3"/>
  <c r="E52" i="3" s="1"/>
  <c r="D36" i="3"/>
  <c r="E36" i="3" s="1"/>
  <c r="D20" i="3"/>
  <c r="E20" i="3" s="1"/>
  <c r="D4" i="3"/>
  <c r="E4" i="3" s="1"/>
  <c r="G37" i="3"/>
  <c r="G5" i="3"/>
  <c r="D51" i="3"/>
  <c r="H51" i="3" s="1"/>
  <c r="D35" i="3"/>
  <c r="H35" i="3" s="1"/>
  <c r="D19" i="3"/>
  <c r="E19" i="3" s="1"/>
  <c r="D3" i="3"/>
  <c r="E3" i="3" s="1"/>
  <c r="G52" i="3"/>
  <c r="G36" i="3"/>
  <c r="D66" i="3"/>
  <c r="D50" i="3"/>
  <c r="E50" i="3" s="1"/>
  <c r="D34" i="3"/>
  <c r="E34" i="3" s="1"/>
  <c r="D18" i="3"/>
  <c r="E18" i="3" s="1"/>
  <c r="D2" i="3"/>
  <c r="E2" i="3" s="1"/>
  <c r="G19" i="3"/>
  <c r="D64" i="3"/>
  <c r="E64" i="3" s="1"/>
  <c r="D48" i="3"/>
  <c r="E48" i="3" s="1"/>
  <c r="D32" i="3"/>
  <c r="E32" i="3" s="1"/>
  <c r="D16" i="3"/>
  <c r="E16" i="3" s="1"/>
  <c r="G65" i="3"/>
  <c r="G49" i="3"/>
  <c r="G33" i="3"/>
  <c r="G17" i="3"/>
  <c r="D63" i="3"/>
  <c r="E63" i="3" s="1"/>
  <c r="D47" i="3"/>
  <c r="E47" i="3" s="1"/>
  <c r="D31" i="3"/>
  <c r="E31" i="3" s="1"/>
  <c r="D15" i="3"/>
  <c r="E15" i="3" s="1"/>
  <c r="G64" i="3"/>
  <c r="G48" i="3"/>
  <c r="G32" i="3"/>
  <c r="G32" i="1"/>
  <c r="F32" i="1"/>
  <c r="I32" i="1" s="1"/>
  <c r="G43" i="1"/>
  <c r="F92" i="1"/>
  <c r="I92" i="1" s="1"/>
  <c r="J92" i="1" s="1"/>
  <c r="G68" i="1"/>
  <c r="G36" i="1"/>
  <c r="F49" i="1"/>
  <c r="G51" i="1"/>
  <c r="F37" i="1"/>
  <c r="I37" i="1" s="1"/>
  <c r="J37" i="1" s="1"/>
  <c r="F89" i="1"/>
  <c r="F73" i="1"/>
  <c r="F57" i="1"/>
  <c r="I57" i="1" s="1"/>
  <c r="J57" i="1" s="1"/>
  <c r="F28" i="1"/>
  <c r="H28" i="1" s="1"/>
  <c r="K28" i="1" s="1"/>
  <c r="G56" i="1"/>
  <c r="I28" i="1"/>
  <c r="J28" i="1" s="1"/>
  <c r="G83" i="1"/>
  <c r="G40" i="1"/>
  <c r="F44" i="1"/>
  <c r="I44" i="1" s="1"/>
  <c r="J44" i="1" s="1"/>
  <c r="F77" i="1"/>
  <c r="F45" i="1"/>
  <c r="I45" i="1" s="1"/>
  <c r="J45" i="1" s="1"/>
  <c r="F29" i="1"/>
  <c r="I29" i="1" s="1"/>
  <c r="J29" i="1" s="1"/>
  <c r="F60" i="1"/>
  <c r="G75" i="1"/>
  <c r="G84" i="1"/>
  <c r="G52" i="1"/>
  <c r="H60" i="1"/>
  <c r="F76" i="1"/>
  <c r="H76" i="1" s="1"/>
  <c r="F61" i="1"/>
  <c r="I61" i="1" s="1"/>
  <c r="J61" i="1" s="1"/>
  <c r="F36" i="1"/>
  <c r="H36" i="1" s="1"/>
  <c r="F52" i="1"/>
  <c r="I52" i="1" s="1"/>
  <c r="J52" i="1" s="1"/>
  <c r="F68" i="1"/>
  <c r="H68" i="1" s="1"/>
  <c r="F81" i="1"/>
  <c r="I81" i="1" s="1"/>
  <c r="J81" i="1" s="1"/>
  <c r="F84" i="1"/>
  <c r="F53" i="1"/>
  <c r="I53" i="1" s="1"/>
  <c r="J53" i="1" s="1"/>
  <c r="H92" i="1"/>
  <c r="K92" i="1" s="1"/>
  <c r="L92" i="1" s="1"/>
  <c r="I65" i="1"/>
  <c r="J65" i="1" s="1"/>
  <c r="I41" i="1"/>
  <c r="J41" i="1" s="1"/>
  <c r="L113" i="1"/>
  <c r="F35" i="1"/>
  <c r="F43" i="1"/>
  <c r="H43" i="1" s="1"/>
  <c r="F51" i="1"/>
  <c r="H51" i="1" s="1"/>
  <c r="F59" i="1"/>
  <c r="H59" i="1" s="1"/>
  <c r="F67" i="1"/>
  <c r="F75" i="1"/>
  <c r="H75" i="1" s="1"/>
  <c r="F83" i="1"/>
  <c r="H83" i="1" s="1"/>
  <c r="F91" i="1"/>
  <c r="H91" i="1" s="1"/>
  <c r="I89" i="1"/>
  <c r="J89" i="1" s="1"/>
  <c r="L109" i="1"/>
  <c r="I73" i="1"/>
  <c r="J73" i="1" s="1"/>
  <c r="L105" i="1"/>
  <c r="G30" i="1"/>
  <c r="F30" i="1"/>
  <c r="G38" i="1"/>
  <c r="F38" i="1"/>
  <c r="G46" i="1"/>
  <c r="F46" i="1"/>
  <c r="G54" i="1"/>
  <c r="F54" i="1"/>
  <c r="G62" i="1"/>
  <c r="F62" i="1"/>
  <c r="G70" i="1"/>
  <c r="F70" i="1"/>
  <c r="I70" i="1" s="1"/>
  <c r="J70" i="1" s="1"/>
  <c r="G78" i="1"/>
  <c r="F78" i="1"/>
  <c r="I78" i="1" s="1"/>
  <c r="J78" i="1" s="1"/>
  <c r="G86" i="1"/>
  <c r="F86" i="1"/>
  <c r="I86" i="1" s="1"/>
  <c r="J86" i="1" s="1"/>
  <c r="L121" i="1"/>
  <c r="F31" i="1"/>
  <c r="F39" i="1"/>
  <c r="F47" i="1"/>
  <c r="F55" i="1"/>
  <c r="F63" i="1"/>
  <c r="H63" i="1" s="1"/>
  <c r="F71" i="1"/>
  <c r="H71" i="1" s="1"/>
  <c r="F79" i="1"/>
  <c r="H79" i="1" s="1"/>
  <c r="F87" i="1"/>
  <c r="H87" i="1" s="1"/>
  <c r="F40" i="1"/>
  <c r="F48" i="1"/>
  <c r="H48" i="1" s="1"/>
  <c r="F56" i="1"/>
  <c r="I56" i="1" s="1"/>
  <c r="J56" i="1" s="1"/>
  <c r="F72" i="1"/>
  <c r="H72" i="1" s="1"/>
  <c r="F80" i="1"/>
  <c r="H80" i="1" s="1"/>
  <c r="F88" i="1"/>
  <c r="H88" i="1" s="1"/>
  <c r="H32" i="1"/>
  <c r="J32" i="1"/>
  <c r="F64" i="1"/>
  <c r="G47" i="1"/>
  <c r="I49" i="1"/>
  <c r="J49" i="1" s="1"/>
  <c r="G67" i="1"/>
  <c r="I77" i="1"/>
  <c r="J77" i="1" s="1"/>
  <c r="I85" i="1"/>
  <c r="J85" i="1" s="1"/>
  <c r="L93" i="1"/>
  <c r="L106" i="1"/>
  <c r="L117" i="1"/>
  <c r="I60" i="1"/>
  <c r="J60" i="1" s="1"/>
  <c r="G34" i="1"/>
  <c r="F34" i="1"/>
  <c r="G42" i="1"/>
  <c r="F42" i="1"/>
  <c r="G50" i="1"/>
  <c r="F50" i="1"/>
  <c r="G58" i="1"/>
  <c r="F58" i="1"/>
  <c r="I58" i="1" s="1"/>
  <c r="J58" i="1" s="1"/>
  <c r="G66" i="1"/>
  <c r="F66" i="1"/>
  <c r="G74" i="1"/>
  <c r="F74" i="1"/>
  <c r="I74" i="1" s="1"/>
  <c r="J74" i="1" s="1"/>
  <c r="G82" i="1"/>
  <c r="F82" i="1"/>
  <c r="I82" i="1" s="1"/>
  <c r="J82" i="1" s="1"/>
  <c r="G90" i="1"/>
  <c r="F90" i="1"/>
  <c r="I90" i="1" s="1"/>
  <c r="J90" i="1" s="1"/>
  <c r="G29" i="1"/>
  <c r="G33" i="1"/>
  <c r="H33" i="1" s="1"/>
  <c r="K33" i="1" s="1"/>
  <c r="G37" i="1"/>
  <c r="H37" i="1" s="1"/>
  <c r="G41" i="1"/>
  <c r="H41" i="1" s="1"/>
  <c r="G45" i="1"/>
  <c r="H45" i="1" s="1"/>
  <c r="K45" i="1" s="1"/>
  <c r="G49" i="1"/>
  <c r="H49" i="1" s="1"/>
  <c r="G53" i="1"/>
  <c r="G57" i="1"/>
  <c r="G61" i="1"/>
  <c r="H61" i="1" s="1"/>
  <c r="G65" i="1"/>
  <c r="H65" i="1" s="1"/>
  <c r="K65" i="1" s="1"/>
  <c r="G69" i="1"/>
  <c r="H69" i="1" s="1"/>
  <c r="K69" i="1" s="1"/>
  <c r="G73" i="1"/>
  <c r="H73" i="1" s="1"/>
  <c r="G77" i="1"/>
  <c r="G81" i="1"/>
  <c r="H81" i="1" s="1"/>
  <c r="G85" i="1"/>
  <c r="H85" i="1" s="1"/>
  <c r="G89" i="1"/>
  <c r="H89" i="1" s="1"/>
  <c r="L127" i="1"/>
  <c r="L110" i="1"/>
  <c r="L114" i="1"/>
  <c r="L118" i="1"/>
  <c r="L122" i="1"/>
  <c r="L126" i="1"/>
  <c r="L125" i="1"/>
  <c r="L35" i="3" l="1"/>
  <c r="L51" i="3"/>
  <c r="J66" i="3"/>
  <c r="E66" i="3"/>
  <c r="J60" i="3"/>
  <c r="E60" i="3"/>
  <c r="H65" i="3"/>
  <c r="E65" i="3"/>
  <c r="E35" i="3"/>
  <c r="I35" i="3" s="1"/>
  <c r="M35" i="3" s="1"/>
  <c r="H12" i="3"/>
  <c r="E12" i="3"/>
  <c r="I12" i="3" s="1"/>
  <c r="E51" i="3"/>
  <c r="I51" i="3" s="1"/>
  <c r="M51" i="3" s="1"/>
  <c r="H58" i="3"/>
  <c r="E58" i="3"/>
  <c r="H29" i="1"/>
  <c r="K29" i="1" s="1"/>
  <c r="L29" i="1" s="1"/>
  <c r="H60" i="3"/>
  <c r="J65" i="3"/>
  <c r="H2" i="3"/>
  <c r="H66" i="3"/>
  <c r="J28" i="3"/>
  <c r="K41" i="1"/>
  <c r="K37" i="1"/>
  <c r="H84" i="1"/>
  <c r="I76" i="1"/>
  <c r="J76" i="1" s="1"/>
  <c r="K76" i="1" s="1"/>
  <c r="H57" i="1"/>
  <c r="K57" i="1" s="1"/>
  <c r="K60" i="1"/>
  <c r="H44" i="1"/>
  <c r="K44" i="1" s="1"/>
  <c r="L44" i="1" s="1"/>
  <c r="K61" i="1"/>
  <c r="K89" i="1"/>
  <c r="H77" i="1"/>
  <c r="K77" i="1" s="1"/>
  <c r="L77" i="1" s="1"/>
  <c r="I36" i="1"/>
  <c r="J36" i="1" s="1"/>
  <c r="K36" i="1" s="1"/>
  <c r="H62" i="1"/>
  <c r="J12" i="3"/>
  <c r="H62" i="3"/>
  <c r="H52" i="3"/>
  <c r="H7" i="3"/>
  <c r="H9" i="3"/>
  <c r="I9" i="3" s="1"/>
  <c r="H15" i="3"/>
  <c r="H16" i="3"/>
  <c r="H17" i="3"/>
  <c r="H24" i="3"/>
  <c r="I24" i="3" s="1"/>
  <c r="H50" i="3"/>
  <c r="I50" i="3" s="1"/>
  <c r="J4" i="3"/>
  <c r="H3" i="3"/>
  <c r="H44" i="3"/>
  <c r="H11" i="3"/>
  <c r="H19" i="3"/>
  <c r="H20" i="3"/>
  <c r="H27" i="3"/>
  <c r="AD35" i="3"/>
  <c r="H23" i="3"/>
  <c r="I23" i="3" s="1"/>
  <c r="H43" i="3"/>
  <c r="H38" i="3"/>
  <c r="I38" i="3" s="1"/>
  <c r="AD51" i="3"/>
  <c r="H28" i="3"/>
  <c r="H46" i="3"/>
  <c r="H59" i="3"/>
  <c r="I59" i="3" s="1"/>
  <c r="J44" i="3"/>
  <c r="J52" i="3"/>
  <c r="J2" i="3"/>
  <c r="J7" i="3"/>
  <c r="J15" i="3"/>
  <c r="H31" i="3"/>
  <c r="H25" i="3"/>
  <c r="J55" i="3"/>
  <c r="J56" i="3"/>
  <c r="H63" i="3"/>
  <c r="J57" i="3"/>
  <c r="H29" i="3"/>
  <c r="J30" i="3"/>
  <c r="H37" i="3"/>
  <c r="J46" i="3"/>
  <c r="N35" i="3"/>
  <c r="H47" i="3"/>
  <c r="I47" i="3" s="1"/>
  <c r="N51" i="3"/>
  <c r="J26" i="3"/>
  <c r="H64" i="3"/>
  <c r="H13" i="3"/>
  <c r="H42" i="3"/>
  <c r="H48" i="3"/>
  <c r="I48" i="3" s="1"/>
  <c r="H49" i="3"/>
  <c r="J34" i="3"/>
  <c r="J42" i="3"/>
  <c r="J6" i="3"/>
  <c r="J21" i="3"/>
  <c r="J22" i="3"/>
  <c r="H40" i="3"/>
  <c r="H18" i="3"/>
  <c r="J37" i="3"/>
  <c r="J45" i="3"/>
  <c r="H53" i="3"/>
  <c r="H36" i="3"/>
  <c r="H33" i="3"/>
  <c r="J31" i="3"/>
  <c r="J54" i="3"/>
  <c r="J58" i="3"/>
  <c r="H32" i="3"/>
  <c r="J39" i="3"/>
  <c r="H5" i="3"/>
  <c r="H8" i="3"/>
  <c r="H39" i="3"/>
  <c r="H4" i="3"/>
  <c r="J20" i="3"/>
  <c r="H10" i="3"/>
  <c r="H55" i="3"/>
  <c r="J18" i="3"/>
  <c r="J41" i="3"/>
  <c r="J50" i="3"/>
  <c r="H57" i="3"/>
  <c r="J14" i="3"/>
  <c r="J38" i="3"/>
  <c r="J61" i="3"/>
  <c r="J5" i="3"/>
  <c r="H54" i="3"/>
  <c r="J36" i="3"/>
  <c r="H56" i="3"/>
  <c r="J47" i="3"/>
  <c r="H14" i="3"/>
  <c r="J23" i="3"/>
  <c r="H21" i="3"/>
  <c r="J19" i="3"/>
  <c r="H41" i="3"/>
  <c r="H6" i="3"/>
  <c r="J62" i="3"/>
  <c r="H22" i="3"/>
  <c r="H26" i="3"/>
  <c r="J63" i="3"/>
  <c r="J35" i="3"/>
  <c r="H34" i="3"/>
  <c r="I34" i="3" s="1"/>
  <c r="J16" i="3"/>
  <c r="J59" i="3"/>
  <c r="J32" i="3"/>
  <c r="J25" i="3"/>
  <c r="J10" i="3"/>
  <c r="H61" i="3"/>
  <c r="J40" i="3"/>
  <c r="J33" i="3"/>
  <c r="J49" i="3"/>
  <c r="J13" i="3"/>
  <c r="J8" i="3"/>
  <c r="J29" i="3"/>
  <c r="J24" i="3"/>
  <c r="J3" i="3"/>
  <c r="J11" i="3"/>
  <c r="H45" i="3"/>
  <c r="J53" i="3"/>
  <c r="J48" i="3"/>
  <c r="J27" i="3"/>
  <c r="H30" i="3"/>
  <c r="J64" i="3"/>
  <c r="J43" i="3"/>
  <c r="J51" i="3"/>
  <c r="J9" i="3"/>
  <c r="J17" i="3"/>
  <c r="I83" i="1"/>
  <c r="J83" i="1" s="1"/>
  <c r="K83" i="1" s="1"/>
  <c r="L83" i="1" s="1"/>
  <c r="I84" i="1"/>
  <c r="J84" i="1" s="1"/>
  <c r="K84" i="1" s="1"/>
  <c r="L84" i="1" s="1"/>
  <c r="K32" i="1"/>
  <c r="L32" i="1" s="1"/>
  <c r="I68" i="1"/>
  <c r="J68" i="1" s="1"/>
  <c r="K68" i="1" s="1"/>
  <c r="L68" i="1" s="1"/>
  <c r="H52" i="1"/>
  <c r="K52" i="1" s="1"/>
  <c r="L52" i="1" s="1"/>
  <c r="H53" i="1"/>
  <c r="K53" i="1" s="1"/>
  <c r="L53" i="1" s="1"/>
  <c r="I51" i="1"/>
  <c r="J51" i="1" s="1"/>
  <c r="K51" i="1" s="1"/>
  <c r="L51" i="1" s="1"/>
  <c r="H90" i="1"/>
  <c r="K90" i="1" s="1"/>
  <c r="L90" i="1" s="1"/>
  <c r="H74" i="1"/>
  <c r="K74" i="1" s="1"/>
  <c r="L74" i="1" s="1"/>
  <c r="I87" i="1"/>
  <c r="J87" i="1" s="1"/>
  <c r="K87" i="1" s="1"/>
  <c r="L87" i="1" s="1"/>
  <c r="H78" i="1"/>
  <c r="K78" i="1" s="1"/>
  <c r="L78" i="1" s="1"/>
  <c r="I62" i="1"/>
  <c r="J62" i="1" s="1"/>
  <c r="K62" i="1" s="1"/>
  <c r="L62" i="1" s="1"/>
  <c r="K85" i="1"/>
  <c r="L85" i="1" s="1"/>
  <c r="K49" i="1"/>
  <c r="L49" i="1" s="1"/>
  <c r="K81" i="1"/>
  <c r="L81" i="1" s="1"/>
  <c r="K73" i="1"/>
  <c r="L73" i="1" s="1"/>
  <c r="L60" i="1"/>
  <c r="L69" i="1"/>
  <c r="L57" i="1"/>
  <c r="L65" i="1"/>
  <c r="L45" i="1"/>
  <c r="L61" i="1"/>
  <c r="L37" i="1"/>
  <c r="L36" i="1"/>
  <c r="I71" i="1"/>
  <c r="J71" i="1" s="1"/>
  <c r="K71" i="1" s="1"/>
  <c r="I31" i="1"/>
  <c r="J31" i="1" s="1"/>
  <c r="H31" i="1"/>
  <c r="K31" i="1" s="1"/>
  <c r="I30" i="1"/>
  <c r="J30" i="1" s="1"/>
  <c r="H30" i="1"/>
  <c r="H50" i="1"/>
  <c r="I50" i="1"/>
  <c r="J50" i="1" s="1"/>
  <c r="L41" i="1"/>
  <c r="L33" i="1"/>
  <c r="L28" i="1"/>
  <c r="I42" i="1"/>
  <c r="J42" i="1" s="1"/>
  <c r="H42" i="1"/>
  <c r="I88" i="1"/>
  <c r="J88" i="1" s="1"/>
  <c r="K88" i="1" s="1"/>
  <c r="I63" i="1"/>
  <c r="J63" i="1" s="1"/>
  <c r="K63" i="1" s="1"/>
  <c r="L76" i="1"/>
  <c r="I75" i="1"/>
  <c r="J75" i="1" s="1"/>
  <c r="K75" i="1" s="1"/>
  <c r="I35" i="1"/>
  <c r="J35" i="1" s="1"/>
  <c r="H35" i="1"/>
  <c r="H82" i="1"/>
  <c r="K82" i="1" s="1"/>
  <c r="H67" i="1"/>
  <c r="H56" i="1"/>
  <c r="K56" i="1" s="1"/>
  <c r="I54" i="1"/>
  <c r="J54" i="1" s="1"/>
  <c r="H54" i="1"/>
  <c r="H34" i="1"/>
  <c r="I34" i="1"/>
  <c r="J34" i="1" s="1"/>
  <c r="I55" i="1"/>
  <c r="J55" i="1" s="1"/>
  <c r="H55" i="1"/>
  <c r="I67" i="1"/>
  <c r="J67" i="1" s="1"/>
  <c r="H70" i="1"/>
  <c r="K70" i="1" s="1"/>
  <c r="I47" i="1"/>
  <c r="J47" i="1" s="1"/>
  <c r="H47" i="1"/>
  <c r="I46" i="1"/>
  <c r="J46" i="1" s="1"/>
  <c r="H46" i="1"/>
  <c r="I48" i="1"/>
  <c r="J48" i="1" s="1"/>
  <c r="K48" i="1" s="1"/>
  <c r="I66" i="1"/>
  <c r="J66" i="1" s="1"/>
  <c r="H66" i="1"/>
  <c r="L89" i="1"/>
  <c r="I64" i="1"/>
  <c r="J64" i="1" s="1"/>
  <c r="H64" i="1"/>
  <c r="I91" i="1"/>
  <c r="J91" i="1" s="1"/>
  <c r="K91" i="1" s="1"/>
  <c r="I59" i="1"/>
  <c r="J59" i="1" s="1"/>
  <c r="K59" i="1" s="1"/>
  <c r="I79" i="1"/>
  <c r="J79" i="1" s="1"/>
  <c r="K79" i="1" s="1"/>
  <c r="I39" i="1"/>
  <c r="J39" i="1" s="1"/>
  <c r="H39" i="1"/>
  <c r="I38" i="1"/>
  <c r="J38" i="1" s="1"/>
  <c r="H38" i="1"/>
  <c r="K38" i="1" s="1"/>
  <c r="I80" i="1"/>
  <c r="J80" i="1" s="1"/>
  <c r="K80" i="1" s="1"/>
  <c r="H86" i="1"/>
  <c r="K86" i="1" s="1"/>
  <c r="H58" i="1"/>
  <c r="K58" i="1" s="1"/>
  <c r="I40" i="1"/>
  <c r="J40" i="1" s="1"/>
  <c r="H40" i="1"/>
  <c r="I72" i="1"/>
  <c r="J72" i="1" s="1"/>
  <c r="K72" i="1" s="1"/>
  <c r="I43" i="1"/>
  <c r="J43" i="1" s="1"/>
  <c r="K43" i="1" s="1"/>
  <c r="I58" i="3" l="1"/>
  <c r="L22" i="3"/>
  <c r="N22" i="3" s="1"/>
  <c r="L57" i="3"/>
  <c r="N57" i="3" s="1"/>
  <c r="L33" i="3"/>
  <c r="N33" i="3" s="1"/>
  <c r="L13" i="3"/>
  <c r="N13" i="3" s="1"/>
  <c r="L25" i="3"/>
  <c r="N25" i="3" s="1"/>
  <c r="L20" i="3"/>
  <c r="AD20" i="3" s="1"/>
  <c r="L60" i="3"/>
  <c r="N60" i="3" s="1"/>
  <c r="P60" i="3" s="1"/>
  <c r="L2" i="3"/>
  <c r="AD2" i="3" s="1"/>
  <c r="I42" i="3"/>
  <c r="M42" i="3" s="1"/>
  <c r="L6" i="3"/>
  <c r="N6" i="3" s="1"/>
  <c r="L53" i="3"/>
  <c r="N53" i="3" s="1"/>
  <c r="L64" i="3"/>
  <c r="N64" i="3" s="1"/>
  <c r="P64" i="3" s="1"/>
  <c r="L11" i="3"/>
  <c r="AD11" i="3" s="1"/>
  <c r="M11" i="3"/>
  <c r="L36" i="3"/>
  <c r="N36" i="3" s="1"/>
  <c r="P36" i="3" s="1"/>
  <c r="L41" i="3"/>
  <c r="N41" i="3" s="1"/>
  <c r="P41" i="3" s="1"/>
  <c r="L44" i="3"/>
  <c r="N44" i="3" s="1"/>
  <c r="P44" i="3" s="1"/>
  <c r="L58" i="3"/>
  <c r="M58" i="3"/>
  <c r="I11" i="3"/>
  <c r="L31" i="3"/>
  <c r="N31" i="3" s="1"/>
  <c r="L55" i="3"/>
  <c r="N55" i="3" s="1"/>
  <c r="L3" i="3"/>
  <c r="AD3" i="3" s="1"/>
  <c r="L21" i="3"/>
  <c r="N21" i="3" s="1"/>
  <c r="L10" i="3"/>
  <c r="N10" i="3" s="1"/>
  <c r="L18" i="3"/>
  <c r="N18" i="3" s="1"/>
  <c r="P18" i="3" s="1"/>
  <c r="M18" i="3"/>
  <c r="L61" i="3"/>
  <c r="N61" i="3" s="1"/>
  <c r="P61" i="3" s="1"/>
  <c r="L40" i="3"/>
  <c r="N40" i="3" s="1"/>
  <c r="L47" i="3"/>
  <c r="N47" i="3" s="1"/>
  <c r="P47" i="3" s="1"/>
  <c r="M47" i="3"/>
  <c r="L50" i="3"/>
  <c r="AD50" i="3" s="1"/>
  <c r="M50" i="3"/>
  <c r="L12" i="3"/>
  <c r="M12" i="3"/>
  <c r="I18" i="3"/>
  <c r="L59" i="3"/>
  <c r="AD59" i="3" s="1"/>
  <c r="M59" i="3"/>
  <c r="L24" i="3"/>
  <c r="M24" i="3"/>
  <c r="L62" i="3"/>
  <c r="AD62" i="3" s="1"/>
  <c r="L26" i="3"/>
  <c r="N26" i="3" s="1"/>
  <c r="P26" i="3" s="1"/>
  <c r="L30" i="3"/>
  <c r="N30" i="3" s="1"/>
  <c r="P30" i="3" s="1"/>
  <c r="L39" i="3"/>
  <c r="N39" i="3" s="1"/>
  <c r="L46" i="3"/>
  <c r="AD46" i="3" s="1"/>
  <c r="L17" i="3"/>
  <c r="AD17" i="3" s="1"/>
  <c r="I30" i="3"/>
  <c r="M30" i="3" s="1"/>
  <c r="L19" i="3"/>
  <c r="AD19" i="3" s="1"/>
  <c r="L56" i="3"/>
  <c r="N56" i="3" s="1"/>
  <c r="L8" i="3"/>
  <c r="N8" i="3" s="1"/>
  <c r="P8" i="3" s="1"/>
  <c r="L37" i="3"/>
  <c r="N37" i="3" s="1"/>
  <c r="L28" i="3"/>
  <c r="N28" i="3" s="1"/>
  <c r="L16" i="3"/>
  <c r="AD16" i="3" s="1"/>
  <c r="L65" i="3"/>
  <c r="N65" i="3" s="1"/>
  <c r="P65" i="3" s="1"/>
  <c r="L14" i="3"/>
  <c r="N14" i="3" s="1"/>
  <c r="P14" i="3" s="1"/>
  <c r="L5" i="3"/>
  <c r="N5" i="3" s="1"/>
  <c r="P5" i="3" s="1"/>
  <c r="L15" i="3"/>
  <c r="AD15" i="3" s="1"/>
  <c r="I60" i="3"/>
  <c r="M60" i="3" s="1"/>
  <c r="L27" i="3"/>
  <c r="N27" i="3" s="1"/>
  <c r="P27" i="3" s="1"/>
  <c r="L54" i="3"/>
  <c r="N54" i="3" s="1"/>
  <c r="L29" i="3"/>
  <c r="N29" i="3" s="1"/>
  <c r="P29" i="3" s="1"/>
  <c r="L38" i="3"/>
  <c r="N38" i="3" s="1"/>
  <c r="P38" i="3" s="1"/>
  <c r="M38" i="3"/>
  <c r="L9" i="3"/>
  <c r="AD9" i="3" s="1"/>
  <c r="M9" i="3"/>
  <c r="L4" i="3"/>
  <c r="N4" i="3" s="1"/>
  <c r="L45" i="3"/>
  <c r="N45" i="3" s="1"/>
  <c r="P45" i="3" s="1"/>
  <c r="L34" i="3"/>
  <c r="N34" i="3" s="1"/>
  <c r="P34" i="3" s="1"/>
  <c r="M34" i="3"/>
  <c r="L32" i="3"/>
  <c r="N32" i="3" s="1"/>
  <c r="P32" i="3" s="1"/>
  <c r="L49" i="3"/>
  <c r="N49" i="3" s="1"/>
  <c r="P49" i="3" s="1"/>
  <c r="L43" i="3"/>
  <c r="N43" i="3" s="1"/>
  <c r="L7" i="3"/>
  <c r="AD7" i="3" s="1"/>
  <c r="L48" i="3"/>
  <c r="N48" i="3" s="1"/>
  <c r="M48" i="3"/>
  <c r="L63" i="3"/>
  <c r="N63" i="3" s="1"/>
  <c r="L23" i="3"/>
  <c r="N23" i="3" s="1"/>
  <c r="P23" i="3" s="1"/>
  <c r="M23" i="3"/>
  <c r="L52" i="3"/>
  <c r="AD52" i="3" s="1"/>
  <c r="L66" i="3"/>
  <c r="N66" i="3" s="1"/>
  <c r="P66" i="3" s="1"/>
  <c r="I65" i="3"/>
  <c r="M65" i="3" s="1"/>
  <c r="I17" i="3"/>
  <c r="M17" i="3" s="1"/>
  <c r="I36" i="3"/>
  <c r="M36" i="3" s="1"/>
  <c r="I66" i="3"/>
  <c r="M66" i="3" s="1"/>
  <c r="I26" i="3"/>
  <c r="M26" i="3" s="1"/>
  <c r="I32" i="3"/>
  <c r="M32" i="3" s="1"/>
  <c r="I13" i="3"/>
  <c r="M13" i="3" s="1"/>
  <c r="I49" i="3"/>
  <c r="M49" i="3" s="1"/>
  <c r="I29" i="3"/>
  <c r="M29" i="3" s="1"/>
  <c r="I55" i="3"/>
  <c r="M55" i="3" s="1"/>
  <c r="I57" i="3"/>
  <c r="M57" i="3" s="1"/>
  <c r="I14" i="3"/>
  <c r="M14" i="3" s="1"/>
  <c r="I43" i="3"/>
  <c r="M43" i="3" s="1"/>
  <c r="I21" i="3"/>
  <c r="M21" i="3" s="1"/>
  <c r="I7" i="3"/>
  <c r="M7" i="3" s="1"/>
  <c r="I54" i="3"/>
  <c r="M54" i="3" s="1"/>
  <c r="I53" i="3"/>
  <c r="M53" i="3" s="1"/>
  <c r="I15" i="3"/>
  <c r="M15" i="3" s="1"/>
  <c r="I63" i="3"/>
  <c r="M63" i="3" s="1"/>
  <c r="I20" i="3"/>
  <c r="M20" i="3" s="1"/>
  <c r="N9" i="3"/>
  <c r="I19" i="3"/>
  <c r="M19" i="3" s="1"/>
  <c r="I33" i="3"/>
  <c r="M33" i="3" s="1"/>
  <c r="I62" i="3"/>
  <c r="M62" i="3" s="1"/>
  <c r="I2" i="3"/>
  <c r="M2" i="3" s="1"/>
  <c r="I16" i="3"/>
  <c r="M16" i="3" s="1"/>
  <c r="I39" i="3"/>
  <c r="M39" i="3" s="1"/>
  <c r="I31" i="3"/>
  <c r="M31" i="3" s="1"/>
  <c r="I64" i="3"/>
  <c r="M64" i="3" s="1"/>
  <c r="I5" i="3"/>
  <c r="M5" i="3" s="1"/>
  <c r="I45" i="3"/>
  <c r="M45" i="3" s="1"/>
  <c r="I44" i="3"/>
  <c r="M44" i="3" s="1"/>
  <c r="I28" i="3"/>
  <c r="M28" i="3" s="1"/>
  <c r="I41" i="3"/>
  <c r="M41" i="3" s="1"/>
  <c r="I10" i="3"/>
  <c r="M10" i="3" s="1"/>
  <c r="I56" i="3"/>
  <c r="M56" i="3" s="1"/>
  <c r="I27" i="3"/>
  <c r="M27" i="3" s="1"/>
  <c r="I52" i="3"/>
  <c r="M52" i="3" s="1"/>
  <c r="I61" i="3"/>
  <c r="M61" i="3" s="1"/>
  <c r="I22" i="3"/>
  <c r="M22" i="3" s="1"/>
  <c r="I37" i="3"/>
  <c r="M37" i="3" s="1"/>
  <c r="I4" i="3"/>
  <c r="M4" i="3" s="1"/>
  <c r="I46" i="3"/>
  <c r="M46" i="3" s="1"/>
  <c r="I40" i="3"/>
  <c r="M40" i="3" s="1"/>
  <c r="I3" i="3"/>
  <c r="M3" i="3" s="1"/>
  <c r="I8" i="3"/>
  <c r="M8" i="3" s="1"/>
  <c r="I25" i="3"/>
  <c r="M25" i="3" s="1"/>
  <c r="I6" i="3"/>
  <c r="M6" i="3" s="1"/>
  <c r="N3" i="3"/>
  <c r="P3" i="3" s="1"/>
  <c r="N50" i="3"/>
  <c r="P50" i="3" s="1"/>
  <c r="K30" i="1"/>
  <c r="L42" i="3"/>
  <c r="N42" i="3" s="1"/>
  <c r="P42" i="3" s="1"/>
  <c r="N20" i="3"/>
  <c r="P20" i="3" s="1"/>
  <c r="N15" i="3"/>
  <c r="P15" i="3" s="1"/>
  <c r="K67" i="1"/>
  <c r="AD28" i="3"/>
  <c r="K47" i="1"/>
  <c r="N59" i="3"/>
  <c r="P59" i="3" s="1"/>
  <c r="K39" i="1"/>
  <c r="AD43" i="3"/>
  <c r="N16" i="3"/>
  <c r="P16" i="3" s="1"/>
  <c r="N19" i="3"/>
  <c r="P19" i="3" s="1"/>
  <c r="AD63" i="3"/>
  <c r="AD45" i="3"/>
  <c r="AD13" i="3"/>
  <c r="AD48" i="3"/>
  <c r="AD56" i="3"/>
  <c r="AD55" i="3"/>
  <c r="AD10" i="3"/>
  <c r="AD31" i="3"/>
  <c r="AD40" i="3"/>
  <c r="AD22" i="3"/>
  <c r="AD39" i="3"/>
  <c r="AD21" i="3"/>
  <c r="AD44" i="3"/>
  <c r="AD34" i="3"/>
  <c r="AD33" i="3"/>
  <c r="AD25" i="3"/>
  <c r="AD37" i="3"/>
  <c r="AD54" i="3"/>
  <c r="AD6" i="3"/>
  <c r="AD57" i="3"/>
  <c r="AD53" i="3"/>
  <c r="AD4" i="3"/>
  <c r="AD29" i="3"/>
  <c r="AD49" i="3"/>
  <c r="P22" i="3"/>
  <c r="P57" i="3"/>
  <c r="P33" i="3"/>
  <c r="P43" i="3"/>
  <c r="P48" i="3"/>
  <c r="P53" i="3"/>
  <c r="P35" i="3"/>
  <c r="P63" i="3"/>
  <c r="P13" i="3"/>
  <c r="P55" i="3"/>
  <c r="P51" i="3"/>
  <c r="P21" i="3"/>
  <c r="P10" i="3"/>
  <c r="P9" i="3"/>
  <c r="P25" i="3"/>
  <c r="P40" i="3"/>
  <c r="P31" i="3"/>
  <c r="P4" i="3"/>
  <c r="P37" i="3"/>
  <c r="P6" i="3"/>
  <c r="P39" i="3"/>
  <c r="P56" i="3"/>
  <c r="P28" i="3"/>
  <c r="P54" i="3"/>
  <c r="K54" i="1"/>
  <c r="L54" i="1" s="1"/>
  <c r="K40" i="1"/>
  <c r="L40" i="1" s="1"/>
  <c r="K35" i="1"/>
  <c r="L35" i="1" s="1"/>
  <c r="K64" i="1"/>
  <c r="L64" i="1" s="1"/>
  <c r="L75" i="1"/>
  <c r="L48" i="1"/>
  <c r="L79" i="1"/>
  <c r="L91" i="1"/>
  <c r="L59" i="1"/>
  <c r="L43" i="1"/>
  <c r="L56" i="1"/>
  <c r="L80" i="1"/>
  <c r="K46" i="1"/>
  <c r="L82" i="1"/>
  <c r="L67" i="1"/>
  <c r="L39" i="1"/>
  <c r="L63" i="1"/>
  <c r="L58" i="1"/>
  <c r="L88" i="1"/>
  <c r="L70" i="1"/>
  <c r="K50" i="1"/>
  <c r="L47" i="1"/>
  <c r="L38" i="1"/>
  <c r="K55" i="1"/>
  <c r="K42" i="1"/>
  <c r="L31" i="1"/>
  <c r="K34" i="1"/>
  <c r="L71" i="1"/>
  <c r="L72" i="1"/>
  <c r="L86" i="1"/>
  <c r="K66" i="1"/>
  <c r="L66" i="1" s="1"/>
  <c r="M67" i="3" l="1"/>
  <c r="AD30" i="3"/>
  <c r="N46" i="3"/>
  <c r="P46" i="3" s="1"/>
  <c r="N17" i="3"/>
  <c r="P17" i="3" s="1"/>
  <c r="AD36" i="3"/>
  <c r="AD27" i="3"/>
  <c r="AD47" i="3"/>
  <c r="AD61" i="3"/>
  <c r="AD38" i="3"/>
  <c r="AD32" i="3"/>
  <c r="AD64" i="3"/>
  <c r="AD5" i="3"/>
  <c r="AD18" i="3"/>
  <c r="AD26" i="3"/>
  <c r="AD14" i="3"/>
  <c r="N11" i="3"/>
  <c r="P11" i="3" s="1"/>
  <c r="L67" i="3"/>
  <c r="V44" i="3" s="1"/>
  <c r="W44" i="3" s="1"/>
  <c r="N62" i="3"/>
  <c r="P62" i="3" s="1"/>
  <c r="AD8" i="3"/>
  <c r="AD23" i="3"/>
  <c r="AD41" i="3"/>
  <c r="N2" i="3"/>
  <c r="P2" i="3" s="1"/>
  <c r="AD12" i="3"/>
  <c r="N12" i="3"/>
  <c r="P12" i="3" s="1"/>
  <c r="AD24" i="3"/>
  <c r="N24" i="3"/>
  <c r="P24" i="3" s="1"/>
  <c r="N52" i="3"/>
  <c r="P52" i="3" s="1"/>
  <c r="AD60" i="3"/>
  <c r="N7" i="3"/>
  <c r="P7" i="3" s="1"/>
  <c r="AD58" i="3"/>
  <c r="N58" i="3"/>
  <c r="P58" i="3" s="1"/>
  <c r="AD42" i="3"/>
  <c r="L42" i="1"/>
  <c r="L55" i="1"/>
  <c r="L50" i="1"/>
  <c r="L30" i="1"/>
  <c r="B17" i="1" s="1"/>
  <c r="L34" i="1"/>
  <c r="L46" i="1"/>
  <c r="P67" i="3" l="1"/>
  <c r="Q2" i="3" s="1"/>
  <c r="R2" i="3" s="1"/>
  <c r="P69" i="3"/>
  <c r="M28" i="1"/>
  <c r="N28" i="1" s="1"/>
  <c r="M29" i="1"/>
  <c r="M98" i="1"/>
  <c r="N98" i="1" s="1"/>
  <c r="M95" i="1"/>
  <c r="N95" i="1" s="1"/>
  <c r="M103" i="1"/>
  <c r="N103" i="1" s="1"/>
  <c r="M111" i="1"/>
  <c r="N111" i="1" s="1"/>
  <c r="M107" i="1"/>
  <c r="N107" i="1" s="1"/>
  <c r="M94" i="1"/>
  <c r="N94" i="1" s="1"/>
  <c r="M124" i="1"/>
  <c r="N124" i="1" s="1"/>
  <c r="M120" i="1"/>
  <c r="N120" i="1" s="1"/>
  <c r="M116" i="1"/>
  <c r="N116" i="1" s="1"/>
  <c r="M112" i="1"/>
  <c r="N112" i="1" s="1"/>
  <c r="M108" i="1"/>
  <c r="N108" i="1" s="1"/>
  <c r="M97" i="1"/>
  <c r="N97" i="1" s="1"/>
  <c r="M101" i="1"/>
  <c r="N101" i="1" s="1"/>
  <c r="M102" i="1"/>
  <c r="N102" i="1" s="1"/>
  <c r="M115" i="1"/>
  <c r="N115" i="1" s="1"/>
  <c r="M125" i="1"/>
  <c r="N125" i="1" s="1"/>
  <c r="M122" i="1"/>
  <c r="N122" i="1" s="1"/>
  <c r="M92" i="1"/>
  <c r="N92" i="1" s="1"/>
  <c r="M104" i="1"/>
  <c r="N104" i="1" s="1"/>
  <c r="M52" i="1"/>
  <c r="N52" i="1" s="1"/>
  <c r="M113" i="1"/>
  <c r="N113" i="1" s="1"/>
  <c r="M105" i="1"/>
  <c r="N105" i="1" s="1"/>
  <c r="M100" i="1"/>
  <c r="N100" i="1" s="1"/>
  <c r="M127" i="1"/>
  <c r="N127" i="1" s="1"/>
  <c r="M123" i="1"/>
  <c r="N123" i="1" s="1"/>
  <c r="M96" i="1"/>
  <c r="N96" i="1" s="1"/>
  <c r="M121" i="1"/>
  <c r="N121" i="1" s="1"/>
  <c r="M109" i="1"/>
  <c r="N109" i="1" s="1"/>
  <c r="M99" i="1"/>
  <c r="N99" i="1" s="1"/>
  <c r="M110" i="1"/>
  <c r="N110" i="1" s="1"/>
  <c r="M119" i="1"/>
  <c r="N119" i="1" s="1"/>
  <c r="M106" i="1"/>
  <c r="N106" i="1" s="1"/>
  <c r="M118" i="1"/>
  <c r="N118" i="1" s="1"/>
  <c r="M114" i="1"/>
  <c r="N114" i="1" s="1"/>
  <c r="M44" i="1"/>
  <c r="N44" i="1" s="1"/>
  <c r="M126" i="1"/>
  <c r="N126" i="1" s="1"/>
  <c r="M117" i="1"/>
  <c r="N117" i="1" s="1"/>
  <c r="M93" i="1"/>
  <c r="N93" i="1" s="1"/>
  <c r="M60" i="1"/>
  <c r="N60" i="1" s="1"/>
  <c r="M62" i="1"/>
  <c r="N62" i="1" s="1"/>
  <c r="M90" i="1"/>
  <c r="N90" i="1" s="1"/>
  <c r="M77" i="1"/>
  <c r="N77" i="1" s="1"/>
  <c r="M45" i="1"/>
  <c r="N45" i="1" s="1"/>
  <c r="M41" i="1"/>
  <c r="N41" i="1" s="1"/>
  <c r="N29" i="1"/>
  <c r="M89" i="1"/>
  <c r="N89" i="1" s="1"/>
  <c r="M36" i="1"/>
  <c r="N36" i="1" s="1"/>
  <c r="M69" i="1"/>
  <c r="N69" i="1" s="1"/>
  <c r="M61" i="1"/>
  <c r="N61" i="1" s="1"/>
  <c r="M37" i="1"/>
  <c r="N37" i="1" s="1"/>
  <c r="M83" i="1"/>
  <c r="N83" i="1" s="1"/>
  <c r="M57" i="1"/>
  <c r="N57" i="1" s="1"/>
  <c r="M78" i="1"/>
  <c r="N78" i="1" s="1"/>
  <c r="M76" i="1"/>
  <c r="N76" i="1" s="1"/>
  <c r="M53" i="1"/>
  <c r="N53" i="1" s="1"/>
  <c r="M51" i="1"/>
  <c r="N51" i="1" s="1"/>
  <c r="M49" i="1"/>
  <c r="N49" i="1" s="1"/>
  <c r="M81" i="1"/>
  <c r="N81" i="1" s="1"/>
  <c r="M73" i="1"/>
  <c r="N73" i="1" s="1"/>
  <c r="M87" i="1"/>
  <c r="N87" i="1" s="1"/>
  <c r="M32" i="1"/>
  <c r="N32" i="1" s="1"/>
  <c r="M65" i="1"/>
  <c r="N65" i="1" s="1"/>
  <c r="M68" i="1"/>
  <c r="N68" i="1" s="1"/>
  <c r="M74" i="1"/>
  <c r="N74" i="1" s="1"/>
  <c r="M33" i="1"/>
  <c r="N33" i="1" s="1"/>
  <c r="M85" i="1"/>
  <c r="N85" i="1" s="1"/>
  <c r="M84" i="1"/>
  <c r="N84" i="1" s="1"/>
  <c r="M70" i="1"/>
  <c r="N70" i="1" s="1"/>
  <c r="M72" i="1"/>
  <c r="N72" i="1" s="1"/>
  <c r="M75" i="1"/>
  <c r="N75" i="1" s="1"/>
  <c r="M63" i="1"/>
  <c r="N63" i="1" s="1"/>
  <c r="M56" i="1"/>
  <c r="N56" i="1" s="1"/>
  <c r="M80" i="1"/>
  <c r="N80" i="1" s="1"/>
  <c r="M48" i="1"/>
  <c r="N48" i="1" s="1"/>
  <c r="M82" i="1"/>
  <c r="N82" i="1" s="1"/>
  <c r="M71" i="1"/>
  <c r="N71" i="1" s="1"/>
  <c r="M35" i="1"/>
  <c r="N35" i="1" s="1"/>
  <c r="O35" i="1" s="1"/>
  <c r="M31" i="1"/>
  <c r="N31" i="1" s="1"/>
  <c r="M67" i="1"/>
  <c r="N67" i="1" s="1"/>
  <c r="M54" i="1"/>
  <c r="N54" i="1" s="1"/>
  <c r="M47" i="1"/>
  <c r="N47" i="1" s="1"/>
  <c r="Q47" i="1" s="1"/>
  <c r="M86" i="1"/>
  <c r="N86" i="1" s="1"/>
  <c r="M59" i="1"/>
  <c r="N59" i="1" s="1"/>
  <c r="M88" i="1"/>
  <c r="N88" i="1" s="1"/>
  <c r="M79" i="1"/>
  <c r="N79" i="1" s="1"/>
  <c r="M39" i="1"/>
  <c r="N39" i="1" s="1"/>
  <c r="M38" i="1"/>
  <c r="N38" i="1" s="1"/>
  <c r="M43" i="1"/>
  <c r="N43" i="1" s="1"/>
  <c r="M58" i="1"/>
  <c r="N58" i="1" s="1"/>
  <c r="M40" i="1"/>
  <c r="N40" i="1" s="1"/>
  <c r="M64" i="1"/>
  <c r="N64" i="1" s="1"/>
  <c r="M91" i="1"/>
  <c r="N91" i="1" s="1"/>
  <c r="M34" i="1"/>
  <c r="N34" i="1" s="1"/>
  <c r="P34" i="1" s="1"/>
  <c r="M55" i="1"/>
  <c r="N55" i="1" s="1"/>
  <c r="M42" i="1"/>
  <c r="N42" i="1" s="1"/>
  <c r="M46" i="1"/>
  <c r="N46" i="1" s="1"/>
  <c r="M30" i="1"/>
  <c r="N30" i="1" s="1"/>
  <c r="M66" i="1"/>
  <c r="N66" i="1" s="1"/>
  <c r="M50" i="1"/>
  <c r="N50" i="1" s="1"/>
  <c r="Q60" i="3" l="1"/>
  <c r="R60" i="3" s="1"/>
  <c r="S60" i="3" s="1"/>
  <c r="Q65" i="3"/>
  <c r="R65" i="3" s="1"/>
  <c r="S65" i="3" s="1"/>
  <c r="V41" i="3"/>
  <c r="Q26" i="3"/>
  <c r="R26" i="3" s="1"/>
  <c r="S26" i="3" s="1"/>
  <c r="Q55" i="3"/>
  <c r="R55" i="3" s="1"/>
  <c r="S55" i="3" s="1"/>
  <c r="Q38" i="3"/>
  <c r="R38" i="3" s="1"/>
  <c r="S38" i="3" s="1"/>
  <c r="Q15" i="3"/>
  <c r="R15" i="3" s="1"/>
  <c r="S15" i="3" s="1"/>
  <c r="Q10" i="3"/>
  <c r="R10" i="3" s="1"/>
  <c r="S10" i="3" s="1"/>
  <c r="Q8" i="3"/>
  <c r="R8" i="3" s="1"/>
  <c r="S8" i="3" s="1"/>
  <c r="Q39" i="3"/>
  <c r="R39" i="3" s="1"/>
  <c r="S39" i="3" s="1"/>
  <c r="Q11" i="3"/>
  <c r="R11" i="3" s="1"/>
  <c r="S11" i="3" s="1"/>
  <c r="Q36" i="3"/>
  <c r="R36" i="3" s="1"/>
  <c r="S36" i="3" s="1"/>
  <c r="Q58" i="3"/>
  <c r="R58" i="3" s="1"/>
  <c r="S58" i="3" s="1"/>
  <c r="Q24" i="3"/>
  <c r="R24" i="3" s="1"/>
  <c r="S24" i="3" s="1"/>
  <c r="Q27" i="3"/>
  <c r="R27" i="3" s="1"/>
  <c r="S27" i="3" s="1"/>
  <c r="Q66" i="3"/>
  <c r="R66" i="3" s="1"/>
  <c r="S66" i="3" s="1"/>
  <c r="Q32" i="3"/>
  <c r="R32" i="3" s="1"/>
  <c r="S32" i="3" s="1"/>
  <c r="Q44" i="3"/>
  <c r="R44" i="3" s="1"/>
  <c r="S44" i="3" s="1"/>
  <c r="Q59" i="3"/>
  <c r="R59" i="3" s="1"/>
  <c r="S59" i="3" s="1"/>
  <c r="Q63" i="3"/>
  <c r="R63" i="3" s="1"/>
  <c r="S63" i="3" s="1"/>
  <c r="Q29" i="3"/>
  <c r="R29" i="3" s="1"/>
  <c r="S29" i="3" s="1"/>
  <c r="Q43" i="3"/>
  <c r="R43" i="3" s="1"/>
  <c r="S43" i="3" s="1"/>
  <c r="Q50" i="3"/>
  <c r="R50" i="3" s="1"/>
  <c r="S50" i="3" s="1"/>
  <c r="Q40" i="3"/>
  <c r="R40" i="3" s="1"/>
  <c r="S40" i="3" s="1"/>
  <c r="Q35" i="3"/>
  <c r="R35" i="3" s="1"/>
  <c r="S35" i="3" s="1"/>
  <c r="Q46" i="3"/>
  <c r="R46" i="3" s="1"/>
  <c r="S46" i="3" s="1"/>
  <c r="Q41" i="3"/>
  <c r="R41" i="3" s="1"/>
  <c r="S41" i="3" s="1"/>
  <c r="Q13" i="3"/>
  <c r="R13" i="3" s="1"/>
  <c r="S13" i="3" s="1"/>
  <c r="Q51" i="3"/>
  <c r="R51" i="3" s="1"/>
  <c r="S51" i="3" s="1"/>
  <c r="Q19" i="3"/>
  <c r="R19" i="3" s="1"/>
  <c r="S19" i="3" s="1"/>
  <c r="Q9" i="3"/>
  <c r="R9" i="3" s="1"/>
  <c r="S9" i="3" s="1"/>
  <c r="Q56" i="3"/>
  <c r="R56" i="3" s="1"/>
  <c r="S56" i="3" s="1"/>
  <c r="Q14" i="3"/>
  <c r="R14" i="3" s="1"/>
  <c r="S14" i="3" s="1"/>
  <c r="Q52" i="3"/>
  <c r="R52" i="3" s="1"/>
  <c r="S52" i="3" s="1"/>
  <c r="Q42" i="3"/>
  <c r="R42" i="3" s="1"/>
  <c r="S42" i="3" s="1"/>
  <c r="Q34" i="3"/>
  <c r="R34" i="3" s="1"/>
  <c r="S34" i="3" s="1"/>
  <c r="Q47" i="3"/>
  <c r="R47" i="3" s="1"/>
  <c r="S47" i="3" s="1"/>
  <c r="Q48" i="3"/>
  <c r="R48" i="3" s="1"/>
  <c r="S48" i="3" s="1"/>
  <c r="Q17" i="3"/>
  <c r="R17" i="3" s="1"/>
  <c r="S17" i="3" s="1"/>
  <c r="Q64" i="3"/>
  <c r="R64" i="3" s="1"/>
  <c r="S64" i="3" s="1"/>
  <c r="Q22" i="3"/>
  <c r="R22" i="3" s="1"/>
  <c r="S22" i="3" s="1"/>
  <c r="Q33" i="3"/>
  <c r="R33" i="3" s="1"/>
  <c r="S33" i="3" s="1"/>
  <c r="Q30" i="3"/>
  <c r="R30" i="3" s="1"/>
  <c r="S30" i="3" s="1"/>
  <c r="Q61" i="3"/>
  <c r="R61" i="3" s="1"/>
  <c r="S61" i="3" s="1"/>
  <c r="Q53" i="3"/>
  <c r="R53" i="3" s="1"/>
  <c r="S53" i="3" s="1"/>
  <c r="Q5" i="3"/>
  <c r="R5" i="3" s="1"/>
  <c r="S5" i="3" s="1"/>
  <c r="Q25" i="3"/>
  <c r="R25" i="3" s="1"/>
  <c r="S25" i="3" s="1"/>
  <c r="Q49" i="3"/>
  <c r="R49" i="3" s="1"/>
  <c r="S49" i="3" s="1"/>
  <c r="Q6" i="3"/>
  <c r="R6" i="3" s="1"/>
  <c r="S6" i="3" s="1"/>
  <c r="Q12" i="3"/>
  <c r="R12" i="3" s="1"/>
  <c r="S12" i="3" s="1"/>
  <c r="Q31" i="3"/>
  <c r="R31" i="3" s="1"/>
  <c r="S31" i="3" s="1"/>
  <c r="Q18" i="3"/>
  <c r="R18" i="3" s="1"/>
  <c r="S18" i="3" s="1"/>
  <c r="Q57" i="3"/>
  <c r="R57" i="3" s="1"/>
  <c r="S57" i="3" s="1"/>
  <c r="Q28" i="3"/>
  <c r="R28" i="3" s="1"/>
  <c r="S28" i="3" s="1"/>
  <c r="Q16" i="3"/>
  <c r="R16" i="3" s="1"/>
  <c r="S16" i="3" s="1"/>
  <c r="Q7" i="3"/>
  <c r="R7" i="3" s="1"/>
  <c r="S7" i="3" s="1"/>
  <c r="Q23" i="3"/>
  <c r="R23" i="3" s="1"/>
  <c r="S23" i="3" s="1"/>
  <c r="Q54" i="3"/>
  <c r="R54" i="3" s="1"/>
  <c r="S54" i="3" s="1"/>
  <c r="Q21" i="3"/>
  <c r="R21" i="3" s="1"/>
  <c r="S21" i="3" s="1"/>
  <c r="Q4" i="3"/>
  <c r="R4" i="3" s="1"/>
  <c r="S4" i="3" s="1"/>
  <c r="Q37" i="3"/>
  <c r="R37" i="3" s="1"/>
  <c r="S37" i="3" s="1"/>
  <c r="Q20" i="3"/>
  <c r="R20" i="3" s="1"/>
  <c r="S20" i="3" s="1"/>
  <c r="Q62" i="3"/>
  <c r="R62" i="3" s="1"/>
  <c r="S62" i="3" s="1"/>
  <c r="Q3" i="3"/>
  <c r="R3" i="3" s="1"/>
  <c r="S3" i="3" s="1"/>
  <c r="Q45" i="3"/>
  <c r="R45" i="3" s="1"/>
  <c r="S45" i="3" s="1"/>
  <c r="S2" i="3"/>
  <c r="P66" i="1"/>
  <c r="Q66" i="1"/>
  <c r="O66" i="1"/>
  <c r="Q30" i="1"/>
  <c r="P30" i="1"/>
  <c r="O30" i="1"/>
  <c r="P67" i="1"/>
  <c r="O67" i="1"/>
  <c r="Q67" i="1"/>
  <c r="Q74" i="1"/>
  <c r="P74" i="1"/>
  <c r="O74" i="1"/>
  <c r="Q69" i="1"/>
  <c r="P69" i="1"/>
  <c r="O69" i="1"/>
  <c r="P106" i="1"/>
  <c r="Q106" i="1"/>
  <c r="O106" i="1"/>
  <c r="O125" i="1"/>
  <c r="Q125" i="1"/>
  <c r="P125" i="1"/>
  <c r="Q86" i="1"/>
  <c r="P86" i="1"/>
  <c r="O86" i="1"/>
  <c r="P46" i="1"/>
  <c r="Q46" i="1"/>
  <c r="O46" i="1"/>
  <c r="P55" i="1"/>
  <c r="O55" i="1"/>
  <c r="Q55" i="1"/>
  <c r="P31" i="1"/>
  <c r="O31" i="1"/>
  <c r="Q31" i="1"/>
  <c r="O68" i="1"/>
  <c r="Q68" i="1"/>
  <c r="P68" i="1"/>
  <c r="O36" i="1"/>
  <c r="Q36" i="1"/>
  <c r="P36" i="1"/>
  <c r="Q119" i="1"/>
  <c r="P119" i="1"/>
  <c r="O119" i="1"/>
  <c r="Q115" i="1"/>
  <c r="P115" i="1"/>
  <c r="O115" i="1"/>
  <c r="P114" i="1"/>
  <c r="Q114" i="1"/>
  <c r="O114" i="1"/>
  <c r="O34" i="1"/>
  <c r="Q34" i="1"/>
  <c r="P35" i="1"/>
  <c r="Q35" i="1"/>
  <c r="Q65" i="1"/>
  <c r="P65" i="1"/>
  <c r="O65" i="1"/>
  <c r="Q89" i="1"/>
  <c r="P89" i="1"/>
  <c r="O89" i="1"/>
  <c r="P110" i="1"/>
  <c r="Q110" i="1"/>
  <c r="O110" i="1"/>
  <c r="Q102" i="1"/>
  <c r="P102" i="1"/>
  <c r="O102" i="1"/>
  <c r="Q70" i="1"/>
  <c r="P70" i="1"/>
  <c r="O70" i="1"/>
  <c r="Q85" i="1"/>
  <c r="P85" i="1"/>
  <c r="O85" i="1"/>
  <c r="P91" i="1"/>
  <c r="O91" i="1"/>
  <c r="Q91" i="1"/>
  <c r="O32" i="1"/>
  <c r="P32" i="1"/>
  <c r="Q32" i="1"/>
  <c r="Q29" i="1"/>
  <c r="P29" i="1"/>
  <c r="O29" i="1"/>
  <c r="Q99" i="1"/>
  <c r="P99" i="1"/>
  <c r="O99" i="1"/>
  <c r="P101" i="1"/>
  <c r="O101" i="1"/>
  <c r="Q101" i="1"/>
  <c r="O28" i="1"/>
  <c r="Q28" i="1"/>
  <c r="P28" i="1"/>
  <c r="Q42" i="1"/>
  <c r="P42" i="1"/>
  <c r="O42" i="1"/>
  <c r="P71" i="1"/>
  <c r="O71" i="1"/>
  <c r="Q71" i="1"/>
  <c r="O64" i="1"/>
  <c r="Q64" i="1"/>
  <c r="P64" i="1"/>
  <c r="Q82" i="1"/>
  <c r="P82" i="1"/>
  <c r="O82" i="1"/>
  <c r="P87" i="1"/>
  <c r="O87" i="1"/>
  <c r="Q87" i="1"/>
  <c r="Q41" i="1"/>
  <c r="P41" i="1"/>
  <c r="O41" i="1"/>
  <c r="O109" i="1"/>
  <c r="Q109" i="1"/>
  <c r="P109" i="1"/>
  <c r="Q97" i="1"/>
  <c r="P97" i="1"/>
  <c r="O97" i="1"/>
  <c r="O40" i="1"/>
  <c r="Q40" i="1"/>
  <c r="P40" i="1"/>
  <c r="Q73" i="1"/>
  <c r="P73" i="1"/>
  <c r="O73" i="1"/>
  <c r="Q45" i="1"/>
  <c r="P45" i="1"/>
  <c r="O45" i="1"/>
  <c r="O121" i="1"/>
  <c r="Q121" i="1"/>
  <c r="P121" i="1"/>
  <c r="Q108" i="1"/>
  <c r="O108" i="1"/>
  <c r="P108" i="1"/>
  <c r="P59" i="1"/>
  <c r="O59" i="1"/>
  <c r="Q59" i="1"/>
  <c r="P80" i="1"/>
  <c r="O80" i="1"/>
  <c r="Q80" i="1"/>
  <c r="Q81" i="1"/>
  <c r="P81" i="1"/>
  <c r="O81" i="1"/>
  <c r="Q77" i="1"/>
  <c r="P77" i="1"/>
  <c r="O77" i="1"/>
  <c r="P96" i="1"/>
  <c r="Q96" i="1"/>
  <c r="O96" i="1"/>
  <c r="Q112" i="1"/>
  <c r="O112" i="1"/>
  <c r="P112" i="1"/>
  <c r="P84" i="1"/>
  <c r="O84" i="1"/>
  <c r="Q84" i="1"/>
  <c r="Q49" i="1"/>
  <c r="P49" i="1"/>
  <c r="O49" i="1"/>
  <c r="Q90" i="1"/>
  <c r="P90" i="1"/>
  <c r="O90" i="1"/>
  <c r="Q123" i="1"/>
  <c r="P123" i="1"/>
  <c r="O123" i="1"/>
  <c r="Q116" i="1"/>
  <c r="P116" i="1"/>
  <c r="O116" i="1"/>
  <c r="P37" i="1"/>
  <c r="O37" i="1"/>
  <c r="Q37" i="1"/>
  <c r="P43" i="1"/>
  <c r="O43" i="1"/>
  <c r="Q43" i="1"/>
  <c r="P38" i="1"/>
  <c r="O38" i="1"/>
  <c r="Q38" i="1"/>
  <c r="P63" i="1"/>
  <c r="O63" i="1"/>
  <c r="Q63" i="1"/>
  <c r="P51" i="1"/>
  <c r="O51" i="1"/>
  <c r="Q51" i="1"/>
  <c r="P62" i="1"/>
  <c r="O62" i="1"/>
  <c r="Q62" i="1"/>
  <c r="Q127" i="1"/>
  <c r="P127" i="1"/>
  <c r="O127" i="1"/>
  <c r="Q120" i="1"/>
  <c r="P120" i="1"/>
  <c r="O120" i="1"/>
  <c r="P83" i="1"/>
  <c r="O83" i="1"/>
  <c r="Q83" i="1"/>
  <c r="O48" i="1"/>
  <c r="Q48" i="1"/>
  <c r="P48" i="1"/>
  <c r="O56" i="1"/>
  <c r="Q56" i="1"/>
  <c r="P56" i="1"/>
  <c r="P39" i="1"/>
  <c r="O39" i="1"/>
  <c r="Q39" i="1"/>
  <c r="P75" i="1"/>
  <c r="O75" i="1"/>
  <c r="Q75" i="1"/>
  <c r="P53" i="1"/>
  <c r="O53" i="1"/>
  <c r="Q53" i="1"/>
  <c r="O60" i="1"/>
  <c r="Q60" i="1"/>
  <c r="P60" i="1"/>
  <c r="Q100" i="1"/>
  <c r="P100" i="1"/>
  <c r="O100" i="1"/>
  <c r="Q124" i="1"/>
  <c r="P124" i="1"/>
  <c r="O124" i="1"/>
  <c r="P88" i="1"/>
  <c r="O88" i="1"/>
  <c r="Q88" i="1"/>
  <c r="P47" i="1"/>
  <c r="O47" i="1"/>
  <c r="Q58" i="1"/>
  <c r="P58" i="1"/>
  <c r="O58" i="1"/>
  <c r="P79" i="1"/>
  <c r="O79" i="1"/>
  <c r="Q79" i="1"/>
  <c r="P72" i="1"/>
  <c r="O72" i="1"/>
  <c r="Q72" i="1"/>
  <c r="P76" i="1"/>
  <c r="O76" i="1"/>
  <c r="Q76" i="1"/>
  <c r="Q93" i="1"/>
  <c r="O93" i="1"/>
  <c r="P93" i="1"/>
  <c r="O105" i="1"/>
  <c r="Q105" i="1"/>
  <c r="P105" i="1"/>
  <c r="O94" i="1"/>
  <c r="Q94" i="1"/>
  <c r="P94" i="1"/>
  <c r="Q78" i="1"/>
  <c r="P78" i="1"/>
  <c r="O78" i="1"/>
  <c r="O117" i="1"/>
  <c r="Q117" i="1"/>
  <c r="P117" i="1"/>
  <c r="O113" i="1"/>
  <c r="Q113" i="1"/>
  <c r="P113" i="1"/>
  <c r="Q107" i="1"/>
  <c r="P107" i="1"/>
  <c r="O107" i="1"/>
  <c r="Q57" i="1"/>
  <c r="P57" i="1"/>
  <c r="O57" i="1"/>
  <c r="Q126" i="1"/>
  <c r="P126" i="1"/>
  <c r="O126" i="1"/>
  <c r="O52" i="1"/>
  <c r="Q52" i="1"/>
  <c r="P52" i="1"/>
  <c r="Q111" i="1"/>
  <c r="P111" i="1"/>
  <c r="O111" i="1"/>
  <c r="O44" i="1"/>
  <c r="Q44" i="1"/>
  <c r="P44" i="1"/>
  <c r="Q104" i="1"/>
  <c r="O104" i="1"/>
  <c r="P104" i="1"/>
  <c r="Q103" i="1"/>
  <c r="P103" i="1"/>
  <c r="O103" i="1"/>
  <c r="P92" i="1"/>
  <c r="O92" i="1"/>
  <c r="Q92" i="1"/>
  <c r="P95" i="1"/>
  <c r="Q95" i="1"/>
  <c r="O95" i="1"/>
  <c r="P50" i="1"/>
  <c r="Q50" i="1"/>
  <c r="O50" i="1"/>
  <c r="Q54" i="1"/>
  <c r="P54" i="1"/>
  <c r="O54" i="1"/>
  <c r="Q33" i="1"/>
  <c r="P33" i="1"/>
  <c r="O33" i="1"/>
  <c r="Q61" i="1"/>
  <c r="O61" i="1"/>
  <c r="P61" i="1"/>
  <c r="P118" i="1"/>
  <c r="Q118" i="1"/>
  <c r="O118" i="1"/>
  <c r="Q122" i="1"/>
  <c r="P122" i="1"/>
  <c r="O122" i="1"/>
  <c r="Q98" i="1"/>
  <c r="O98" i="1"/>
  <c r="P98" i="1"/>
  <c r="X41" i="3" l="1"/>
  <c r="V50" i="3" s="1"/>
  <c r="V42" i="3"/>
  <c r="S67" i="3"/>
  <c r="V43" i="3" s="1"/>
  <c r="X42" i="3"/>
  <c r="B23" i="1"/>
  <c r="B20" i="1"/>
  <c r="B19" i="1"/>
  <c r="B2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<sst xmlns="http://schemas.openxmlformats.org/spreadsheetml/2006/main" count="172" uniqueCount="134">
  <si>
    <t>Praktikumsversuch "Bestimmung der elektrischen Elementarladung nach Millikan"</t>
  </si>
  <si>
    <t>Wert</t>
  </si>
  <si>
    <t>Einheit</t>
  </si>
  <si>
    <t>Beschreibung</t>
  </si>
  <si>
    <t>16.09.2025</t>
  </si>
  <si>
    <t>Datum der Messung</t>
  </si>
  <si>
    <t>Namen der StudentInnen:</t>
  </si>
  <si>
    <t>Finn Zeumer, Annika Künstle</t>
  </si>
  <si>
    <t>V</t>
  </si>
  <si>
    <t>Spannung des Kondensators U</t>
  </si>
  <si>
    <t>Pa</t>
  </si>
  <si>
    <t>Luftdruck p</t>
  </si>
  <si>
    <t>Alles rote ist zu ändern, der Rest wird automatisch berechnet.</t>
  </si>
  <si>
    <t>oC</t>
  </si>
  <si>
    <t>Zimmertemperatur T</t>
  </si>
  <si>
    <t>C</t>
  </si>
  <si>
    <t>m</t>
  </si>
  <si>
    <t>Abstand der Kondensatorplatten d</t>
  </si>
  <si>
    <t>1 Skt</t>
  </si>
  <si>
    <t>C1 =</t>
  </si>
  <si>
    <t>VAs (s/m)**1.5</t>
  </si>
  <si>
    <r>
      <t xml:space="preserve">Zahl </t>
    </r>
    <r>
      <rPr>
        <sz val="10"/>
        <color theme="1"/>
        <rFont val="Symbol"/>
        <family val="1"/>
        <charset val="2"/>
      </rPr>
      <t>p</t>
    </r>
  </si>
  <si>
    <t>C2 =</t>
  </si>
  <si>
    <t>ms</t>
  </si>
  <si>
    <t>As</t>
  </si>
  <si>
    <t>Benutzte Ladungseinheit q0</t>
  </si>
  <si>
    <r>
      <t xml:space="preserve">r </t>
    </r>
    <r>
      <rPr>
        <sz val="10"/>
        <color theme="1"/>
        <rFont val="Arial1"/>
      </rPr>
      <t>=</t>
    </r>
    <r>
      <rPr>
        <sz val="10"/>
        <color theme="1"/>
        <rFont val="Symbol"/>
        <family val="1"/>
        <charset val="2"/>
      </rPr>
      <t xml:space="preserve"> r1-r2 =</t>
    </r>
  </si>
  <si>
    <t>kg/m³</t>
  </si>
  <si>
    <t>Ns/m²</t>
  </si>
  <si>
    <r>
      <t xml:space="preserve">Viskosität der Luft </t>
    </r>
    <r>
      <rPr>
        <sz val="10"/>
        <color theme="1"/>
        <rFont val="Symbol"/>
        <family val="1"/>
        <charset val="2"/>
      </rPr>
      <t>h0</t>
    </r>
    <r>
      <rPr>
        <sz val="10"/>
        <color theme="1"/>
        <rFont val="Arial"/>
        <family val="2"/>
      </rPr>
      <t xml:space="preserve"> (unkorrigiert)</t>
    </r>
  </si>
  <si>
    <t>b =</t>
  </si>
  <si>
    <t>Pa m</t>
  </si>
  <si>
    <r>
      <t xml:space="preserve">Dichte des Öls </t>
    </r>
    <r>
      <rPr>
        <sz val="10"/>
        <color theme="1"/>
        <rFont val="Symbol"/>
        <family val="1"/>
        <charset val="2"/>
      </rPr>
      <t>r1</t>
    </r>
  </si>
  <si>
    <r>
      <t xml:space="preserve">Dichte der Luft </t>
    </r>
    <r>
      <rPr>
        <sz val="10"/>
        <color theme="1"/>
        <rFont val="Symbol"/>
        <family val="1"/>
        <charset val="2"/>
      </rPr>
      <t>r2</t>
    </r>
  </si>
  <si>
    <t>m/s²</t>
  </si>
  <si>
    <t>Erdbeschleunigung g</t>
  </si>
  <si>
    <t>Oberere Grenze der Ladung für einfach geladene Tröpfchen</t>
  </si>
  <si>
    <t>f</t>
  </si>
  <si>
    <r>
      <t xml:space="preserve">Korrekturfaktor für </t>
    </r>
    <r>
      <rPr>
        <sz val="10"/>
        <color theme="1"/>
        <rFont val="Symbol"/>
        <family val="1"/>
        <charset val="2"/>
      </rPr>
      <t>h</t>
    </r>
  </si>
  <si>
    <t>Mittelwert Q1m der einfach mit Q1 geladenen Tröpfchen</t>
  </si>
  <si>
    <t>Q</t>
  </si>
  <si>
    <t xml:space="preserve">  Ladung der gemessenen Tröpfchen</t>
  </si>
  <si>
    <t>Q1</t>
  </si>
  <si>
    <t xml:space="preserve">  Ladung der einfach geladenen Tröpchen</t>
  </si>
  <si>
    <t>Mittelwert Q/n für Tröpfchen mit n&lt;6</t>
  </si>
  <si>
    <t>n</t>
  </si>
  <si>
    <t xml:space="preserve">  nächste ganze Zahl von Q/Q1</t>
  </si>
  <si>
    <t>Zahl der Tröpfchen mit n&lt;6</t>
  </si>
  <si>
    <t>Standardabweichung einer Einzelmessung</t>
  </si>
  <si>
    <t>Standardabweichung des Mittelwertes</t>
  </si>
  <si>
    <t>Mittelwert von f für Tröpfchen mit n&lt;6</t>
  </si>
  <si>
    <t>Nr.</t>
  </si>
  <si>
    <t>Sinken</t>
  </si>
  <si>
    <t>t1</t>
  </si>
  <si>
    <t>Steigen</t>
  </si>
  <si>
    <t>t2</t>
  </si>
  <si>
    <t>v1</t>
  </si>
  <si>
    <t>v2</t>
  </si>
  <si>
    <t>v1+v2</t>
  </si>
  <si>
    <t>R0</t>
  </si>
  <si>
    <t>Q/Q1m</t>
  </si>
  <si>
    <t>Q/n</t>
  </si>
  <si>
    <t>[Skt]</t>
  </si>
  <si>
    <t>[s]</t>
  </si>
  <si>
    <t>[m/s]</t>
  </si>
  <si>
    <t>[m]</t>
  </si>
  <si>
    <t>(n&lt;6)</t>
  </si>
  <si>
    <t>-</t>
  </si>
  <si>
    <t>Berechnung der Fall und Steigzeiten (Beachte die korrekte Eingabe der Messstrecke und der Zeiten)</t>
  </si>
  <si>
    <t>Messssteecke</t>
  </si>
  <si>
    <t>Fallen Start</t>
  </si>
  <si>
    <t>Fallen Stopp</t>
  </si>
  <si>
    <t>Fallzeit</t>
  </si>
  <si>
    <t>Steigen Start</t>
  </si>
  <si>
    <t>Steigen Stopp</t>
  </si>
  <si>
    <t>Steigzeit</t>
  </si>
  <si>
    <t>bis hier Protokoll mitschrift</t>
  </si>
  <si>
    <t>Steigzeit [s]</t>
  </si>
  <si>
    <t>Fallzeit [s]</t>
  </si>
  <si>
    <t>Messung</t>
  </si>
  <si>
    <t>1STK. =</t>
  </si>
  <si>
    <t>Ungenauigkeit</t>
  </si>
  <si>
    <t>Strecke [m]:</t>
  </si>
  <si>
    <t>V_{steig}</t>
  </si>
  <si>
    <t>V_{fall}</t>
  </si>
  <si>
    <t>Strecke [Stk]:</t>
  </si>
  <si>
    <t>Gravitation-Ortskonstante g [m/s^2]:</t>
  </si>
  <si>
    <t>Dynamische Messwerte</t>
  </si>
  <si>
    <t>Luftdruck [Pa]</t>
  </si>
  <si>
    <t>Angeleget Spannung [V]</t>
  </si>
  <si>
    <t>Raumtemperatur [°C]</t>
  </si>
  <si>
    <t>Allgemeine Infromationen/Konstanten/Versuchsaufbau</t>
  </si>
  <si>
    <t>Plattenabstand [m]:</t>
  </si>
  <si>
    <r>
      <t xml:space="preserve">Viskosität der Luft </t>
    </r>
    <r>
      <rPr>
        <sz val="10"/>
        <color theme="1"/>
        <rFont val="Symbol"/>
        <family val="1"/>
        <charset val="2"/>
      </rPr>
      <t>h0</t>
    </r>
    <r>
      <rPr>
        <sz val="10"/>
        <color theme="1"/>
        <rFont val="Liberation Sans"/>
      </rPr>
      <t xml:space="preserve"> (unkorrigiert) [Ns/m^2]:</t>
    </r>
  </si>
  <si>
    <t>Dichte Öl r_{Luft} [kg/m^3]:</t>
  </si>
  <si>
    <r>
      <t xml:space="preserve">Dichte Öl </t>
    </r>
    <r>
      <rPr>
        <sz val="10"/>
        <color theme="1"/>
        <rFont val="Symbol"/>
        <family val="1"/>
        <charset val="2"/>
      </rPr>
      <t>r</t>
    </r>
    <r>
      <rPr>
        <sz val="10"/>
        <color theme="1"/>
        <rFont val="Liberation Sans"/>
      </rPr>
      <t>_{öl} [kg/m^3]:</t>
    </r>
  </si>
  <si>
    <t>15°C:</t>
  </si>
  <si>
    <t>25°C</t>
  </si>
  <si>
    <t>Konstante im Korrekturfaktor [Pa m]</t>
  </si>
  <si>
    <t>Messergebnisse</t>
  </si>
  <si>
    <t>Radius</t>
  </si>
  <si>
    <t>Grenzwert für Einzeldadung</t>
  </si>
  <si>
    <t>Q_{ges} nicht korrigiert</t>
  </si>
  <si>
    <t>Q_{ges} korrigiert</t>
  </si>
  <si>
    <t>Korrekturstherm</t>
  </si>
  <si>
    <t>Größenordnung</t>
  </si>
  <si>
    <t>if Q&gt;q</t>
  </si>
  <si>
    <t>Mittelwert der Einfachladungen (q)</t>
  </si>
  <si>
    <t>Abweichung von q</t>
  </si>
  <si>
    <t>Anzahl Ladungen n</t>
  </si>
  <si>
    <t>Anzahl Trößchen &lt; 6n</t>
  </si>
  <si>
    <t>Mittelwert Mehrfachladungen n&lt;6</t>
  </si>
  <si>
    <t>ZIELERGEBNIS:</t>
  </si>
  <si>
    <t>Millikans Historisches Ergebnis</t>
  </si>
  <si>
    <t>Signifikante Abweichung vom Lit Wert</t>
  </si>
  <si>
    <t>Ungenauigkeit:</t>
  </si>
  <si>
    <t>r</t>
  </si>
  <si>
    <t>Durchschnittlicher Korrekturfaktor</t>
  </si>
  <si>
    <t>Column1</t>
  </si>
  <si>
    <t>Berechnete Ungenauigkeiten</t>
  </si>
  <si>
    <t>Geschwindigkeit</t>
  </si>
  <si>
    <t>Delta V_{fall}</t>
  </si>
  <si>
    <t>Reaktionszeit [s]</t>
  </si>
  <si>
    <t>Delta V_{steig}</t>
  </si>
  <si>
    <t>Delta R</t>
  </si>
  <si>
    <t>Anzahl Einzelladungen</t>
  </si>
  <si>
    <t>Delta f_0</t>
  </si>
  <si>
    <t>start</t>
  </si>
  <si>
    <t>Einfach Ladungen</t>
  </si>
  <si>
    <t>Zweifach Ladungen</t>
  </si>
  <si>
    <t>Standard Abweichungen</t>
  </si>
  <si>
    <t>Mittelwert</t>
  </si>
  <si>
    <t>Stand. Ab. Mittelwert</t>
  </si>
  <si>
    <t>Delta Q_{ges}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</si>
</sst>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0.00000"/>
    <numFmt numFmtId="166" formatCode="0.000E+00"/>
    <numFmt numFmtId="167" formatCode="0.000"/>
    <numFmt numFmtId="168" formatCode="0.0000"/>
    <numFmt numFmtId="169" formatCode="0.0000E+00"/>
    <numFmt numFmtId="170" formatCode="d/m/yy"/>
    <numFmt numFmtId="171" formatCode="0.00000000"/>
    <numFmt numFmtId="172" formatCode="0.0000000"/>
    <numFmt numFmtId="173" formatCode="0.000000"/>
    <numFmt numFmtId="174" formatCode="0.000000000"/>
    <numFmt numFmtId="175" formatCode="0.0000000000"/>
  </numFmts>
  <fonts count="31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0"/>
      <color theme="1"/>
      <name val="Arial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u/>
      <sz val="14"/>
      <color theme="1"/>
      <name val="Arial1"/>
    </font>
    <font>
      <sz val="10"/>
      <color rgb="FFFF0000"/>
      <name val="Arial1"/>
    </font>
    <font>
      <sz val="10"/>
      <color rgb="FFFF0000"/>
      <name val="Arial"/>
      <family val="2"/>
    </font>
    <font>
      <sz val="10"/>
      <color theme="1"/>
      <name val="Arial1"/>
    </font>
    <font>
      <sz val="10"/>
      <color rgb="FF0000FF"/>
      <name val="Arial1"/>
    </font>
    <font>
      <sz val="10"/>
      <color theme="1"/>
      <name val="Symbol"/>
      <family val="1"/>
      <charset val="2"/>
    </font>
    <font>
      <sz val="10"/>
      <color rgb="FFFF0000"/>
      <name val="Symbol"/>
      <family val="1"/>
      <charset val="2"/>
    </font>
    <font>
      <b/>
      <u/>
      <sz val="20"/>
      <color theme="1"/>
      <name val="Arial1"/>
    </font>
    <font>
      <b/>
      <sz val="10"/>
      <color theme="1"/>
      <name val="Arial1"/>
    </font>
    <font>
      <b/>
      <sz val="10"/>
      <color theme="0"/>
      <name val="Liberation Sans"/>
    </font>
    <font>
      <i/>
      <sz val="10"/>
      <color theme="1"/>
      <name val="Liberation Sans"/>
    </font>
    <font>
      <sz val="10"/>
      <color theme="0" tint="-0.499984740745262"/>
      <name val="Liberation Sans"/>
    </font>
    <font>
      <sz val="8"/>
      <name val="Liberation Sans"/>
    </font>
    <font>
      <b/>
      <sz val="10"/>
      <color theme="4"/>
      <name val="Liberation Sans"/>
    </font>
    <font>
      <sz val="10"/>
      <color theme="4"/>
      <name val="Liberation Sans"/>
    </font>
    <font>
      <sz val="10"/>
      <color theme="0"/>
      <name val="Liberation Sans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2A6099"/>
        <bgColor rgb="FF2A6099"/>
      </patternFill>
    </fill>
    <fill>
      <patternFill patternType="solid">
        <fgColor rgb="FF729FCF"/>
        <bgColor rgb="FF729FCF"/>
      </patternFill>
    </fill>
    <fill>
      <patternFill patternType="solid">
        <fgColor rgb="FFEEEEEE"/>
        <bgColor rgb="FFEEEEEE"/>
      </patternFill>
    </fill>
    <fill>
      <patternFill patternType="solid">
        <fgColor rgb="FFFF0000"/>
        <bgColor rgb="FFFF0000"/>
      </patternFill>
    </fill>
    <fill>
      <patternFill patternType="solid">
        <fgColor rgb="FF3FAF46"/>
        <bgColor rgb="FF3FAF46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0" borderId="0" applyNumberFormat="0" applyFill="0" applyBorder="0" applyAlignment="0" applyProtection="0"/>
    <xf numFmtId="0" fontId="3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93">
    <xf numFmtId="0" fontId="0" fillId="0" borderId="0" xfId="0"/>
    <xf numFmtId="0" fontId="2" fillId="0" borderId="0" xfId="0" applyFont="1"/>
    <xf numFmtId="167" fontId="2" fillId="0" borderId="0" xfId="0" applyNumberFormat="1" applyFont="1"/>
    <xf numFmtId="167" fontId="0" fillId="0" borderId="0" xfId="0" applyNumberFormat="1"/>
    <xf numFmtId="0" fontId="0" fillId="0" borderId="0" xfId="0" applyAlignment="1">
      <alignment horizontal="right"/>
    </xf>
    <xf numFmtId="0" fontId="20" fillId="0" borderId="0" xfId="0" applyFont="1"/>
    <xf numFmtId="1" fontId="0" fillId="0" borderId="0" xfId="0" applyNumberFormat="1" applyAlignment="1">
      <alignment horizontal="right"/>
    </xf>
    <xf numFmtId="168" fontId="0" fillId="0" borderId="0" xfId="0" applyNumberFormat="1"/>
    <xf numFmtId="0" fontId="0" fillId="0" borderId="0" xfId="0" applyAlignment="1">
      <alignment horizontal="center"/>
    </xf>
    <xf numFmtId="0" fontId="2" fillId="9" borderId="0" xfId="0" applyFont="1" applyFill="1"/>
    <xf numFmtId="167" fontId="0" fillId="11" borderId="0" xfId="0" applyNumberFormat="1" applyFill="1" applyAlignment="1">
      <alignment horizontal="right"/>
    </xf>
    <xf numFmtId="166" fontId="0" fillId="0" borderId="0" xfId="0" applyNumberFormat="1"/>
    <xf numFmtId="166" fontId="0" fillId="11" borderId="0" xfId="0" applyNumberFormat="1" applyFill="1"/>
    <xf numFmtId="167" fontId="0" fillId="11" borderId="0" xfId="0" applyNumberFormat="1" applyFill="1"/>
    <xf numFmtId="1" fontId="0" fillId="0" borderId="0" xfId="0" applyNumberFormat="1"/>
    <xf numFmtId="0" fontId="18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0" fillId="13" borderId="0" xfId="0" applyFill="1"/>
    <xf numFmtId="0" fontId="2" fillId="9" borderId="2" xfId="0" applyFont="1" applyFill="1" applyBorder="1"/>
    <xf numFmtId="0" fontId="0" fillId="0" borderId="2" xfId="0" applyBorder="1"/>
    <xf numFmtId="0" fontId="0" fillId="15" borderId="0" xfId="0" applyFill="1"/>
    <xf numFmtId="0" fontId="0" fillId="16" borderId="0" xfId="0" applyFill="1"/>
    <xf numFmtId="0" fontId="25" fillId="0" borderId="0" xfId="0" applyFont="1"/>
    <xf numFmtId="0" fontId="26" fillId="0" borderId="0" xfId="0" applyFont="1"/>
    <xf numFmtId="167" fontId="0" fillId="0" borderId="2" xfId="0" applyNumberFormat="1" applyBorder="1"/>
    <xf numFmtId="167" fontId="0" fillId="0" borderId="3" xfId="0" applyNumberFormat="1" applyBorder="1"/>
    <xf numFmtId="168" fontId="28" fillId="0" borderId="0" xfId="0" applyNumberFormat="1" applyFont="1"/>
    <xf numFmtId="0" fontId="28" fillId="0" borderId="0" xfId="0" applyFont="1"/>
    <xf numFmtId="2" fontId="2" fillId="0" borderId="0" xfId="0" applyNumberFormat="1" applyFont="1"/>
    <xf numFmtId="164" fontId="2" fillId="0" borderId="0" xfId="0" applyNumberFormat="1" applyFont="1"/>
    <xf numFmtId="168" fontId="29" fillId="0" borderId="0" xfId="0" applyNumberFormat="1" applyFont="1"/>
    <xf numFmtId="172" fontId="0" fillId="0" borderId="0" xfId="0" applyNumberFormat="1"/>
    <xf numFmtId="173" fontId="0" fillId="0" borderId="0" xfId="0" applyNumberFormat="1"/>
    <xf numFmtId="167" fontId="0" fillId="19" borderId="0" xfId="0" applyNumberFormat="1" applyFill="1"/>
    <xf numFmtId="169" fontId="0" fillId="0" borderId="0" xfId="0" applyNumberFormat="1"/>
    <xf numFmtId="175" fontId="2" fillId="0" borderId="0" xfId="0" applyNumberFormat="1" applyFont="1"/>
    <xf numFmtId="174" fontId="2" fillId="0" borderId="0" xfId="0" applyNumberFormat="1" applyFont="1"/>
    <xf numFmtId="171" fontId="0" fillId="0" borderId="0" xfId="0" applyNumberFormat="1"/>
    <xf numFmtId="175" fontId="0" fillId="0" borderId="0" xfId="0" applyNumberFormat="1"/>
    <xf numFmtId="0" fontId="30" fillId="21" borderId="0" xfId="0" applyFont="1" applyFill="1"/>
    <xf numFmtId="169" fontId="2" fillId="0" borderId="0" xfId="0" applyNumberFormat="1" applyFont="1"/>
    <xf numFmtId="166" fontId="2" fillId="0" borderId="0" xfId="0" applyNumberFormat="1" applyFont="1"/>
    <xf numFmtId="0" fontId="30" fillId="22" borderId="0" xfId="0" applyFont="1" applyFill="1"/>
    <xf numFmtId="168" fontId="2" fillId="0" borderId="0" xfId="0" applyNumberFormat="1" applyFont="1"/>
    <xf numFmtId="0" fontId="24" fillId="14" borderId="0" xfId="0" applyFont="1" applyFill="1" applyAlignment="1">
      <alignment horizontal="center"/>
    </xf>
    <xf numFmtId="0" fontId="24" fillId="17" borderId="0" xfId="0" applyFont="1" applyFill="1" applyAlignment="1">
      <alignment horizontal="center"/>
    </xf>
    <xf numFmtId="0" fontId="24" fillId="18" borderId="0" xfId="0" applyFont="1" applyFill="1" applyAlignment="1">
      <alignment horizontal="center"/>
    </xf>
    <xf numFmtId="0" fontId="24" fillId="20" borderId="0" xfId="0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23" borderId="0" xfId="0" applyFill="1"/>
    <xf numFmtId="168" fontId="0" fillId="19" borderId="0" xfId="0" applyNumberFormat="1" applyFont="1" applyFill="1"/>
    <xf numFmtId="168" fontId="0" fillId="0" borderId="0" xfId="0" applyNumberFormat="1" applyFont="1"/>
    <xf numFmtId="0" fontId="15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167" fontId="2" fillId="0" borderId="0" xfId="0" applyNumberFormat="1" applyFont="1" applyBorder="1"/>
    <xf numFmtId="167" fontId="0" fillId="0" borderId="0" xfId="0" applyNumberFormat="1" applyBorder="1"/>
    <xf numFmtId="170" fontId="16" fillId="0" borderId="0" xfId="0" applyNumberFormat="1" applyFont="1" applyBorder="1"/>
    <xf numFmtId="0" fontId="0" fillId="0" borderId="0" xfId="0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 applyBorder="1"/>
    <xf numFmtId="11" fontId="16" fillId="0" borderId="0" xfId="0" applyNumberFormat="1" applyFont="1" applyBorder="1" applyAlignment="1">
      <alignment horizontal="right"/>
    </xf>
    <xf numFmtId="0" fontId="17" fillId="0" borderId="0" xfId="0" applyFont="1" applyBorder="1" applyAlignment="1">
      <alignment wrapText="1"/>
    </xf>
    <xf numFmtId="164" fontId="16" fillId="0" borderId="0" xfId="0" applyNumberFormat="1" applyFont="1" applyBorder="1" applyAlignment="1">
      <alignment horizontal="right"/>
    </xf>
    <xf numFmtId="167" fontId="18" fillId="0" borderId="0" xfId="0" applyNumberFormat="1" applyFont="1" applyBorder="1"/>
    <xf numFmtId="0" fontId="17" fillId="0" borderId="0" xfId="0" applyFont="1" applyBorder="1"/>
    <xf numFmtId="11" fontId="0" fillId="0" borderId="0" xfId="0" applyNumberFormat="1" applyBorder="1"/>
    <xf numFmtId="0" fontId="18" fillId="0" borderId="0" xfId="0" applyFont="1" applyBorder="1"/>
    <xf numFmtId="49" fontId="0" fillId="0" borderId="0" xfId="0" applyNumberFormat="1" applyBorder="1" applyAlignment="1">
      <alignment horizontal="right"/>
    </xf>
    <xf numFmtId="169" fontId="19" fillId="0" borderId="0" xfId="0" applyNumberFormat="1" applyFont="1" applyBorder="1"/>
    <xf numFmtId="165" fontId="0" fillId="0" borderId="0" xfId="0" applyNumberFormat="1" applyBorder="1"/>
    <xf numFmtId="0" fontId="2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69" fontId="0" fillId="0" borderId="0" xfId="0" applyNumberFormat="1" applyBorder="1" applyAlignment="1">
      <alignment horizontal="right"/>
    </xf>
    <xf numFmtId="166" fontId="19" fillId="0" borderId="0" xfId="0" applyNumberFormat="1" applyFont="1" applyBorder="1"/>
    <xf numFmtId="167" fontId="20" fillId="0" borderId="0" xfId="0" applyNumberFormat="1" applyFont="1" applyBorder="1"/>
    <xf numFmtId="0" fontId="21" fillId="0" borderId="0" xfId="0" applyFont="1" applyBorder="1"/>
    <xf numFmtId="0" fontId="20" fillId="0" borderId="0" xfId="0" applyFont="1" applyBorder="1"/>
    <xf numFmtId="167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8" fontId="0" fillId="0" borderId="0" xfId="0" applyNumberFormat="1" applyBorder="1"/>
    <xf numFmtId="0" fontId="0" fillId="9" borderId="0" xfId="0" applyFill="1" applyBorder="1" applyAlignment="1">
      <alignment horizontal="center"/>
    </xf>
    <xf numFmtId="167" fontId="0" fillId="9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0" xfId="0" applyFill="1" applyBorder="1" applyAlignment="1">
      <alignment horizontal="center"/>
    </xf>
    <xf numFmtId="167" fontId="0" fillId="10" borderId="0" xfId="0" applyNumberFormat="1" applyFill="1" applyBorder="1" applyAlignment="1">
      <alignment horizontal="center"/>
    </xf>
    <xf numFmtId="0" fontId="0" fillId="10" borderId="0" xfId="0" applyFill="1" applyBorder="1"/>
    <xf numFmtId="0" fontId="2" fillId="9" borderId="0" xfId="0" applyFont="1" applyFill="1" applyBorder="1"/>
    <xf numFmtId="0" fontId="2" fillId="12" borderId="0" xfId="0" applyFont="1" applyFill="1" applyBorder="1"/>
  </cellXfs>
  <cellStyles count="20">
    <cellStyle name="Accent" xfId="7" xr:uid="{4F840C8E-3324-4D82-ADEF-0C8199837296}"/>
    <cellStyle name="Accent 1" xfId="8" xr:uid="{D7644576-6B6D-4886-8AF8-FA48518C312F}"/>
    <cellStyle name="Accent 2" xfId="9" xr:uid="{AE066153-73FA-45E8-92B4-5B0412FF3AB8}"/>
    <cellStyle name="Accent 3" xfId="10" xr:uid="{FDFF7125-CFAF-4757-8D74-CAB304D4C03C}"/>
    <cellStyle name="Bad" xfId="4" builtinId="27" customBuiltin="1"/>
    <cellStyle name="Default" xfId="11" xr:uid="{2F613A4B-9158-48E2-8BE4-88FF7EA90E8D}"/>
    <cellStyle name="Error" xfId="12" xr:uid="{534F37D1-468C-4DC0-8481-49E2F962D55A}"/>
    <cellStyle name="Footnote" xfId="13" xr:uid="{1D32E0C7-88AF-4815-8CB4-7CB4D0B7485A}"/>
    <cellStyle name="Good" xfId="3" builtinId="26" customBuiltin="1"/>
    <cellStyle name="Heading" xfId="14" xr:uid="{BDE9DC0E-E890-4F32-B6B8-55E39F4992D6}"/>
    <cellStyle name="Heading 1" xfId="1" builtinId="16" customBuiltin="1"/>
    <cellStyle name="Heading 2" xfId="2" builtinId="17" customBuiltin="1"/>
    <cellStyle name="Hyperlink" xfId="15" xr:uid="{BCB741E5-1562-4576-8283-D21B285A344D}"/>
    <cellStyle name="Neutral" xfId="5" builtinId="28" customBuiltin="1"/>
    <cellStyle name="Normal" xfId="0" builtinId="0" customBuiltin="1"/>
    <cellStyle name="Note" xfId="6" builtinId="10" customBuiltin="1"/>
    <cellStyle name="Result" xfId="16" xr:uid="{E1A05FEF-4F22-4898-9599-FC00C84B98CC}"/>
    <cellStyle name="Status" xfId="17" xr:uid="{9C71822E-7161-4B0F-8E47-68D10498EB94}"/>
    <cellStyle name="Text" xfId="18" xr:uid="{982D4A28-8CE7-45B4-87BD-D3B4F7C4A394}"/>
    <cellStyle name="Warning" xfId="19" xr:uid="{6319EA52-AA9F-4860-AC9A-EF05C93598C4}"/>
  </cellStyles>
  <dxfs count="27">
    <dxf>
      <numFmt numFmtId="168" formatCode="0.0000"/>
    </dxf>
    <dxf>
      <numFmt numFmtId="168" formatCode="0.0000"/>
    </dxf>
    <dxf>
      <numFmt numFmtId="167" formatCode="0.000"/>
    </dxf>
    <dxf>
      <numFmt numFmtId="167" formatCode="0.000"/>
    </dxf>
    <dxf>
      <numFmt numFmtId="168" formatCode="0.0000"/>
    </dxf>
    <dxf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Liberation Sans"/>
        <scheme val="none"/>
      </font>
    </dxf>
    <dxf>
      <numFmt numFmtId="167" formatCode="0.000"/>
    </dxf>
    <dxf>
      <numFmt numFmtId="167" formatCode="0.000"/>
    </dxf>
    <dxf>
      <numFmt numFmtId="167" formatCode="0.000"/>
    </dxf>
    <dxf>
      <numFmt numFmtId="168" formatCode="0.0000"/>
    </dxf>
    <dxf>
      <numFmt numFmtId="168" formatCode="0.0000"/>
    </dxf>
    <dxf>
      <numFmt numFmtId="168" formatCode="0.0000"/>
    </dxf>
    <dxf>
      <numFmt numFmtId="167" formatCode="0.000"/>
    </dxf>
    <dxf>
      <numFmt numFmtId="168" formatCode="0.0000"/>
    </dxf>
    <dxf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Liberation Sans"/>
        <scheme val="none"/>
      </font>
    </dxf>
    <dxf>
      <font>
        <strike val="0"/>
        <outline val="0"/>
        <shadow val="0"/>
        <u val="none"/>
        <vertAlign val="baseline"/>
        <sz val="10"/>
        <color theme="0" tint="-0.499984740745262"/>
        <name val="Liberation Sans"/>
        <scheme val="none"/>
      </font>
    </dxf>
    <dxf>
      <numFmt numFmtId="169" formatCode="0.0000E+00"/>
    </dxf>
    <dxf>
      <numFmt numFmtId="169" formatCode="0.0000E+00"/>
    </dxf>
    <dxf>
      <numFmt numFmtId="173" formatCode="0.000000"/>
    </dxf>
    <dxf>
      <numFmt numFmtId="173" formatCode="0.000000"/>
    </dxf>
    <dxf>
      <numFmt numFmtId="172" formatCode="0.0000000"/>
    </dxf>
    <dxf>
      <numFmt numFmtId="173" formatCode="0.000000"/>
    </dxf>
    <dxf>
      <numFmt numFmtId="167" formatCode="0.000"/>
    </dxf>
    <dxf>
      <numFmt numFmtId="167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Anzahl der Teilchen in Abhänigkeit der max Ladung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3BA-4410-9A66-E22A5BE74A6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A-4410-9A66-E22A5BE74A6D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3BA-4410-9A66-E22A5BE74A6D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3BA-4410-9A66-E22A5BE74A6D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3BA-4410-9A66-E22A5BE74A6D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3BA-4410-9A66-E22A5BE74A6D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3BA-4410-9A66-E22A5BE74A6D}"/>
              </c:ext>
            </c:extLst>
          </c:dPt>
          <c:dPt>
            <c:idx val="5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BA-4410-9A66-E22A5BE74A6D}"/>
              </c:ext>
            </c:extLst>
          </c:dPt>
          <c:dPt>
            <c:idx val="5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3BA-4410-9A66-E22A5BE74A6D}"/>
              </c:ext>
            </c:extLst>
          </c:dPt>
          <c:dPt>
            <c:idx val="61"/>
            <c:invertIfNegative val="0"/>
            <c:bubble3D val="0"/>
            <c:spPr>
              <a:solidFill>
                <a:schemeClr val="accent6"/>
              </a:solidFill>
              <a:ln w="2540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3BA-4410-9A66-E22A5BE74A6D}"/>
              </c:ext>
            </c:extLst>
          </c:dPt>
          <c:dPt>
            <c:idx val="6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3BA-4410-9A66-E22A5BE74A6D}"/>
              </c:ext>
            </c:extLst>
          </c:dPt>
          <c:dPt>
            <c:idx val="7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3BA-4410-9A66-E22A5BE74A6D}"/>
              </c:ext>
            </c:extLst>
          </c:dPt>
          <c:dPt>
            <c:idx val="85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3BA-4410-9A66-E22A5BE74A6D}"/>
              </c:ext>
            </c:extLst>
          </c:dPt>
          <c:cat>
            <c:numRef>
              <c:f>'Eigene Rechnung'!$N$77:$N$154</c:f>
              <c:numCache>
                <c:formatCode>General</c:formatCode>
                <c:ptCount val="7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4</c:v>
                </c:pt>
                <c:pt idx="30">
                  <c:v>4.0999999999999996</c:v>
                </c:pt>
                <c:pt idx="31">
                  <c:v>4.2</c:v>
                </c:pt>
                <c:pt idx="32">
                  <c:v>4.3</c:v>
                </c:pt>
                <c:pt idx="33">
                  <c:v>4.4000000000000004</c:v>
                </c:pt>
                <c:pt idx="34">
                  <c:v>4.5</c:v>
                </c:pt>
                <c:pt idx="35">
                  <c:v>4.5999999999999996</c:v>
                </c:pt>
                <c:pt idx="36">
                  <c:v>4.7</c:v>
                </c:pt>
                <c:pt idx="37">
                  <c:v>4.8</c:v>
                </c:pt>
                <c:pt idx="38">
                  <c:v>4.9000000000000004</c:v>
                </c:pt>
                <c:pt idx="39">
                  <c:v>5</c:v>
                </c:pt>
                <c:pt idx="40">
                  <c:v>5.0999999999999996</c:v>
                </c:pt>
                <c:pt idx="41">
                  <c:v>5.2</c:v>
                </c:pt>
                <c:pt idx="42">
                  <c:v>5.3</c:v>
                </c:pt>
                <c:pt idx="43">
                  <c:v>5.4</c:v>
                </c:pt>
                <c:pt idx="44">
                  <c:v>5.5</c:v>
                </c:pt>
                <c:pt idx="45">
                  <c:v>5.6</c:v>
                </c:pt>
                <c:pt idx="46">
                  <c:v>5.7</c:v>
                </c:pt>
                <c:pt idx="47">
                  <c:v>5.8</c:v>
                </c:pt>
                <c:pt idx="48">
                  <c:v>5.9</c:v>
                </c:pt>
                <c:pt idx="49">
                  <c:v>6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6.4999999999999902</c:v>
                </c:pt>
                <c:pt idx="55">
                  <c:v>6.6</c:v>
                </c:pt>
                <c:pt idx="56">
                  <c:v>6.7</c:v>
                </c:pt>
                <c:pt idx="57">
                  <c:v>6.8</c:v>
                </c:pt>
                <c:pt idx="58">
                  <c:v>6.9000000000000297</c:v>
                </c:pt>
                <c:pt idx="59">
                  <c:v>7.00000000000004</c:v>
                </c:pt>
                <c:pt idx="60">
                  <c:v>7.1000000000000503</c:v>
                </c:pt>
                <c:pt idx="61">
                  <c:v>7.2000000000000597</c:v>
                </c:pt>
                <c:pt idx="62">
                  <c:v>7.30000000000007</c:v>
                </c:pt>
                <c:pt idx="63">
                  <c:v>7.4000000000000696</c:v>
                </c:pt>
                <c:pt idx="64">
                  <c:v>7.5000000000000799</c:v>
                </c:pt>
                <c:pt idx="65">
                  <c:v>7.6000000000000902</c:v>
                </c:pt>
                <c:pt idx="66">
                  <c:v>7.7000000000000997</c:v>
                </c:pt>
                <c:pt idx="67">
                  <c:v>7.80000000000011</c:v>
                </c:pt>
                <c:pt idx="68">
                  <c:v>7.9000000000001203</c:v>
                </c:pt>
                <c:pt idx="69">
                  <c:v>8.0000000000001297</c:v>
                </c:pt>
                <c:pt idx="70">
                  <c:v>8.10000000000014</c:v>
                </c:pt>
                <c:pt idx="71">
                  <c:v>8.2000000000001503</c:v>
                </c:pt>
                <c:pt idx="72">
                  <c:v>8.3000000000001606</c:v>
                </c:pt>
                <c:pt idx="73">
                  <c:v>8.4000000000001709</c:v>
                </c:pt>
                <c:pt idx="74">
                  <c:v>8.5000000000001794</c:v>
                </c:pt>
                <c:pt idx="75">
                  <c:v>8.6000000000001897</c:v>
                </c:pt>
                <c:pt idx="76">
                  <c:v>8.7000000000002</c:v>
                </c:pt>
                <c:pt idx="77">
                  <c:v>8.8000000000002103</c:v>
                </c:pt>
              </c:numCache>
            </c:numRef>
          </c:cat>
          <c:val>
            <c:numRef>
              <c:f>'Eigene Rechnung'!$P$77:$P$154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15</c:v>
                </c:pt>
                <c:pt idx="20">
                  <c:v>15</c:v>
                </c:pt>
                <c:pt idx="21">
                  <c:v>18</c:v>
                </c:pt>
                <c:pt idx="22">
                  <c:v>20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30</c:v>
                </c:pt>
                <c:pt idx="35">
                  <c:v>32</c:v>
                </c:pt>
                <c:pt idx="36">
                  <c:v>34</c:v>
                </c:pt>
                <c:pt idx="37">
                  <c:v>36</c:v>
                </c:pt>
                <c:pt idx="38">
                  <c:v>39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41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45</c:v>
                </c:pt>
                <c:pt idx="51">
                  <c:v>45</c:v>
                </c:pt>
                <c:pt idx="52">
                  <c:v>49</c:v>
                </c:pt>
                <c:pt idx="53">
                  <c:v>52</c:v>
                </c:pt>
                <c:pt idx="54">
                  <c:v>53</c:v>
                </c:pt>
                <c:pt idx="55">
                  <c:v>55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57</c:v>
                </c:pt>
                <c:pt idx="60">
                  <c:v>58</c:v>
                </c:pt>
                <c:pt idx="61">
                  <c:v>58</c:v>
                </c:pt>
                <c:pt idx="62">
                  <c:v>59</c:v>
                </c:pt>
                <c:pt idx="63">
                  <c:v>59</c:v>
                </c:pt>
                <c:pt idx="64">
                  <c:v>59</c:v>
                </c:pt>
                <c:pt idx="65">
                  <c:v>59</c:v>
                </c:pt>
                <c:pt idx="66">
                  <c:v>59</c:v>
                </c:pt>
                <c:pt idx="67">
                  <c:v>59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A-4410-9A66-E22A5BE74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10"/>
        <c:axId val="886904095"/>
        <c:axId val="886903135"/>
      </c:barChart>
      <c:catAx>
        <c:axId val="88690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Ladung für einfach geladene Teilchen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03135"/>
        <c:crosses val="autoZero"/>
        <c:auto val="0"/>
        <c:lblAlgn val="ctr"/>
        <c:lblOffset val="100"/>
        <c:noMultiLvlLbl val="0"/>
      </c:catAx>
      <c:valAx>
        <c:axId val="88690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04095"/>
        <c:crosses val="autoZero"/>
        <c:crossBetween val="between"/>
      </c:valAx>
      <c:spPr>
        <a:noFill/>
        <a:ln w="6350"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86FB62C-EAA8-4ED1-BE63-C53D9BE8A34C}">
          <cx:dataPt idx="0">
            <cx:spPr>
              <a:noFill/>
            </cx:spPr>
          </cx:dataPt>
          <cx:dataPt idx="49">
            <cx:spPr>
              <a:noFill/>
            </cx:spPr>
          </cx:dataPt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357186</xdr:colOff>
      <xdr:row>1</xdr:row>
      <xdr:rowOff>104775</xdr:rowOff>
    </xdr:from>
    <xdr:to>
      <xdr:col>68</xdr:col>
      <xdr:colOff>585788</xdr:colOff>
      <xdr:row>38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D978DC8-54D9-EE12-DE03-682CB07EC1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32711" y="266700"/>
              <a:ext cx="22174202" cy="594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1000125</xdr:colOff>
      <xdr:row>76</xdr:row>
      <xdr:rowOff>135952</xdr:rowOff>
    </xdr:from>
    <xdr:to>
      <xdr:col>22</xdr:col>
      <xdr:colOff>1265465</xdr:colOff>
      <xdr:row>143</xdr:row>
      <xdr:rowOff>81642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E3A8D1-036E-87E0-263F-0DF1E6913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1B857-E3AE-451F-B389-B90E3102B975}" name="Table1" displayName="Table1" ref="A1:S67" totalsRowCount="1">
  <autoFilter ref="A1:S66" xr:uid="{5C31B857-E3AE-451F-B389-B90E3102B975}"/>
  <tableColumns count="19">
    <tableColumn id="1" xr3:uid="{656AFEA0-681F-47B9-B1B1-9B07A626847A}" name="Messung"/>
    <tableColumn id="2" xr3:uid="{0AA4AD77-BD03-48FA-82D2-AC353580E528}" name="Fallzeit [s]" totalsRowFunction="average" dataDxfId="26" totalsRowDxfId="9"/>
    <tableColumn id="3" xr3:uid="{C45F044D-139E-47FA-BADE-037AE3E4A1A2}" name="Steigzeit [s]" totalsRowFunction="average" dataDxfId="25" totalsRowDxfId="8"/>
    <tableColumn id="4" xr3:uid="{DB62E57A-C179-4712-B158-267249C7F640}" name="V_{fall}" dataDxfId="24">
      <calculatedColumnFormula>$V$5/Table1[[#This Row],[Fallzeit '[s']]]</calculatedColumnFormula>
    </tableColumn>
    <tableColumn id="16" xr3:uid="{9568BFFB-3166-4FB3-89D6-E0B1B4FB8E82}" name="Delta V_{fall}" dataDxfId="23">
      <calculatedColumnFormula>SQRT(($X$5/Table1[[#This Row],[Fallzeit '[s']]])^2+(Table1[[#This Row],[V_{fall}]]/Table1[[#This Row],[Fallzeit '[s']]] * $V$24)^2)</calculatedColumnFormula>
    </tableColumn>
    <tableColumn id="5" xr3:uid="{314C9EF3-3258-4E5E-AF36-82043BAD6C6F}" name="V_{steig}" dataDxfId="22">
      <calculatedColumnFormula>$V$5/Table1[[#This Row],[Steigzeit '[s']]]</calculatedColumnFormula>
    </tableColumn>
    <tableColumn id="17" xr3:uid="{43377C84-14CA-4D8F-8EE4-088BE5A01B7F}" name="Delta V_{steig}" dataDxfId="21">
      <calculatedColumnFormula>SQRT(($X$5/Table1[[#This Row],[Steigzeit '[s']]])^2+(Table1[[#This Row],[V_{steig}]]/Table1[[#This Row],[Steigzeit '[s']]] * $V$24)^2)</calculatedColumnFormula>
    </tableColumn>
    <tableColumn id="6" xr3:uid="{CEBDE395-726F-46E5-B0F1-2C830C7BA02E}" name="Radius" dataDxfId="20">
      <calculatedColumnFormula>SQRT((9 * $V$11)/(2 * ($W$14-$V$15) * $V$7) * Table1[[#This Row],[V_{fall}]] )</calculatedColumnFormula>
    </tableColumn>
    <tableColumn id="21" xr3:uid="{8C3AFE9F-377B-4A3E-82FB-385EEC0FF389}" name="Delta R" dataDxfId="19">
      <calculatedColumnFormula>SQRT((Table1[[#This Row],[Delta V_{fall}]]/(2*Table1[[#This Row],[V_{fall}]]))^2+($X$14/(2*$V$16))^2)* Table1[[#This Row],[Radius]]</calculatedColumnFormula>
    </tableColumn>
    <tableColumn id="7" xr3:uid="{281E4BC9-2018-46E0-A79C-2E4615298BD2}" name="Q_{ges} nicht korrigiert" dataDxfId="18" totalsRowDxfId="7">
      <calculatedColumnFormula>(Table1[[#This Row],[V_{fall}]]+Table1[[#This Row],[V_{steig}]])*SQRT((9*Table1[[#This Row],[V_{fall}]]*$V$11^3)/(2*($W$14-$V$15)*$V$7))*(6*3.141*$V$9)/$V$29</calculatedColumnFormula>
    </tableColumn>
    <tableColumn id="20" xr3:uid="{D4D3ADA6-6367-4D2E-A444-D0FBDFE2C7D0}" name="Column1" dataDxfId="17" totalsRowDxfId="6"/>
    <tableColumn id="8" xr3:uid="{5D2B267C-5183-4C32-8FC7-F2F804F39082}" name="Korrekturstherm" totalsRowFunction="average" dataDxfId="16" totalsRowDxfId="5">
      <calculatedColumnFormula>1/(1+($V$18/(Table1[[#This Row],[Radius]]*$V$28)))</calculatedColumnFormula>
    </tableColumn>
    <tableColumn id="22" xr3:uid="{DF84CAFD-4E7D-4061-94FD-994EF5BB1697}" name="Delta f_0" totalsRowFunction="average" dataDxfId="15" totalsRowDxfId="4">
      <calculatedColumnFormula>$V$18/(Table1[[#This Row],[Radius]]*$V$28+$V$18)^2 * SQRT($V$28^2*Table1[[#This Row],[Delta R]]^2+Table1[[#This Row],[Radius]]^2*$X$28)</calculatedColumnFormula>
    </tableColumn>
    <tableColumn id="9" xr3:uid="{3686F90C-8FE8-4336-B342-6D0A34C82AF9}" name="Q_{ges} korrigiert" dataDxfId="14" totalsRowDxfId="3">
      <calculatedColumnFormula>(Table1[[#This Row],[V_{fall}]]+Table1[[#This Row],[V_{steig}]])*SQRT((9 * Table1[[#This Row],[V_{fall}]] * $V$11^3*Table1[[#This Row],[Korrekturstherm]]^3)/(2*($W$14-$V$15)*$V$7))* 6 * PI() * $V$9 / $V$29 /$V$22</calculatedColumnFormula>
    </tableColumn>
    <tableColumn id="14" xr3:uid="{E87B627D-0E01-4C42-B0C2-7C5D7170B2A5}" name="Delta Q_{ges}" dataDxfId="10" totalsRowDxfId="2"/>
    <tableColumn id="10" xr3:uid="{5373CD90-0848-42B2-83D4-1B5D5D224901}" name="if Q&gt;q" totalsRowFunction="custom" dataDxfId="13" totalsRowDxfId="1">
      <calculatedColumnFormula>IF(Table1[[#This Row],[Q_{ges} korrigiert]]&lt;$V$20,Table1[[#This Row],[Q_{ges} korrigiert]], "")</calculatedColumnFormula>
      <totalsRowFormula>AVERAGE(Table1[if Q&gt;q])</totalsRowFormula>
    </tableColumn>
    <tableColumn id="11" xr3:uid="{6CC3AECF-F990-4D5A-A638-0851D8E97F37}" name="Abweichung von q" dataDxfId="12">
      <calculatedColumnFormula>Table1[[#This Row],[Q_{ges} korrigiert]]/Table1[[#Totals],[if Q&gt;q]]</calculatedColumnFormula>
    </tableColumn>
    <tableColumn id="12" xr3:uid="{20D28A12-9DCD-4D0A-931A-75C36C252DD2}" name="Anzahl Ladungen n"/>
    <tableColumn id="13" xr3:uid="{6C901526-8BD2-4D24-BEA1-1C03747F5280}" name="Q/n" totalsRowFunction="average" dataDxfId="11" totalsRowDxfId="0">
      <calculatedColumnFormula>Table1[[#This Row],[Q_{ges} korrigiert]]/Table1[[#This Row],[Anzahl Ladungen n]]</calculatedColumnFormula>
    </tableColumn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C998-7681-41EB-B65B-93B58B05A0B7}">
  <sheetPr>
    <tabColor rgb="FFC00000"/>
    <pageSetUpPr fitToPage="1"/>
  </sheetPr>
  <dimension ref="A1:AH166"/>
  <sheetViews>
    <sheetView tabSelected="1" zoomScale="85" zoomScaleNormal="85" workbookViewId="0">
      <selection activeCell="I61" sqref="I60:I61"/>
    </sheetView>
  </sheetViews>
  <sheetFormatPr defaultRowHeight="12.75"/>
  <cols>
    <col min="1" max="1" width="11.140625" customWidth="1"/>
    <col min="2" max="2" width="14" customWidth="1"/>
    <col min="3" max="3" width="15.85546875" customWidth="1"/>
    <col min="4" max="5" width="17.5703125" customWidth="1"/>
    <col min="6" max="7" width="16.5703125" customWidth="1"/>
    <col min="8" max="8" width="21.28515625" customWidth="1"/>
    <col min="9" max="9" width="18.42578125" customWidth="1"/>
    <col min="10" max="10" width="0.28515625" customWidth="1"/>
    <col min="11" max="11" width="0.140625" hidden="1" customWidth="1"/>
    <col min="12" max="12" width="18" bestFit="1" customWidth="1"/>
    <col min="13" max="13" width="18" customWidth="1"/>
    <col min="14" max="15" width="34" customWidth="1"/>
    <col min="16" max="16" width="11.28515625" bestFit="1" customWidth="1"/>
    <col min="17" max="17" width="20.42578125" customWidth="1"/>
    <col min="18" max="18" width="21.28515625" customWidth="1"/>
    <col min="19" max="19" width="13.85546875" customWidth="1"/>
    <col min="20" max="20" width="15" customWidth="1"/>
    <col min="21" max="21" width="40.28515625" bestFit="1" customWidth="1"/>
    <col min="22" max="22" width="17.85546875" bestFit="1" customWidth="1"/>
    <col min="23" max="23" width="20.140625" bestFit="1" customWidth="1"/>
    <col min="24" max="24" width="39" bestFit="1" customWidth="1"/>
  </cols>
  <sheetData>
    <row r="1" spans="1:30">
      <c r="A1" t="s">
        <v>79</v>
      </c>
      <c r="B1" s="25" t="s">
        <v>78</v>
      </c>
      <c r="C1" s="24" t="s">
        <v>77</v>
      </c>
      <c r="D1" s="25" t="s">
        <v>84</v>
      </c>
      <c r="E1" s="25" t="s">
        <v>121</v>
      </c>
      <c r="F1" s="24" t="s">
        <v>83</v>
      </c>
      <c r="G1" s="24" t="s">
        <v>123</v>
      </c>
      <c r="H1" s="43" t="s">
        <v>100</v>
      </c>
      <c r="I1" s="43" t="s">
        <v>124</v>
      </c>
      <c r="J1" t="s">
        <v>102</v>
      </c>
      <c r="K1" t="s">
        <v>118</v>
      </c>
      <c r="L1" s="46" t="s">
        <v>104</v>
      </c>
      <c r="M1" s="46" t="s">
        <v>126</v>
      </c>
      <c r="N1" s="53" t="s">
        <v>103</v>
      </c>
      <c r="O1" s="53" t="s">
        <v>133</v>
      </c>
      <c r="P1" s="7" t="s">
        <v>106</v>
      </c>
      <c r="Q1" t="s">
        <v>108</v>
      </c>
      <c r="R1" t="s">
        <v>109</v>
      </c>
      <c r="S1" t="s">
        <v>61</v>
      </c>
      <c r="U1" s="48" t="s">
        <v>91</v>
      </c>
      <c r="V1" s="48"/>
      <c r="W1" s="48"/>
      <c r="X1" s="48"/>
      <c r="AD1">
        <v>0</v>
      </c>
    </row>
    <row r="2" spans="1:30">
      <c r="A2">
        <v>1</v>
      </c>
      <c r="B2" s="3">
        <v>4.62</v>
      </c>
      <c r="C2" s="3">
        <v>3.42</v>
      </c>
      <c r="D2" s="36">
        <f>$V$5/Table1[[#This Row],[Fallzeit '[s']]]</f>
        <v>1.0822510822510823E-4</v>
      </c>
      <c r="E2" s="35">
        <f>SQRT(($X$5/Table1[[#This Row],[Fallzeit '[s']]])^2+(Table1[[#This Row],[V_{fall}]]/Table1[[#This Row],[Fallzeit '[s']]] * $V$24)^2)</f>
        <v>7.570006055837724E-6</v>
      </c>
      <c r="F2" s="36">
        <f>$V$5/Table1[[#This Row],[Steigzeit '[s']]]</f>
        <v>1.4619883040935673E-4</v>
      </c>
      <c r="G2" s="36">
        <f>SQRT(($X$5/Table1[[#This Row],[Steigzeit '[s']]])^2+(Table1[[#This Row],[V_{steig}]]/Table1[[#This Row],[Steigzeit '[s']]] * $V$24)^2)</f>
        <v>1.3375934882122175E-5</v>
      </c>
      <c r="H2" s="38">
        <f>SQRT((9 * $V$11)/(2 * ($W$14-$V$15) * $V$7) * Table1[[#This Row],[V_{fall}]] )</f>
        <v>1.0164542198426408E-6</v>
      </c>
      <c r="I2" s="38">
        <f>SQRT((Table1[[#This Row],[Delta V_{fall}]]/(2*Table1[[#This Row],[V_{fall}]]))^2+($X$14/(2*$V$16))^2)* Table1[[#This Row],[Radius]]</f>
        <v>3.5639865459707432E-8</v>
      </c>
      <c r="J2" s="27">
        <f>(Table1[[#This Row],[V_{fall}]]+Table1[[#This Row],[V_{steig}]])*SQRT((9*Table1[[#This Row],[V_{fall}]]*$V$11^3)/(2*($W$14-$V$15)*$V$7))*(6*3.141*$V$9)/$V$29</f>
        <v>1.0585827247514311E-18</v>
      </c>
      <c r="K2" s="27"/>
      <c r="L2" s="7">
        <f>1/(1+($V$18/(Table1[[#This Row],[Radius]]*$V$28)))</f>
        <v>0.92936718548613528</v>
      </c>
      <c r="M2" s="7">
        <f>$V$18/(Table1[[#This Row],[Radius]]*$V$28+$V$18)^2 * SQRT($V$28^2*Table1[[#This Row],[Delta R]]^2+Table1[[#This Row],[Radius]]^2*$X$28)</f>
        <v>2.3016648244053562E-3</v>
      </c>
      <c r="N2" s="3">
        <f>(Table1[[#This Row],[V_{fall}]]+Table1[[#This Row],[V_{steig}]])*SQRT((9 * Table1[[#This Row],[V_{fall}]] * $V$11^3*Table1[[#This Row],[Korrekturstherm]]^3)/(2*($W$14-$V$15)*$V$7))* 6 * PI() * $V$9 / $V$29 /$V$22</f>
        <v>9.486100902616883</v>
      </c>
      <c r="O2" s="3"/>
      <c r="P2" s="7" t="str">
        <f>IF(Table1[[#This Row],[Q_{ges} korrigiert]]&lt;$V$20,Table1[[#This Row],[Q_{ges} korrigiert]], "")</f>
        <v/>
      </c>
      <c r="Q2" s="7">
        <f>Table1[[#This Row],[Q_{ges} korrigiert]]/Table1[[#Totals],[if Q&gt;q]]</f>
        <v>6.009499935922781</v>
      </c>
      <c r="R2">
        <f>INT(Table1[[#This Row],[Abweichung von q]]+0.5)</f>
        <v>6</v>
      </c>
      <c r="S2" s="7">
        <f>Table1[[#This Row],[Q_{ges} korrigiert]]/Table1[[#This Row],[Anzahl Ladungen n]]</f>
        <v>1.5810168171028138</v>
      </c>
      <c r="V2" t="s">
        <v>80</v>
      </c>
      <c r="AD2" s="37">
        <f>(Table1[[#This Row],[V_{fall}]]+Table1[[#This Row],[V_{steig}]])*SQRT((9 * Table1[[#This Row],[V_{fall}]] * $V$11^3*Table1[[#This Row],[Korrekturstherm]]^3)/(2*($W$14-$V$15)*$V$7))* 6 * PI() * $V$9 / $V$29 /$V$22</f>
        <v>9.486100902616883</v>
      </c>
    </row>
    <row r="3" spans="1:30">
      <c r="A3">
        <v>2</v>
      </c>
      <c r="B3">
        <v>4.4109999999999996</v>
      </c>
      <c r="C3">
        <v>3.46</v>
      </c>
      <c r="D3" s="36">
        <f>$V$5/Table1[[#This Row],[Fallzeit '[s']]]</f>
        <v>1.1335298118340514E-4</v>
      </c>
      <c r="E3" s="35">
        <f>SQRT(($X$5/Table1[[#This Row],[Fallzeit '[s']]])^2+(Table1[[#This Row],[V_{fall}]]/Table1[[#This Row],[Fallzeit '[s']]] * $V$24)^2)</f>
        <v>8.2534697665805535E-6</v>
      </c>
      <c r="F3" s="36">
        <f>$V$5/Table1[[#This Row],[Steigzeit '[s']]]</f>
        <v>1.4450867052023122E-4</v>
      </c>
      <c r="G3" s="36">
        <f>SQRT(($X$5/Table1[[#This Row],[Steigzeit '[s']]])^2+(Table1[[#This Row],[V_{steig}]]/Table1[[#This Row],[Steigzeit '[s']]] * $V$24)^2)</f>
        <v>1.3080862361559263E-5</v>
      </c>
      <c r="H3" s="38">
        <f>SQRT((9 * $V$11)/(2 * ($W$14-$V$15) * $V$7) * Table1[[#This Row],[V_{fall}]] )</f>
        <v>1.040256126186017E-6</v>
      </c>
      <c r="I3" s="38">
        <f>SQRT((Table1[[#This Row],[Delta V_{fall}]]/(2*Table1[[#This Row],[V_{fall}]]))^2+($X$14/(2*$V$16))^2)* Table1[[#This Row],[Radius]]</f>
        <v>3.796107418096695E-8</v>
      </c>
      <c r="J3" s="27">
        <f>(Table1[[#This Row],[V_{fall}]]+Table1[[#This Row],[V_{steig}]])*SQRT((9*Table1[[#This Row],[V_{fall}]]*$V$11^3)/(2*($W$14-$V$15)*$V$7))*(6*3.141*$V$9)/$V$29</f>
        <v>1.0980093793692821E-18</v>
      </c>
      <c r="K3" s="27"/>
      <c r="L3" s="7">
        <f>1/(1+($V$18/(Table1[[#This Row],[Radius]]*$V$28)))</f>
        <v>0.93087160082523224</v>
      </c>
      <c r="M3" s="7">
        <f>$V$18/(Table1[[#This Row],[Radius]]*$V$28+$V$18)^2 * SQRT($V$28^2*Table1[[#This Row],[Delta R]]^2+Table1[[#This Row],[Radius]]^2*$X$28)</f>
        <v>2.3482508788738891E-3</v>
      </c>
      <c r="N3" s="3">
        <f>(Table1[[#This Row],[V_{fall}]]+Table1[[#This Row],[V_{steig}]])*SQRT((9 * Table1[[#This Row],[V_{fall}]] * $V$11^3*Table1[[#This Row],[Korrekturstherm]]^3)/(2*($W$14-$V$15)*$V$7))* 6 * PI() * $V$9 / $V$29 /$V$22</f>
        <v>9.8633094246519093</v>
      </c>
      <c r="O3" s="3"/>
      <c r="P3" s="7" t="str">
        <f>IF(Table1[[#This Row],[Q_{ges} korrigiert]]&lt;$V$20,Table1[[#This Row],[Q_{ges} korrigiert]], "")</f>
        <v/>
      </c>
      <c r="Q3" s="7">
        <f>Table1[[#This Row],[Q_{ges} korrigiert]]/Table1[[#Totals],[if Q&gt;q]]</f>
        <v>6.24846372223183</v>
      </c>
      <c r="R3">
        <f>INT(Table1[[#This Row],[Abweichung von q]]+0.5)</f>
        <v>6</v>
      </c>
      <c r="S3" s="7">
        <f>Table1[[#This Row],[Q_{ges} korrigiert]]/Table1[[#This Row],[Anzahl Ladungen n]]</f>
        <v>1.6438849041086516</v>
      </c>
      <c r="V3">
        <f>5*10^-5</f>
        <v>5.0000000000000002E-5</v>
      </c>
      <c r="W3" s="26" t="s">
        <v>81</v>
      </c>
      <c r="X3">
        <f>0.13*10^-5</f>
        <v>1.3E-6</v>
      </c>
      <c r="AD3" s="3">
        <f>(Table1[[#This Row],[V_{fall}]]+Table1[[#This Row],[V_{steig}]])*SQRT((9 * Table1[[#This Row],[V_{fall}]] * $V$11^3*Table1[[#This Row],[Korrekturstherm]]^3)/(2*($W$14-$V$15)*$V$7))* 6 * PI() * $V$9 / $V$29 /$V$22</f>
        <v>9.8633094246519093</v>
      </c>
    </row>
    <row r="4" spans="1:30">
      <c r="A4">
        <v>3</v>
      </c>
      <c r="B4">
        <v>4.5570000000000004</v>
      </c>
      <c r="C4">
        <v>3.52</v>
      </c>
      <c r="D4" s="36">
        <f>$V$5/Table1[[#This Row],[Fallzeit '[s']]]</f>
        <v>1.097213078779899E-4</v>
      </c>
      <c r="E4" s="35">
        <f>SQRT(($X$5/Table1[[#This Row],[Fallzeit '[s']]])^2+(Table1[[#This Row],[V_{fall}]]/Table1[[#This Row],[Fallzeit '[s']]] * $V$24)^2)</f>
        <v>7.7661882208455442E-6</v>
      </c>
      <c r="F4" s="36">
        <f>$V$5/Table1[[#This Row],[Steigzeit '[s']]]</f>
        <v>1.4204545454545454E-4</v>
      </c>
      <c r="G4" s="36">
        <f>SQRT(($X$5/Table1[[#This Row],[Steigzeit '[s']]])^2+(Table1[[#This Row],[V_{steig}]]/Table1[[#This Row],[Steigzeit '[s']]] * $V$24)^2)</f>
        <v>1.2656949858634922E-5</v>
      </c>
      <c r="H4" s="38">
        <f>SQRT((9 * $V$11)/(2 * ($W$14-$V$15) * $V$7) * Table1[[#This Row],[V_{fall}]] )</f>
        <v>1.0234562834747136E-6</v>
      </c>
      <c r="I4" s="38">
        <f>SQRT((Table1[[#This Row],[Delta V_{fall}]]/(2*Table1[[#This Row],[V_{fall}]]))^2+($X$14/(2*$V$16))^2)* Table1[[#This Row],[Radius]]</f>
        <v>3.6311176629294846E-8</v>
      </c>
      <c r="J4" s="27">
        <f>(Table1[[#This Row],[V_{fall}]]+Table1[[#This Row],[V_{steig}]])*SQRT((9*Table1[[#This Row],[V_{fall}]]*$V$11^3)/(2*($W$14-$V$15)*$V$7))*(6*3.141*$V$9)/$V$29</f>
        <v>1.0547431159648382E-18</v>
      </c>
      <c r="K4" s="27"/>
      <c r="L4" s="7">
        <f>1/(1+($V$18/(Table1[[#This Row],[Radius]]*$V$28)))</f>
        <v>0.92981651042301805</v>
      </c>
      <c r="M4" s="7">
        <f>$V$18/(Table1[[#This Row],[Radius]]*$V$28+$V$18)^2 * SQRT($V$28^2*Table1[[#This Row],[Delta R]]^2+Table1[[#This Row],[Radius]]^2*$X$28)</f>
        <v>2.3152784978368638E-3</v>
      </c>
      <c r="N4" s="3">
        <f>(Table1[[#This Row],[V_{fall}]]+Table1[[#This Row],[V_{steig}]])*SQRT((9 * Table1[[#This Row],[V_{fall}]] * $V$11^3*Table1[[#This Row],[Korrekturstherm]]^3)/(2*($W$14-$V$15)*$V$7))* 6 * PI() * $V$9 / $V$29 /$V$22</f>
        <v>9.458548958113278</v>
      </c>
      <c r="O4" s="3"/>
      <c r="P4" s="7" t="str">
        <f>IF(Table1[[#This Row],[Q_{ges} korrigiert]]&lt;$V$20,Table1[[#This Row],[Q_{ges} korrigiert]], "")</f>
        <v/>
      </c>
      <c r="Q4" s="7">
        <f>Table1[[#This Row],[Q_{ges} korrigiert]]/Table1[[#Totals],[if Q&gt;q]]</f>
        <v>5.9920456192937763</v>
      </c>
      <c r="R4">
        <f>INT(Table1[[#This Row],[Abweichung von q]]+0.5)</f>
        <v>6</v>
      </c>
      <c r="S4" s="7">
        <f>Table1[[#This Row],[Q_{ges} korrigiert]]/Table1[[#This Row],[Anzahl Ladungen n]]</f>
        <v>1.5764248263522129</v>
      </c>
      <c r="U4" t="s">
        <v>85</v>
      </c>
      <c r="V4">
        <v>10</v>
      </c>
      <c r="AD4" s="37">
        <f>(Table1[[#This Row],[V_{fall}]]+Table1[[#This Row],[V_{steig}]])*SQRT((9 * Table1[[#This Row],[V_{fall}]] * $V$11^3*Table1[[#This Row],[Korrekturstherm]]^3)/(2*($W$14-$V$15)*$V$7))* 6 * PI() * $V$9 / $V$29 /$V$22</f>
        <v>9.458548958113278</v>
      </c>
    </row>
    <row r="5" spans="1:30">
      <c r="A5">
        <v>4</v>
      </c>
      <c r="B5" s="3">
        <v>4.5069999999999997</v>
      </c>
      <c r="C5" s="3">
        <v>3.6869999999999998</v>
      </c>
      <c r="D5" s="36">
        <f>$V$5/Table1[[#This Row],[Fallzeit '[s']]]</f>
        <v>1.1093854004881296E-4</v>
      </c>
      <c r="E5" s="35">
        <f>SQRT(($X$5/Table1[[#This Row],[Fallzeit '[s']]])^2+(Table1[[#This Row],[V_{fall}]]/Table1[[#This Row],[Fallzeit '[s']]] * $V$24)^2)</f>
        <v>7.9277595735629173E-6</v>
      </c>
      <c r="F5" s="36">
        <f>$V$5/Table1[[#This Row],[Steigzeit '[s']]]</f>
        <v>1.3561160835367508E-4</v>
      </c>
      <c r="G5" s="36">
        <f>SQRT(($X$5/Table1[[#This Row],[Steigzeit '[s']]])^2+(Table1[[#This Row],[V_{steig}]]/Table1[[#This Row],[Steigzeit '[s']]] * $V$24)^2)</f>
        <v>1.1583948820871126E-5</v>
      </c>
      <c r="H5" s="38">
        <f>SQRT((9 * $V$11)/(2 * ($W$14-$V$15) * $V$7) * Table1[[#This Row],[V_{fall}]] )</f>
        <v>1.0291176624493814E-6</v>
      </c>
      <c r="I5" s="38">
        <f>SQRT((Table1[[#This Row],[Delta V_{fall}]]/(2*Table1[[#This Row],[V_{fall}]]))^2+($X$14/(2*$V$16))^2)* Table1[[#This Row],[Radius]]</f>
        <v>3.6860962300144235E-8</v>
      </c>
      <c r="J5" s="27">
        <f>(Table1[[#This Row],[V_{fall}]]+Table1[[#This Row],[V_{steig}]])*SQRT((9*Table1[[#This Row],[V_{fall}]]*$V$11^3)/(2*($W$14-$V$15)*$V$7))*(6*3.141*$V$9)/$V$29</f>
        <v>1.0386023667195896E-18</v>
      </c>
      <c r="K5" s="27"/>
      <c r="L5" s="7">
        <f>1/(1+($V$18/(Table1[[#This Row],[Radius]]*$V$28)))</f>
        <v>0.93017564491503801</v>
      </c>
      <c r="M5" s="7">
        <f>$V$18/(Table1[[#This Row],[Radius]]*$V$28+$V$18)^2 * SQRT($V$28^2*Table1[[#This Row],[Delta R]]^2+Table1[[#This Row],[Radius]]^2*$X$28)</f>
        <v>2.3263418617551564E-3</v>
      </c>
      <c r="N5" s="3">
        <f>(Table1[[#This Row],[V_{fall}]]+Table1[[#This Row],[V_{steig}]])*SQRT((9 * Table1[[#This Row],[V_{fall}]] * $V$11^3*Table1[[#This Row],[Korrekturstherm]]^3)/(2*($W$14-$V$15)*$V$7))* 6 * PI() * $V$9 / $V$29 /$V$22</f>
        <v>9.3192012452037094</v>
      </c>
      <c r="O5" s="3"/>
      <c r="P5" s="7" t="str">
        <f>IF(Table1[[#This Row],[Q_{ges} korrigiert]]&lt;$V$20,Table1[[#This Row],[Q_{ges} korrigiert]], "")</f>
        <v/>
      </c>
      <c r="Q5" s="7">
        <f>Table1[[#This Row],[Q_{ges} korrigiert]]/Table1[[#Totals],[if Q&gt;q]]</f>
        <v>5.903768035026248</v>
      </c>
      <c r="R5">
        <f>INT(Table1[[#This Row],[Abweichung von q]]+0.5)</f>
        <v>6</v>
      </c>
      <c r="S5" s="7">
        <f>Table1[[#This Row],[Q_{ges} korrigiert]]/Table1[[#This Row],[Anzahl Ladungen n]]</f>
        <v>1.5532002075339515</v>
      </c>
      <c r="U5" t="s">
        <v>82</v>
      </c>
      <c r="V5" s="1">
        <f>V3*10</f>
        <v>5.0000000000000001E-4</v>
      </c>
      <c r="X5" s="1">
        <f>X3*10</f>
        <v>1.3000000000000001E-5</v>
      </c>
      <c r="AD5" s="3">
        <f>(Table1[[#This Row],[V_{fall}]]+Table1[[#This Row],[V_{steig}]])*SQRT((9 * Table1[[#This Row],[V_{fall}]] * $V$11^3*Table1[[#This Row],[Korrekturstherm]]^3)/(2*($W$14-$V$15)*$V$7))* 6 * PI() * $V$9 / $V$29 /$V$22</f>
        <v>9.3192012452037094</v>
      </c>
    </row>
    <row r="6" spans="1:30">
      <c r="A6">
        <v>5</v>
      </c>
      <c r="B6" s="28">
        <v>4.6230000000000002</v>
      </c>
      <c r="C6" s="28">
        <v>3.8650000000000002</v>
      </c>
      <c r="D6" s="36">
        <f>$V$5/Table1[[#This Row],[Fallzeit '[s']]]</f>
        <v>1.081548777849881E-4</v>
      </c>
      <c r="E6" s="35">
        <f>SQRT(($X$5/Table1[[#This Row],[Fallzeit '[s']]])^2+(Table1[[#This Row],[V_{fall}]]/Table1[[#This Row],[Fallzeit '[s']]] * $V$24)^2)</f>
        <v>7.5608629366998289E-6</v>
      </c>
      <c r="F6" s="36">
        <f>$V$5/Table1[[#This Row],[Steigzeit '[s']]]</f>
        <v>1.2936610608020699E-4</v>
      </c>
      <c r="G6" s="36">
        <f>SQRT(($X$5/Table1[[#This Row],[Steigzeit '[s']]])^2+(Table1[[#This Row],[V_{steig}]]/Table1[[#This Row],[Steigzeit '[s']]] * $V$24)^2)</f>
        <v>1.0589713942685835E-5</v>
      </c>
      <c r="H6" s="38">
        <f>SQRT((9 * $V$11)/(2 * ($W$14-$V$15) * $V$7) * Table1[[#This Row],[V_{fall}]] )</f>
        <v>1.016124362874733E-6</v>
      </c>
      <c r="I6" s="38">
        <f>SQRT((Table1[[#This Row],[Delta V_{fall}]]/(2*Table1[[#This Row],[V_{fall}]]))^2+($X$14/(2*$V$16))^2)* Table1[[#This Row],[Radius]]</f>
        <v>3.5608476475395405E-8</v>
      </c>
      <c r="J6" s="27">
        <f>(Table1[[#This Row],[V_{fall}]]+Table1[[#This Row],[V_{steig}]])*SQRT((9*Table1[[#This Row],[V_{fall}]]*$V$11^3)/(2*($W$14-$V$15)*$V$7))*(6*3.141*$V$9)/$V$29</f>
        <v>9.8793382585021869E-19</v>
      </c>
      <c r="K6" s="27"/>
      <c r="L6" s="7">
        <f>1/(1+($V$18/(Table1[[#This Row],[Radius]]*$V$28)))</f>
        <v>0.92934587650491696</v>
      </c>
      <c r="M6" s="7">
        <f>$V$18/(Table1[[#This Row],[Radius]]*$V$28+$V$18)^2 * SQRT($V$28^2*Table1[[#This Row],[Delta R]]^2+Table1[[#This Row],[Radius]]^2*$X$28)</f>
        <v>2.301025436085769E-3</v>
      </c>
      <c r="N6" s="3">
        <f>(Table1[[#This Row],[V_{fall}]]+Table1[[#This Row],[V_{steig}]])*SQRT((9 * Table1[[#This Row],[V_{fall}]] * $V$11^3*Table1[[#This Row],[Korrekturstherm]]^3)/(2*($W$14-$V$15)*$V$7))* 6 * PI() * $V$9 / $V$29 /$V$22</f>
        <v>8.852702224965606</v>
      </c>
      <c r="O6" s="3"/>
      <c r="P6" s="7" t="str">
        <f>IF(Table1[[#This Row],[Q_{ges} korrigiert]]&lt;$V$20,Table1[[#This Row],[Q_{ges} korrigiert]], "")</f>
        <v/>
      </c>
      <c r="Q6" s="7">
        <f>Table1[[#This Row],[Q_{ges} korrigiert]]/Table1[[#Totals],[if Q&gt;q]]</f>
        <v>5.608238200270268</v>
      </c>
      <c r="R6">
        <f>INT(Table1[[#This Row],[Abweichung von q]]+0.5)</f>
        <v>6</v>
      </c>
      <c r="S6" s="7">
        <f>Table1[[#This Row],[Q_{ges} korrigiert]]/Table1[[#This Row],[Anzahl Ladungen n]]</f>
        <v>1.475450370827601</v>
      </c>
      <c r="X6" s="1"/>
      <c r="AD6" s="37">
        <f>(Table1[[#This Row],[V_{fall}]]+Table1[[#This Row],[V_{steig}]])*SQRT((9 * Table1[[#This Row],[V_{fall}]] * $V$11^3*Table1[[#This Row],[Korrekturstherm]]^3)/(2*($W$14-$V$15)*$V$7))* 6 * PI() * $V$9 / $V$29 /$V$22</f>
        <v>8.852702224965606</v>
      </c>
    </row>
    <row r="7" spans="1:30">
      <c r="A7">
        <v>6</v>
      </c>
      <c r="B7" s="3">
        <v>8.2769999999999992</v>
      </c>
      <c r="C7" s="3">
        <v>8.0980000000000008</v>
      </c>
      <c r="D7" s="36">
        <f>$V$5/Table1[[#This Row],[Fallzeit '[s']]]</f>
        <v>6.0408360517095576E-5</v>
      </c>
      <c r="E7" s="35">
        <f>SQRT(($X$5/Table1[[#This Row],[Fallzeit '[s']]])^2+(Table1[[#This Row],[V_{fall}]]/Table1[[#This Row],[Fallzeit '[s']]] * $V$24)^2)</f>
        <v>2.6945793726057646E-6</v>
      </c>
      <c r="F7" s="36">
        <f>$V$5/Table1[[#This Row],[Steigzeit '[s']]]</f>
        <v>6.1743640405038279E-5</v>
      </c>
      <c r="G7" s="36">
        <f>SQRT(($X$5/Table1[[#This Row],[Steigzeit '[s']]])^2+(Table1[[#This Row],[V_{steig}]]/Table1[[#This Row],[Steigzeit '[s']]] * $V$24)^2)</f>
        <v>2.7944845376577044E-6</v>
      </c>
      <c r="H7" s="38">
        <f>SQRT((9 * $V$11)/(2 * ($W$14-$V$15) * $V$7) * Table1[[#This Row],[V_{fall}]] )</f>
        <v>7.5940304353366941E-7</v>
      </c>
      <c r="I7" s="38">
        <f>SQRT((Table1[[#This Row],[Delta V_{fall}]]/(2*Table1[[#This Row],[V_{fall}]]))^2+($X$14/(2*$V$16))^2)* Table1[[#This Row],[Radius]]</f>
        <v>1.7043377371859048E-8</v>
      </c>
      <c r="J7" s="27">
        <f>(Table1[[#This Row],[V_{fall}]]+Table1[[#This Row],[V_{steig}]])*SQRT((9*Table1[[#This Row],[V_{fall}]]*$V$11^3)/(2*($W$14-$V$15)*$V$7))*(6*3.141*$V$9)/$V$29</f>
        <v>3.797099052400333E-19</v>
      </c>
      <c r="K7" s="27"/>
      <c r="L7" s="7">
        <f>1/(1+($V$18/(Table1[[#This Row],[Radius]]*$V$28)))</f>
        <v>0.9076661765238172</v>
      </c>
      <c r="M7" s="7">
        <f>$V$18/(Table1[[#This Row],[Radius]]*$V$28+$V$18)^2 * SQRT($V$28^2*Table1[[#This Row],[Delta R]]^2+Table1[[#This Row],[Radius]]^2*$X$28)</f>
        <v>1.8809199070928943E-3</v>
      </c>
      <c r="N7" s="3">
        <f>(Table1[[#This Row],[V_{fall}]]+Table1[[#This Row],[V_{steig}]])*SQRT((9 * Table1[[#This Row],[V_{fall}]] * $V$11^3*Table1[[#This Row],[Korrekturstherm]]^3)/(2*($W$14-$V$15)*$V$7))* 6 * PI() * $V$9 / $V$29 /$V$22</f>
        <v>3.2841508019791945</v>
      </c>
      <c r="O7" s="3"/>
      <c r="P7" s="7" t="str">
        <f>IF(Table1[[#This Row],[Q_{ges} korrigiert]]&lt;$V$20,Table1[[#This Row],[Q_{ges} korrigiert]], "")</f>
        <v/>
      </c>
      <c r="Q7" s="7">
        <f>Table1[[#This Row],[Q_{ges} korrigiert]]/Table1[[#Totals],[if Q&gt;q]]</f>
        <v>2.0805285793038761</v>
      </c>
      <c r="R7">
        <f>INT(Table1[[#This Row],[Abweichung von q]]+0.5)</f>
        <v>2</v>
      </c>
      <c r="S7" s="7">
        <f>Table1[[#This Row],[Q_{ges} korrigiert]]/Table1[[#This Row],[Anzahl Ladungen n]]</f>
        <v>1.6420754009895973</v>
      </c>
      <c r="U7" t="s">
        <v>86</v>
      </c>
      <c r="V7" s="1">
        <v>9.81</v>
      </c>
      <c r="AD7" s="3">
        <f>(Table1[[#This Row],[V_{fall}]]+Table1[[#This Row],[V_{steig}]])*SQRT((9 * Table1[[#This Row],[V_{fall}]] * $V$11^3*Table1[[#This Row],[Korrekturstherm]]^3)/(2*($W$14-$V$15)*$V$7))* 6 * PI() * $V$9 / $V$29 /$V$22</f>
        <v>3.2841508019791945</v>
      </c>
    </row>
    <row r="8" spans="1:30">
      <c r="A8">
        <v>7</v>
      </c>
      <c r="B8" s="3">
        <v>8.8829999999999991</v>
      </c>
      <c r="C8" s="3">
        <v>8.4990000000000006</v>
      </c>
      <c r="D8" s="36">
        <f>$V$5/Table1[[#This Row],[Fallzeit '[s']]]</f>
        <v>5.6287290329843525E-5</v>
      </c>
      <c r="E8" s="35">
        <f>SQRT(($X$5/Table1[[#This Row],[Fallzeit '[s']]])^2+(Table1[[#This Row],[V_{fall}]]/Table1[[#This Row],[Fallzeit '[s']]] * $V$24)^2)</f>
        <v>2.3990361965923096E-6</v>
      </c>
      <c r="F8" s="36">
        <f>$V$5/Table1[[#This Row],[Steigzeit '[s']]]</f>
        <v>5.8830450641251912E-5</v>
      </c>
      <c r="G8" s="36">
        <f>SQRT(($X$5/Table1[[#This Row],[Steigzeit '[s']]])^2+(Table1[[#This Row],[V_{steig}]]/Table1[[#This Row],[Steigzeit '[s']]] * $V$24)^2)</f>
        <v>2.5791419133857688E-6</v>
      </c>
      <c r="H8" s="38">
        <f>SQRT((9 * $V$11)/(2 * ($W$14-$V$15) * $V$7) * Table1[[#This Row],[V_{fall}]] )</f>
        <v>7.3304220499070668E-7</v>
      </c>
      <c r="I8" s="38">
        <f>SQRT((Table1[[#This Row],[Delta V_{fall}]]/(2*Table1[[#This Row],[V_{fall}]]))^2+($X$14/(2*$V$16))^2)* Table1[[#This Row],[Radius]]</f>
        <v>1.5729040670903994E-8</v>
      </c>
      <c r="J8" s="27">
        <f>(Table1[[#This Row],[V_{fall}]]+Table1[[#This Row],[V_{steig}]])*SQRT((9*Table1[[#This Row],[V_{fall}]]*$V$11^3)/(2*($W$14-$V$15)*$V$7))*(6*3.141*$V$9)/$V$29</f>
        <v>3.4542220024910985E-19</v>
      </c>
      <c r="K8" s="27"/>
      <c r="L8" s="7">
        <f>1/(1+($V$18/(Table1[[#This Row],[Radius]]*$V$28)))</f>
        <v>0.90466233118364314</v>
      </c>
      <c r="M8" s="7">
        <f>$V$18/(Table1[[#This Row],[Radius]]*$V$28+$V$18)^2 * SQRT($V$28^2*Table1[[#This Row],[Delta R]]^2+Table1[[#This Row],[Radius]]^2*$X$28)</f>
        <v>1.8506500182986511E-3</v>
      </c>
      <c r="N8" s="3">
        <f>(Table1[[#This Row],[V_{fall}]]+Table1[[#This Row],[V_{steig}]])*SQRT((9 * Table1[[#This Row],[V_{fall}]] * $V$11^3*Table1[[#This Row],[Korrekturstherm]]^3)/(2*($W$14-$V$15)*$V$7))* 6 * PI() * $V$9 / $V$29 /$V$22</f>
        <v>2.9727743386350727</v>
      </c>
      <c r="O8" s="3"/>
      <c r="P8" s="7" t="str">
        <f>IF(Table1[[#This Row],[Q_{ges} korrigiert]]&lt;$V$20,Table1[[#This Row],[Q_{ges} korrigiert]], "")</f>
        <v/>
      </c>
      <c r="Q8" s="7">
        <f>Table1[[#This Row],[Q_{ges} korrigiert]]/Table1[[#Totals],[if Q&gt;q]]</f>
        <v>1.8832697839648807</v>
      </c>
      <c r="R8">
        <f>INT(Table1[[#This Row],[Abweichung von q]]+0.5)</f>
        <v>2</v>
      </c>
      <c r="S8" s="7">
        <f>Table1[[#This Row],[Q_{ges} korrigiert]]/Table1[[#This Row],[Anzahl Ladungen n]]</f>
        <v>1.4863871693175363</v>
      </c>
      <c r="AD8" s="37">
        <f>(Table1[[#This Row],[V_{fall}]]+Table1[[#This Row],[V_{steig}]])*SQRT((9 * Table1[[#This Row],[V_{fall}]] * $V$11^3*Table1[[#This Row],[Korrekturstherm]]^3)/(2*($W$14-$V$15)*$V$7))* 6 * PI() * $V$9 / $V$29 /$V$22</f>
        <v>2.9727743386350727</v>
      </c>
    </row>
    <row r="9" spans="1:30">
      <c r="A9">
        <v>8</v>
      </c>
      <c r="B9" s="3">
        <v>8.5060000000000002</v>
      </c>
      <c r="C9" s="3">
        <v>8.2059999999999995</v>
      </c>
      <c r="D9" s="36">
        <f>$V$5/Table1[[#This Row],[Fallzeit '[s']]]</f>
        <v>5.8782036209734302E-5</v>
      </c>
      <c r="E9" s="35">
        <f>SQRT(($X$5/Table1[[#This Row],[Fallzeit '[s']]])^2+(Table1[[#This Row],[V_{fall}]]/Table1[[#This Row],[Fallzeit '[s']]] * $V$24)^2)</f>
        <v>2.5756447749120105E-6</v>
      </c>
      <c r="F9" s="36">
        <f>$V$5/Table1[[#This Row],[Steigzeit '[s']]]</f>
        <v>6.0931026078479169E-5</v>
      </c>
      <c r="G9" s="36">
        <f>SQRT(($X$5/Table1[[#This Row],[Steigzeit '[s']]])^2+(Table1[[#This Row],[V_{steig}]]/Table1[[#This Row],[Steigzeit '[s']]] * $V$24)^2)</f>
        <v>2.7334424191015442E-6</v>
      </c>
      <c r="H9" s="38">
        <f>SQRT((9 * $V$11)/(2 * ($W$14-$V$15) * $V$7) * Table1[[#This Row],[V_{fall}]] )</f>
        <v>7.4911090936159818E-7</v>
      </c>
      <c r="I9" s="38">
        <f>SQRT((Table1[[#This Row],[Delta V_{fall}]]/(2*Table1[[#This Row],[V_{fall}]]))^2+($X$14/(2*$V$16))^2)* Table1[[#This Row],[Radius]]</f>
        <v>1.65186693546732E-8</v>
      </c>
      <c r="J9" s="27">
        <f>(Table1[[#This Row],[V_{fall}]]+Table1[[#This Row],[V_{steig}]])*SQRT((9*Table1[[#This Row],[V_{fall}]]*$V$11^3)/(2*($W$14-$V$15)*$V$7))*(6*3.141*$V$9)/$V$29</f>
        <v>3.6708502642175395E-19</v>
      </c>
      <c r="K9" s="27"/>
      <c r="L9" s="7">
        <f>1/(1+($V$18/(Table1[[#This Row],[Radius]]*$V$28)))</f>
        <v>0.9065161821960438</v>
      </c>
      <c r="M9" s="7">
        <f>$V$18/(Table1[[#This Row],[Radius]]*$V$28+$V$18)^2 * SQRT($V$28^2*Table1[[#This Row],[Delta R]]^2+Table1[[#This Row],[Radius]]^2*$X$28)</f>
        <v>1.8687058460682957E-3</v>
      </c>
      <c r="N9" s="3">
        <f>(Table1[[#This Row],[V_{fall}]]+Table1[[#This Row],[V_{steig}]])*SQRT((9 * Table1[[#This Row],[V_{fall}]] * $V$11^3*Table1[[#This Row],[Korrekturstherm]]^3)/(2*($W$14-$V$15)*$V$7))* 6 * PI() * $V$9 / $V$29 /$V$22</f>
        <v>3.1689249049643475</v>
      </c>
      <c r="O9" s="3"/>
      <c r="P9" s="7" t="str">
        <f>IF(Table1[[#This Row],[Q_{ges} korrigiert]]&lt;$V$20,Table1[[#This Row],[Q_{ges} korrigiert]], "")</f>
        <v/>
      </c>
      <c r="Q9" s="7">
        <f>Table1[[#This Row],[Q_{ges} korrigiert]]/Table1[[#Totals],[if Q&gt;q]]</f>
        <v>2.0075323052987843</v>
      </c>
      <c r="R9">
        <f>INT(Table1[[#This Row],[Abweichung von q]]+0.5)</f>
        <v>2</v>
      </c>
      <c r="S9" s="7">
        <f>Table1[[#This Row],[Q_{ges} korrigiert]]/Table1[[#This Row],[Anzahl Ladungen n]]</f>
        <v>1.5844624524821738</v>
      </c>
      <c r="U9" t="s">
        <v>92</v>
      </c>
      <c r="V9" s="1">
        <v>6.0000000000000001E-3</v>
      </c>
      <c r="X9" s="1">
        <v>5.0000000000000002E-5</v>
      </c>
      <c r="AD9" s="3">
        <f>(Table1[[#This Row],[V_{fall}]]+Table1[[#This Row],[V_{steig}]])*SQRT((9 * Table1[[#This Row],[V_{fall}]] * $V$11^3*Table1[[#This Row],[Korrekturstherm]]^3)/(2*($W$14-$V$15)*$V$7))* 6 * PI() * $V$9 / $V$29 /$V$22</f>
        <v>3.1689249049643475</v>
      </c>
    </row>
    <row r="10" spans="1:30">
      <c r="A10">
        <v>9</v>
      </c>
      <c r="B10" s="3">
        <v>8.452</v>
      </c>
      <c r="C10" s="3">
        <v>7.9550000000000001</v>
      </c>
      <c r="D10" s="36">
        <f>$V$5/Table1[[#This Row],[Fallzeit '[s']]]</f>
        <v>5.9157595835305252E-5</v>
      </c>
      <c r="E10" s="35">
        <f>SQRT(($X$5/Table1[[#This Row],[Fallzeit '[s']]])^2+(Table1[[#This Row],[V_{fall}]]/Table1[[#This Row],[Fallzeit '[s']]] * $V$24)^2)</f>
        <v>2.6028425290696679E-6</v>
      </c>
      <c r="F10" s="36">
        <f>$V$5/Table1[[#This Row],[Steigzeit '[s']]]</f>
        <v>6.2853551225644248E-5</v>
      </c>
      <c r="G10" s="36">
        <f>SQRT(($X$5/Table1[[#This Row],[Steigzeit '[s']]])^2+(Table1[[#This Row],[V_{steig}]]/Table1[[#This Row],[Steigzeit '[s']]] * $V$24)^2)</f>
        <v>2.8790801743627384E-6</v>
      </c>
      <c r="H10" s="38">
        <f>SQRT((9 * $V$11)/(2 * ($W$14-$V$15) * $V$7) * Table1[[#This Row],[V_{fall}]] )</f>
        <v>7.5150014164648636E-7</v>
      </c>
      <c r="I10" s="38">
        <f>SQRT((Table1[[#This Row],[Delta V_{fall}]]/(2*Table1[[#This Row],[V_{fall}]]))^2+($X$14/(2*$V$16))^2)* Table1[[#This Row],[Radius]]</f>
        <v>1.6639144126092439E-8</v>
      </c>
      <c r="J10" s="27">
        <f>(Table1[[#This Row],[V_{fall}]]+Table1[[#This Row],[V_{steig}]])*SQRT((9*Table1[[#This Row],[V_{fall}]]*$V$11^3)/(2*($W$14-$V$15)*$V$7))*(6*3.141*$V$9)/$V$29</f>
        <v>3.753250788824772E-19</v>
      </c>
      <c r="K10" s="27"/>
      <c r="L10" s="7">
        <f>1/(1+($V$18/(Table1[[#This Row],[Radius]]*$V$28)))</f>
        <v>0.90678568941696203</v>
      </c>
      <c r="M10" s="7">
        <f>$V$18/(Table1[[#This Row],[Radius]]*$V$28+$V$18)^2 * SQRT($V$28^2*Table1[[#This Row],[Delta R]]^2+Table1[[#This Row],[Radius]]^2*$X$28)</f>
        <v>1.8714971523365333E-3</v>
      </c>
      <c r="N10" s="3">
        <f>(Table1[[#This Row],[V_{fall}]]+Table1[[#This Row],[V_{steig}]])*SQRT((9 * Table1[[#This Row],[V_{fall}]] * $V$11^3*Table1[[#This Row],[Korrekturstherm]]^3)/(2*($W$14-$V$15)*$V$7))* 6 * PI() * $V$9 / $V$29 /$V$22</f>
        <v>3.2415035926072551</v>
      </c>
      <c r="O10" s="3"/>
      <c r="P10" s="7" t="str">
        <f>IF(Table1[[#This Row],[Q_{ges} korrigiert]]&lt;$V$20,Table1[[#This Row],[Q_{ges} korrigiert]], "")</f>
        <v/>
      </c>
      <c r="Q10" s="7">
        <f>Table1[[#This Row],[Q_{ges} korrigiert]]/Table1[[#Totals],[if Q&gt;q]]</f>
        <v>2.0535113248366317</v>
      </c>
      <c r="R10">
        <f>INT(Table1[[#This Row],[Abweichung von q]]+0.5)</f>
        <v>2</v>
      </c>
      <c r="S10" s="7">
        <f>Table1[[#This Row],[Q_{ges} korrigiert]]/Table1[[#This Row],[Anzahl Ladungen n]]</f>
        <v>1.6207517963036275</v>
      </c>
      <c r="AD10" s="37">
        <f>(Table1[[#This Row],[V_{fall}]]+Table1[[#This Row],[V_{steig}]])*SQRT((9 * Table1[[#This Row],[V_{fall}]] * $V$11^3*Table1[[#This Row],[Korrekturstherm]]^3)/(2*($W$14-$V$15)*$V$7))* 6 * PI() * $V$9 / $V$29 /$V$22</f>
        <v>3.2415035926072551</v>
      </c>
    </row>
    <row r="11" spans="1:30">
      <c r="A11">
        <v>10</v>
      </c>
      <c r="B11" s="28">
        <v>8.8879999999999999</v>
      </c>
      <c r="C11" s="28">
        <v>8.7100000000000009</v>
      </c>
      <c r="D11" s="36">
        <f>$V$5/Table1[[#This Row],[Fallzeit '[s']]]</f>
        <v>5.625562556255626E-5</v>
      </c>
      <c r="E11" s="35">
        <f>SQRT(($X$5/Table1[[#This Row],[Fallzeit '[s']]])^2+(Table1[[#This Row],[V_{fall}]]/Table1[[#This Row],[Fallzeit '[s']]] * $V$24)^2)</f>
        <v>2.3968397992538309E-6</v>
      </c>
      <c r="F11" s="36">
        <f>$V$5/Table1[[#This Row],[Steigzeit '[s']]]</f>
        <v>5.7405281285878294E-5</v>
      </c>
      <c r="G11" s="36">
        <f>SQRT(($X$5/Table1[[#This Row],[Steigzeit '[s']]])^2+(Table1[[#This Row],[V_{steig}]]/Table1[[#This Row],[Steigzeit '[s']]] * $V$24)^2)</f>
        <v>2.4773101817707737E-6</v>
      </c>
      <c r="H11" s="38">
        <f>SQRT((9 * $V$11)/(2 * ($W$14-$V$15) * $V$7) * Table1[[#This Row],[V_{fall}]] )</f>
        <v>7.3283598724532858E-7</v>
      </c>
      <c r="I11" s="38">
        <f>SQRT((Table1[[#This Row],[Delta V_{fall}]]/(2*Table1[[#This Row],[V_{fall}]]))^2+($X$14/(2*$V$16))^2)* Table1[[#This Row],[Radius]]</f>
        <v>1.5719137887367578E-8</v>
      </c>
      <c r="J11" s="27">
        <f>(Table1[[#This Row],[V_{fall}]]+Table1[[#This Row],[V_{steig}]])*SQRT((9*Table1[[#This Row],[V_{fall}]]*$V$11^3)/(2*($W$14-$V$15)*$V$7))*(6*3.141*$V$9)/$V$29</f>
        <v>3.4095488132863631E-19</v>
      </c>
      <c r="K11" s="27"/>
      <c r="L11" s="7">
        <f>1/(1+($V$18/(Table1[[#This Row],[Radius]]*$V$28)))</f>
        <v>0.9046380618064751</v>
      </c>
      <c r="M11" s="7">
        <f>$V$18/(Table1[[#This Row],[Radius]]*$V$28+$V$18)^2 * SQRT($V$28^2*Table1[[#This Row],[Delta R]]^2+Table1[[#This Row],[Radius]]^2*$X$28)</f>
        <v>1.8504266131340818E-3</v>
      </c>
      <c r="N11" s="3">
        <f>(Table1[[#This Row],[V_{fall}]]+Table1[[#This Row],[V_{steig}]])*SQRT((9 * Table1[[#This Row],[V_{fall}]] * $V$11^3*Table1[[#This Row],[Korrekturstherm]]^3)/(2*($W$14-$V$15)*$V$7))* 6 * PI() * $V$9 / $V$29 /$V$22</f>
        <v>2.9342095972524622</v>
      </c>
      <c r="O11" s="3"/>
      <c r="P11" s="7" t="str">
        <f>IF(Table1[[#This Row],[Q_{ges} korrigiert]]&lt;$V$20,Table1[[#This Row],[Q_{ges} korrigiert]], "")</f>
        <v/>
      </c>
      <c r="Q11" s="7">
        <f>Table1[[#This Row],[Q_{ges} korrigiert]]/Table1[[#Totals],[if Q&gt;q]]</f>
        <v>1.8588387966449227</v>
      </c>
      <c r="R11">
        <f>INT(Table1[[#This Row],[Abweichung von q]]+0.5)</f>
        <v>2</v>
      </c>
      <c r="S11" s="7">
        <f>Table1[[#This Row],[Q_{ges} korrigiert]]/Table1[[#This Row],[Anzahl Ladungen n]]</f>
        <v>1.4671047986262311</v>
      </c>
      <c r="U11" t="s">
        <v>93</v>
      </c>
      <c r="V11" s="1">
        <f>1.81 * 10^-5</f>
        <v>1.8100000000000003E-5</v>
      </c>
      <c r="AD11" s="3">
        <f>(Table1[[#This Row],[V_{fall}]]+Table1[[#This Row],[V_{steig}]])*SQRT((9 * Table1[[#This Row],[V_{fall}]] * $V$11^3*Table1[[#This Row],[Korrekturstherm]]^3)/(2*($W$14-$V$15)*$V$7))* 6 * PI() * $V$9 / $V$29 /$V$22</f>
        <v>2.9342095972524622</v>
      </c>
    </row>
    <row r="12" spans="1:30">
      <c r="A12">
        <v>11</v>
      </c>
      <c r="B12" s="3">
        <v>5.5309999999999997</v>
      </c>
      <c r="C12" s="3">
        <v>4.9969999999999999</v>
      </c>
      <c r="D12" s="36">
        <f>$V$5/Table1[[#This Row],[Fallzeit '[s']]]</f>
        <v>9.0399566082082806E-5</v>
      </c>
      <c r="E12" s="35">
        <f>SQRT(($X$5/Table1[[#This Row],[Fallzeit '[s']]])^2+(Table1[[#This Row],[V_{fall}]]/Table1[[#This Row],[Fallzeit '[s']]] * $V$24)^2)</f>
        <v>5.4374789363365498E-6</v>
      </c>
      <c r="F12" s="36">
        <f>$V$5/Table1[[#This Row],[Steigzeit '[s']]]</f>
        <v>1.0006003602161297E-4</v>
      </c>
      <c r="G12" s="36">
        <f>SQRT(($X$5/Table1[[#This Row],[Steigzeit '[s']]])^2+(Table1[[#This Row],[V_{steig}]]/Table1[[#This Row],[Steigzeit '[s']]] * $V$24)^2)</f>
        <v>6.5463462375838685E-6</v>
      </c>
      <c r="H12" s="38">
        <f>SQRT((9 * $V$11)/(2 * ($W$14-$V$15) * $V$7) * Table1[[#This Row],[V_{fall}]] )</f>
        <v>9.2898132100293489E-7</v>
      </c>
      <c r="I12" s="38">
        <f>SQRT((Table1[[#This Row],[Delta V_{fall}]]/(2*Table1[[#This Row],[V_{fall}]]))^2+($X$14/(2*$V$16))^2)* Table1[[#This Row],[Radius]]</f>
        <v>2.8035478759591509E-8</v>
      </c>
      <c r="J12" s="27">
        <f>(Table1[[#This Row],[V_{fall}]]+Table1[[#This Row],[V_{steig}]])*SQRT((9*Table1[[#This Row],[V_{fall}]]*$V$11^3)/(2*($W$14-$V$15)*$V$7))*(6*3.141*$V$9)/$V$29</f>
        <v>7.2425059744117846E-19</v>
      </c>
      <c r="K12" s="27"/>
      <c r="L12" s="7">
        <f>1/(1+($V$18/(Table1[[#This Row],[Radius]]*$V$28)))</f>
        <v>0.92322699921683204</v>
      </c>
      <c r="M12" s="7">
        <f>$V$18/(Table1[[#This Row],[Radius]]*$V$28+$V$18)^2 * SQRT($V$28^2*Table1[[#This Row],[Delta R]]^2+Table1[[#This Row],[Radius]]^2*$X$28)</f>
        <v>2.1390355879992969E-3</v>
      </c>
      <c r="N12" s="3">
        <f>(Table1[[#This Row],[V_{fall}]]+Table1[[#This Row],[V_{steig}]])*SQRT((9 * Table1[[#This Row],[V_{fall}]] * $V$11^3*Table1[[#This Row],[Korrekturstherm]]^3)/(2*($W$14-$V$15)*$V$7))* 6 * PI() * $V$9 / $V$29 /$V$22</f>
        <v>6.4258937955790696</v>
      </c>
      <c r="O12" s="3"/>
      <c r="P12" s="7" t="str">
        <f>IF(Table1[[#This Row],[Q_{ges} korrigiert]]&lt;$V$20,Table1[[#This Row],[Q_{ges} korrigiert]], "")</f>
        <v/>
      </c>
      <c r="Q12" s="7">
        <f>Table1[[#This Row],[Q_{ges} korrigiert]]/Table1[[#Totals],[if Q&gt;q]]</f>
        <v>4.070840986113283</v>
      </c>
      <c r="R12">
        <f>INT(Table1[[#This Row],[Abweichung von q]]+0.5)</f>
        <v>4</v>
      </c>
      <c r="S12" s="7">
        <f>Table1[[#This Row],[Q_{ges} korrigiert]]/Table1[[#This Row],[Anzahl Ladungen n]]</f>
        <v>1.6064734488947674</v>
      </c>
      <c r="AD12" s="37">
        <f>(Table1[[#This Row],[V_{fall}]]+Table1[[#This Row],[V_{steig}]])*SQRT((9 * Table1[[#This Row],[V_{fall}]] * $V$11^3*Table1[[#This Row],[Korrekturstherm]]^3)/(2*($W$14-$V$15)*$V$7))* 6 * PI() * $V$9 / $V$29 /$V$22</f>
        <v>6.4258937955790696</v>
      </c>
    </row>
    <row r="13" spans="1:30">
      <c r="A13">
        <v>12</v>
      </c>
      <c r="B13" s="3">
        <v>5.3780000000000001</v>
      </c>
      <c r="C13" s="3">
        <v>5.1219999999999999</v>
      </c>
      <c r="D13" s="36">
        <f>$V$5/Table1[[#This Row],[Fallzeit '[s']]]</f>
        <v>9.2971364819635548E-5</v>
      </c>
      <c r="E13" s="35">
        <f>SQRT(($X$5/Table1[[#This Row],[Fallzeit '[s']]])^2+(Table1[[#This Row],[V_{fall}]]/Table1[[#This Row],[Fallzeit '[s']]] * $V$24)^2)</f>
        <v>5.7218742007791541E-6</v>
      </c>
      <c r="F13" s="36">
        <f>$V$5/Table1[[#This Row],[Steigzeit '[s']]]</f>
        <v>9.7618117922686453E-5</v>
      </c>
      <c r="G13" s="36">
        <f>SQRT(($X$5/Table1[[#This Row],[Steigzeit '[s']]])^2+(Table1[[#This Row],[V_{steig}]]/Table1[[#This Row],[Steigzeit '[s']]] * $V$24)^2)</f>
        <v>6.2555978806103768E-6</v>
      </c>
      <c r="H13" s="38">
        <f>SQRT((9 * $V$11)/(2 * ($W$14-$V$15) * $V$7) * Table1[[#This Row],[V_{fall}]] )</f>
        <v>9.4210305483671599E-7</v>
      </c>
      <c r="I13" s="38">
        <f>SQRT((Table1[[#This Row],[Delta V_{fall}]]/(2*Table1[[#This Row],[V_{fall}]]))^2+($X$14/(2*$V$16))^2)* Table1[[#This Row],[Radius]]</f>
        <v>2.9086419520905577E-8</v>
      </c>
      <c r="J13" s="27">
        <f>(Table1[[#This Row],[V_{fall}]]+Table1[[#This Row],[V_{steig}]])*SQRT((9*Table1[[#This Row],[V_{fall}]]*$V$11^3)/(2*($W$14-$V$15)*$V$7))*(6*3.141*$V$9)/$V$29</f>
        <v>7.3498140419170428E-19</v>
      </c>
      <c r="K13" s="27"/>
      <c r="L13" s="7">
        <f>1/(1+($V$18/(Table1[[#This Row],[Radius]]*$V$28)))</f>
        <v>0.92421526660920872</v>
      </c>
      <c r="M13" s="7">
        <f>$V$18/(Table1[[#This Row],[Radius]]*$V$28+$V$18)^2 * SQRT($V$28^2*Table1[[#This Row],[Delta R]]^2+Table1[[#This Row],[Radius]]^2*$X$28)</f>
        <v>2.1624532100368277E-3</v>
      </c>
      <c r="N13" s="3">
        <f>(Table1[[#This Row],[V_{fall}]]+Table1[[#This Row],[V_{steig}]])*SQRT((9 * Table1[[#This Row],[V_{fall}]] * $V$11^3*Table1[[#This Row],[Korrekturstherm]]^3)/(2*($W$14-$V$15)*$V$7))* 6 * PI() * $V$9 / $V$29 /$V$22</f>
        <v>6.5315761505709649</v>
      </c>
      <c r="O13" s="3"/>
      <c r="P13" s="7" t="str">
        <f>IF(Table1[[#This Row],[Q_{ges} korrigiert]]&lt;$V$20,Table1[[#This Row],[Q_{ges} korrigiert]], "")</f>
        <v/>
      </c>
      <c r="Q13" s="7">
        <f>Table1[[#This Row],[Q_{ges} korrigiert]]/Table1[[#Totals],[if Q&gt;q]]</f>
        <v>4.1377913708995928</v>
      </c>
      <c r="R13">
        <f>INT(Table1[[#This Row],[Abweichung von q]]+0.5)</f>
        <v>4</v>
      </c>
      <c r="S13" s="7">
        <f>Table1[[#This Row],[Q_{ges} korrigiert]]/Table1[[#This Row],[Anzahl Ladungen n]]</f>
        <v>1.6328940376427412</v>
      </c>
      <c r="V13" s="26" t="s">
        <v>96</v>
      </c>
      <c r="W13" s="26" t="s">
        <v>97</v>
      </c>
      <c r="AD13" s="3">
        <f>(Table1[[#This Row],[V_{fall}]]+Table1[[#This Row],[V_{steig}]])*SQRT((9 * Table1[[#This Row],[V_{fall}]] * $V$11^3*Table1[[#This Row],[Korrekturstherm]]^3)/(2*($W$14-$V$15)*$V$7))* 6 * PI() * $V$9 / $V$29 /$V$22</f>
        <v>6.5315761505709649</v>
      </c>
    </row>
    <row r="14" spans="1:30">
      <c r="A14">
        <v>13</v>
      </c>
      <c r="B14" s="3">
        <v>5.2160000000000002</v>
      </c>
      <c r="C14" s="3">
        <v>4.9930000000000003</v>
      </c>
      <c r="D14" s="36">
        <f>$V$5/Table1[[#This Row],[Fallzeit '[s']]]</f>
        <v>9.5858895705521475E-5</v>
      </c>
      <c r="E14" s="35">
        <f>SQRT(($X$5/Table1[[#This Row],[Fallzeit '[s']]])^2+(Table1[[#This Row],[V_{fall}]]/Table1[[#This Row],[Fallzeit '[s']]] * $V$24)^2)</f>
        <v>6.050522101435122E-6</v>
      </c>
      <c r="F14" s="36">
        <f>$V$5/Table1[[#This Row],[Steigzeit '[s']]]</f>
        <v>1.0014019627478469E-4</v>
      </c>
      <c r="G14" s="36">
        <f>SQRT(($X$5/Table1[[#This Row],[Steigzeit '[s']]])^2+(Table1[[#This Row],[V_{steig}]]/Table1[[#This Row],[Steigzeit '[s']]] * $V$24)^2)</f>
        <v>6.5560106317530543E-6</v>
      </c>
      <c r="H14" s="38">
        <f>SQRT((9 * $V$11)/(2 * ($W$14-$V$15) * $V$7) * Table1[[#This Row],[V_{fall}]] )</f>
        <v>9.5662124057891742E-7</v>
      </c>
      <c r="I14" s="38">
        <f>SQRT((Table1[[#This Row],[Delta V_{fall}]]/(2*Table1[[#This Row],[V_{fall}]]))^2+($X$14/(2*$V$16))^2)* Table1[[#This Row],[Radius]]</f>
        <v>3.0285366413548504E-8</v>
      </c>
      <c r="J14" s="27">
        <f>(Table1[[#This Row],[V_{fall}]]+Table1[[#This Row],[V_{steig}]])*SQRT((9*Table1[[#This Row],[V_{fall}]]*$V$11^3)/(2*($W$14-$V$15)*$V$7))*(6*3.141*$V$9)/$V$29</f>
        <v>7.6749063819012018E-19</v>
      </c>
      <c r="K14" s="27"/>
      <c r="L14" s="7">
        <f>1/(1+($V$18/(Table1[[#This Row],[Radius]]*$V$28)))</f>
        <v>0.92527947574969815</v>
      </c>
      <c r="M14" s="7">
        <f>$V$18/(Table1[[#This Row],[Radius]]*$V$28+$V$18)^2 * SQRT($V$28^2*Table1[[#This Row],[Delta R]]^2+Table1[[#This Row],[Radius]]^2*$X$28)</f>
        <v>2.1887978536007319E-3</v>
      </c>
      <c r="N14" s="3">
        <f>(Table1[[#This Row],[V_{fall}]]+Table1[[#This Row],[V_{steig}]])*SQRT((9 * Table1[[#This Row],[V_{fall}]] * $V$11^3*Table1[[#This Row],[Korrekturstherm]]^3)/(2*($W$14-$V$15)*$V$7))* 6 * PI() * $V$9 / $V$29 /$V$22</f>
        <v>6.8322604932118605</v>
      </c>
      <c r="O14" s="3"/>
      <c r="P14" s="7" t="str">
        <f>IF(Table1[[#This Row],[Q_{ges} korrigiert]]&lt;$V$20,Table1[[#This Row],[Q_{ges} korrigiert]], "")</f>
        <v/>
      </c>
      <c r="Q14" s="7">
        <f>Table1[[#This Row],[Q_{ges} korrigiert]]/Table1[[#Totals],[if Q&gt;q]]</f>
        <v>4.3282766457647348</v>
      </c>
      <c r="R14">
        <f>INT(Table1[[#This Row],[Abweichung von q]]+0.5)</f>
        <v>4</v>
      </c>
      <c r="S14" s="7">
        <f>Table1[[#This Row],[Q_{ges} korrigiert]]/Table1[[#This Row],[Anzahl Ladungen n]]</f>
        <v>1.7080651233029651</v>
      </c>
      <c r="U14" t="s">
        <v>95</v>
      </c>
      <c r="V14">
        <v>877</v>
      </c>
      <c r="W14" s="1">
        <v>871</v>
      </c>
      <c r="X14" s="1">
        <f>W14*0.005</f>
        <v>4.3550000000000004</v>
      </c>
      <c r="AD14" s="37">
        <f>(Table1[[#This Row],[V_{fall}]]+Table1[[#This Row],[V_{steig}]])*SQRT((9 * Table1[[#This Row],[V_{fall}]] * $V$11^3*Table1[[#This Row],[Korrekturstherm]]^3)/(2*($W$14-$V$15)*$V$7))* 6 * PI() * $V$9 / $V$29 /$V$22</f>
        <v>6.8322604932118605</v>
      </c>
    </row>
    <row r="15" spans="1:30">
      <c r="A15">
        <v>14</v>
      </c>
      <c r="B15" s="3">
        <v>5.8220000000000001</v>
      </c>
      <c r="C15" s="3">
        <v>5.0990000000000002</v>
      </c>
      <c r="D15" s="36">
        <f>$V$5/Table1[[#This Row],[Fallzeit '[s']]]</f>
        <v>8.5881140501545863E-5</v>
      </c>
      <c r="E15" s="35">
        <f>SQRT(($X$5/Table1[[#This Row],[Fallzeit '[s']]])^2+(Table1[[#This Row],[V_{fall}]]/Table1[[#This Row],[Fallzeit '[s']]] * $V$24)^2)</f>
        <v>4.9567669802047725E-6</v>
      </c>
      <c r="F15" s="36">
        <f>$V$5/Table1[[#This Row],[Steigzeit '[s']]]</f>
        <v>9.8058442831927827E-5</v>
      </c>
      <c r="G15" s="36">
        <f>SQRT(($X$5/Table1[[#This Row],[Steigzeit '[s']]])^2+(Table1[[#This Row],[V_{steig}]]/Table1[[#This Row],[Steigzeit '[s']]] * $V$24)^2)</f>
        <v>6.3075021146617487E-6</v>
      </c>
      <c r="H15" s="38">
        <f>SQRT((9 * $V$11)/(2 * ($W$14-$V$15) * $V$7) * Table1[[#This Row],[V_{fall}]] )</f>
        <v>9.0546717401941801E-7</v>
      </c>
      <c r="I15" s="38">
        <f>SQRT((Table1[[#This Row],[Delta V_{fall}]]/(2*Table1[[#This Row],[V_{fall}]]))^2+($X$14/(2*$V$16))^2)* Table1[[#This Row],[Radius]]</f>
        <v>2.6228398677455111E-8</v>
      </c>
      <c r="J15" s="27">
        <f>(Table1[[#This Row],[V_{fall}]]+Table1[[#This Row],[V_{steig}]])*SQRT((9*Table1[[#This Row],[V_{fall}]]*$V$11^3)/(2*($W$14-$V$15)*$V$7))*(6*3.141*$V$9)/$V$29</f>
        <v>6.8175277833388148E-19</v>
      </c>
      <c r="K15" s="27"/>
      <c r="L15" s="7">
        <f>1/(1+($V$18/(Table1[[#This Row],[Radius]]*$V$28)))</f>
        <v>0.92139000186821918</v>
      </c>
      <c r="M15" s="7">
        <f>$V$18/(Table1[[#This Row],[Radius]]*$V$28+$V$18)^2 * SQRT($V$28^2*Table1[[#This Row],[Delta R]]^2+Table1[[#This Row],[Radius]]^2*$X$28)</f>
        <v>2.0980718162400725E-3</v>
      </c>
      <c r="N15" s="3">
        <f>(Table1[[#This Row],[V_{fall}]]+Table1[[#This Row],[V_{steig}]])*SQRT((9 * Table1[[#This Row],[V_{fall}]] * $V$11^3*Table1[[#This Row],[Korrekturstherm]]^3)/(2*($W$14-$V$15)*$V$7))* 6 * PI() * $V$9 / $V$29 /$V$22</f>
        <v>6.0307884694520348</v>
      </c>
      <c r="O15" s="3"/>
      <c r="P15" s="7" t="str">
        <f>IF(Table1[[#This Row],[Q_{ges} korrigiert]]&lt;$V$20,Table1[[#This Row],[Q_{ges} korrigiert]], "")</f>
        <v/>
      </c>
      <c r="Q15" s="7">
        <f>Table1[[#This Row],[Q_{ges} korrigiert]]/Table1[[#Totals],[if Q&gt;q]]</f>
        <v>3.8205394706204259</v>
      </c>
      <c r="R15">
        <f>INT(Table1[[#This Row],[Abweichung von q]]+0.5)</f>
        <v>4</v>
      </c>
      <c r="S15" s="7">
        <f>Table1[[#This Row],[Q_{ges} korrigiert]]/Table1[[#This Row],[Anzahl Ladungen n]]</f>
        <v>1.5076971173630087</v>
      </c>
      <c r="U15" t="s">
        <v>94</v>
      </c>
      <c r="V15" s="1">
        <v>1.29</v>
      </c>
      <c r="AD15" s="3">
        <f>(Table1[[#This Row],[V_{fall}]]+Table1[[#This Row],[V_{steig}]])*SQRT((9 * Table1[[#This Row],[V_{fall}]] * $V$11^3*Table1[[#This Row],[Korrekturstherm]]^3)/(2*($W$14-$V$15)*$V$7))* 6 * PI() * $V$9 / $V$29 /$V$22</f>
        <v>6.0307884694520348</v>
      </c>
    </row>
    <row r="16" spans="1:30">
      <c r="A16">
        <v>15</v>
      </c>
      <c r="B16" s="28">
        <v>5.3090000000000002</v>
      </c>
      <c r="C16" s="28">
        <v>4.5199999999999996</v>
      </c>
      <c r="D16" s="36">
        <f>$V$5/Table1[[#This Row],[Fallzeit '[s']]]</f>
        <v>9.4179694857788666E-5</v>
      </c>
      <c r="E16" s="35">
        <f>SQRT(($X$5/Table1[[#This Row],[Fallzeit '[s']]])^2+(Table1[[#This Row],[V_{fall}]]/Table1[[#This Row],[Fallzeit '[s']]] * $V$24)^2)</f>
        <v>5.8581991198747478E-6</v>
      </c>
      <c r="F16" s="36">
        <f>$V$5/Table1[[#This Row],[Steigzeit '[s']]]</f>
        <v>1.1061946902654868E-4</v>
      </c>
      <c r="G16" s="36">
        <f>SQRT(($X$5/Table1[[#This Row],[Steigzeit '[s']]])^2+(Table1[[#This Row],[V_{steig}]]/Table1[[#This Row],[Steigzeit '[s']]] * $V$24)^2)</f>
        <v>7.8852364037535962E-6</v>
      </c>
      <c r="H16" s="38">
        <f>SQRT((9 * $V$11)/(2 * ($W$14-$V$15) * $V$7) * Table1[[#This Row],[V_{fall}]] )</f>
        <v>9.4820545243699749E-7</v>
      </c>
      <c r="I16" s="38">
        <f>SQRT((Table1[[#This Row],[Delta V_{fall}]]/(2*Table1[[#This Row],[V_{fall}]]))^2+($X$14/(2*$V$16))^2)* Table1[[#This Row],[Radius]]</f>
        <v>2.9585710417283738E-8</v>
      </c>
      <c r="J16" s="27">
        <f>(Table1[[#This Row],[V_{fall}]]+Table1[[#This Row],[V_{steig}]])*SQRT((9*Table1[[#This Row],[V_{fall}]]*$V$11^3)/(2*($W$14-$V$15)*$V$7))*(6*3.141*$V$9)/$V$29</f>
        <v>7.9489476211605471E-19</v>
      </c>
      <c r="K16" s="27"/>
      <c r="L16" s="7">
        <f>1/(1+($V$18/(Table1[[#This Row],[Radius]]*$V$28)))</f>
        <v>0.92466625440314476</v>
      </c>
      <c r="M16" s="7">
        <f>$V$18/(Table1[[#This Row],[Radius]]*$V$28+$V$18)^2 * SQRT($V$28^2*Table1[[#This Row],[Delta R]]^2+Table1[[#This Row],[Radius]]^2*$X$28)</f>
        <v>2.1734723792135985E-3</v>
      </c>
      <c r="N16" s="3">
        <f>(Table1[[#This Row],[V_{fall}]]+Table1[[#This Row],[V_{steig}]])*SQRT((9 * Table1[[#This Row],[V_{fall}]] * $V$11^3*Table1[[#This Row],[Korrekturstherm]]^3)/(2*($W$14-$V$15)*$V$7))* 6 * PI() * $V$9 / $V$29 /$V$22</f>
        <v>7.0691807168515792</v>
      </c>
      <c r="O16" s="3"/>
      <c r="P16" s="7" t="str">
        <f>IF(Table1[[#This Row],[Q_{ges} korrigiert]]&lt;$V$20,Table1[[#This Row],[Q_{ges} korrigiert]], "")</f>
        <v/>
      </c>
      <c r="Q16" s="7">
        <f>Table1[[#This Row],[Q_{ges} korrigiert]]/Table1[[#Totals],[if Q&gt;q]]</f>
        <v>4.4783669814461664</v>
      </c>
      <c r="R16">
        <f>INT(Table1[[#This Row],[Abweichung von q]]+0.5)</f>
        <v>4</v>
      </c>
      <c r="S16" s="7">
        <f>Table1[[#This Row],[Q_{ges} korrigiert]]/Table1[[#This Row],[Anzahl Ladungen n]]</f>
        <v>1.7672951792128948</v>
      </c>
      <c r="U16" s="5" t="s">
        <v>116</v>
      </c>
      <c r="V16">
        <f>W14-V15</f>
        <v>869.71</v>
      </c>
      <c r="AD16" s="37">
        <f>(Table1[[#This Row],[V_{fall}]]+Table1[[#This Row],[V_{steig}]])*SQRT((9 * Table1[[#This Row],[V_{fall}]] * $V$11^3*Table1[[#This Row],[Korrekturstherm]]^3)/(2*($W$14-$V$15)*$V$7))* 6 * PI() * $V$9 / $V$29 /$V$22</f>
        <v>7.0691807168515792</v>
      </c>
    </row>
    <row r="17" spans="1:30">
      <c r="A17">
        <v>16</v>
      </c>
      <c r="B17" s="3">
        <v>4.9189999999999996</v>
      </c>
      <c r="C17" s="3">
        <v>14.757999999999999</v>
      </c>
      <c r="D17" s="36">
        <f>$V$5/Table1[[#This Row],[Fallzeit '[s']]]</f>
        <v>1.0164667615368978E-4</v>
      </c>
      <c r="E17" s="35">
        <f>SQRT(($X$5/Table1[[#This Row],[Fallzeit '[s']]])^2+(Table1[[#This Row],[V_{fall}]]/Table1[[#This Row],[Fallzeit '[s']]] * $V$24)^2)</f>
        <v>6.7390572193971546E-6</v>
      </c>
      <c r="F17" s="36">
        <f>$V$5/Table1[[#This Row],[Steigzeit '[s']]]</f>
        <v>3.3879929529746582E-5</v>
      </c>
      <c r="G17" s="36">
        <f>SQRT(($X$5/Table1[[#This Row],[Steigzeit '[s']]])^2+(Table1[[#This Row],[V_{steig}]]/Table1[[#This Row],[Steigzeit '[s']]] * $V$24)^2)</f>
        <v>1.1181536122515978E-6</v>
      </c>
      <c r="H17" s="38">
        <f>SQRT((9 * $V$11)/(2 * ($W$14-$V$15) * $V$7) * Table1[[#This Row],[V_{fall}]] )</f>
        <v>9.8507750036282107E-7</v>
      </c>
      <c r="I17" s="38">
        <f>SQRT((Table1[[#This Row],[Delta V_{fall}]]/(2*Table1[[#This Row],[V_{fall}]]))^2+($X$14/(2*$V$16))^2)* Table1[[#This Row],[Radius]]</f>
        <v>3.2747756825007098E-8</v>
      </c>
      <c r="J17" s="27">
        <f>(Table1[[#This Row],[V_{fall}]]+Table1[[#This Row],[V_{steig}]])*SQRT((9*Table1[[#This Row],[V_{fall}]]*$V$11^3)/(2*($W$14-$V$15)*$V$7))*(6*3.141*$V$9)/$V$29</f>
        <v>5.4647961804194114E-19</v>
      </c>
      <c r="K17" s="27"/>
      <c r="L17" s="7">
        <f>1/(1+($V$18/(Table1[[#This Row],[Radius]]*$V$28)))</f>
        <v>0.92728098998870567</v>
      </c>
      <c r="M17" s="7">
        <f>$V$18/(Table1[[#This Row],[Radius]]*$V$28+$V$18)^2 * SQRT($V$28^2*Table1[[#This Row],[Delta R]]^2+Table1[[#This Row],[Radius]]^2*$X$28)</f>
        <v>2.2416637729680113E-3</v>
      </c>
      <c r="N17" s="3">
        <f>(Table1[[#This Row],[V_{fall}]]+Table1[[#This Row],[V_{steig}]])*SQRT((9 * Table1[[#This Row],[V_{fall}]] * $V$11^3*Table1[[#This Row],[Korrekturstherm]]^3)/(2*($W$14-$V$15)*$V$7))* 6 * PI() * $V$9 / $V$29 /$V$22</f>
        <v>4.8805969007968288</v>
      </c>
      <c r="O17" s="3"/>
      <c r="P17" s="7" t="str">
        <f>IF(Table1[[#This Row],[Q_{ges} korrigiert]]&lt;$V$20,Table1[[#This Row],[Q_{ges} korrigiert]], "")</f>
        <v/>
      </c>
      <c r="Q17" s="7">
        <f>Table1[[#This Row],[Q_{ges} korrigiert]]/Table1[[#Totals],[if Q&gt;q]]</f>
        <v>3.0918864414052734</v>
      </c>
      <c r="R17">
        <f>INT(Table1[[#This Row],[Abweichung von q]]+0.5)</f>
        <v>3</v>
      </c>
      <c r="S17" s="7">
        <f>Table1[[#This Row],[Q_{ges} korrigiert]]/Table1[[#This Row],[Anzahl Ladungen n]]</f>
        <v>1.6268656335989429</v>
      </c>
      <c r="AD17" s="3">
        <f>(Table1[[#This Row],[V_{fall}]]+Table1[[#This Row],[V_{steig}]])*SQRT((9 * Table1[[#This Row],[V_{fall}]] * $V$11^3*Table1[[#This Row],[Korrekturstherm]]^3)/(2*($W$14-$V$15)*$V$7))* 6 * PI() * $V$9 / $V$29 /$V$22</f>
        <v>4.8805969007968288</v>
      </c>
    </row>
    <row r="18" spans="1:30">
      <c r="A18">
        <v>17</v>
      </c>
      <c r="B18" s="3">
        <v>5.1669999999999998</v>
      </c>
      <c r="C18" s="3">
        <v>14.795</v>
      </c>
      <c r="D18" s="36">
        <f>$V$5/Table1[[#This Row],[Fallzeit '[s']]]</f>
        <v>9.676795045480937E-5</v>
      </c>
      <c r="E18" s="35">
        <f>SQRT(($X$5/Table1[[#This Row],[Fallzeit '[s']]])^2+(Table1[[#This Row],[V_{fall}]]/Table1[[#This Row],[Fallzeit '[s']]] * $V$24)^2)</f>
        <v>6.1560337357966456E-6</v>
      </c>
      <c r="F18" s="36">
        <f>$V$5/Table1[[#This Row],[Steigzeit '[s']]]</f>
        <v>3.3795201081446433E-5</v>
      </c>
      <c r="G18" s="36">
        <f>SQRT(($X$5/Table1[[#This Row],[Steigzeit '[s']]])^2+(Table1[[#This Row],[V_{steig}]]/Table1[[#This Row],[Steigzeit '[s']]] * $V$24)^2)</f>
        <v>1.1142998992779509E-6</v>
      </c>
      <c r="H18" s="38">
        <f>SQRT((9 * $V$11)/(2 * ($W$14-$V$15) * $V$7) * Table1[[#This Row],[V_{fall}]] )</f>
        <v>9.611464809513451E-7</v>
      </c>
      <c r="I18" s="38">
        <f>SQRT((Table1[[#This Row],[Delta V_{fall}]]/(2*Table1[[#This Row],[V_{fall}]]))^2+($X$14/(2*$V$16))^2)* Table1[[#This Row],[Radius]]</f>
        <v>3.0666926732291193E-8</v>
      </c>
      <c r="J18" s="27">
        <f>(Table1[[#This Row],[V_{fall}]]+Table1[[#This Row],[V_{steig}]])*SQRT((9*Table1[[#This Row],[V_{fall}]]*$V$11^3)/(2*($W$14-$V$15)*$V$7))*(6*3.141*$V$9)/$V$29</f>
        <v>5.1367592593072072E-19</v>
      </c>
      <c r="K18" s="27"/>
      <c r="L18" s="7">
        <f>1/(1+($V$18/(Table1[[#This Row],[Radius]]*$V$28)))</f>
        <v>0.92560510073602265</v>
      </c>
      <c r="M18" s="7">
        <f>$V$18/(Table1[[#This Row],[Radius]]*$V$28+$V$18)^2 * SQRT($V$28^2*Table1[[#This Row],[Delta R]]^2+Table1[[#This Row],[Radius]]^2*$X$28)</f>
        <v>2.1970987488208631E-3</v>
      </c>
      <c r="N18" s="3">
        <f>(Table1[[#This Row],[V_{fall}]]+Table1[[#This Row],[V_{steig}]])*SQRT((9 * Table1[[#This Row],[V_{fall}]] * $V$11^3*Table1[[#This Row],[Korrekturstherm]]^3)/(2*($W$14-$V$15)*$V$7))* 6 * PI() * $V$9 / $V$29 /$V$22</f>
        <v>4.5751965659610079</v>
      </c>
      <c r="O18" s="3"/>
      <c r="P18" s="7" t="str">
        <f>IF(Table1[[#This Row],[Q_{ges} korrigiert]]&lt;$V$20,Table1[[#This Row],[Q_{ges} korrigiert]], "")</f>
        <v/>
      </c>
      <c r="Q18" s="7">
        <f>Table1[[#This Row],[Q_{ges} korrigiert]]/Table1[[#Totals],[if Q&gt;q]]</f>
        <v>2.8984135581345121</v>
      </c>
      <c r="R18">
        <f>INT(Table1[[#This Row],[Abweichung von q]]+0.5)</f>
        <v>3</v>
      </c>
      <c r="S18" s="7">
        <f>Table1[[#This Row],[Q_{ges} korrigiert]]/Table1[[#This Row],[Anzahl Ladungen n]]</f>
        <v>1.5250655219870026</v>
      </c>
      <c r="U18" t="s">
        <v>98</v>
      </c>
      <c r="V18" s="1">
        <v>7.7799999999999996E-3</v>
      </c>
      <c r="X18">
        <f>X14</f>
        <v>4.3550000000000004</v>
      </c>
      <c r="AD18" s="37">
        <f>(Table1[[#This Row],[V_{fall}]]+Table1[[#This Row],[V_{steig}]])*SQRT((9 * Table1[[#This Row],[V_{fall}]] * $V$11^3*Table1[[#This Row],[Korrekturstherm]]^3)/(2*($W$14-$V$15)*$V$7))* 6 * PI() * $V$9 / $V$29 /$V$22</f>
        <v>4.5751965659610079</v>
      </c>
    </row>
    <row r="19" spans="1:30">
      <c r="A19">
        <v>18</v>
      </c>
      <c r="B19" s="3">
        <v>5.2560000000000002</v>
      </c>
      <c r="C19" s="3">
        <v>15.53</v>
      </c>
      <c r="D19" s="36">
        <f>$V$5/Table1[[#This Row],[Fallzeit '[s']]]</f>
        <v>9.5129375951293754E-5</v>
      </c>
      <c r="E19" s="35">
        <f>SQRT(($X$5/Table1[[#This Row],[Fallzeit '[s']]])^2+(Table1[[#This Row],[V_{fall}]]/Table1[[#This Row],[Fallzeit '[s']]] * $V$24)^2)</f>
        <v>5.9665576414488891E-6</v>
      </c>
      <c r="F19" s="36">
        <f>$V$5/Table1[[#This Row],[Steigzeit '[s']]]</f>
        <v>3.2195750160978751E-5</v>
      </c>
      <c r="G19" s="36">
        <f>SQRT(($X$5/Table1[[#This Row],[Steigzeit '[s']]])^2+(Table1[[#This Row],[V_{steig}]]/Table1[[#This Row],[Steigzeit '[s']]] * $V$24)^2)</f>
        <v>1.0428460812510224E-6</v>
      </c>
      <c r="H19" s="38">
        <f>SQRT((9 * $V$11)/(2 * ($W$14-$V$15) * $V$7) * Table1[[#This Row],[V_{fall}]] )</f>
        <v>9.529741772038794E-7</v>
      </c>
      <c r="I19" s="38">
        <f>SQRT((Table1[[#This Row],[Delta V_{fall}]]/(2*Table1[[#This Row],[V_{fall}]]))^2+($X$14/(2*$V$16))^2)* Table1[[#This Row],[Radius]]</f>
        <v>2.9980579574152618E-8</v>
      </c>
      <c r="J19" s="27">
        <f>(Table1[[#This Row],[V_{fall}]]+Table1[[#This Row],[V_{steig}]])*SQRT((9*Table1[[#This Row],[V_{fall}]]*$V$11^3)/(2*($W$14-$V$15)*$V$7))*(6*3.141*$V$9)/$V$29</f>
        <v>4.9667723575537672E-19</v>
      </c>
      <c r="K19" s="27"/>
      <c r="L19" s="7">
        <f>1/(1+($V$18/(Table1[[#This Row],[Radius]]*$V$28)))</f>
        <v>0.92501496042104947</v>
      </c>
      <c r="M19" s="7">
        <f>$V$18/(Table1[[#This Row],[Radius]]*$V$28+$V$18)^2 * SQRT($V$28^2*Table1[[#This Row],[Delta R]]^2+Table1[[#This Row],[Radius]]^2*$X$28)</f>
        <v>2.1821383176682421E-3</v>
      </c>
      <c r="N19" s="3">
        <f>(Table1[[#This Row],[V_{fall}]]+Table1[[#This Row],[V_{steig}]])*SQRT((9 * Table1[[#This Row],[V_{fall}]] * $V$11^3*Table1[[#This Row],[Korrekturstherm]]^3)/(2*($W$14-$V$15)*$V$7))* 6 * PI() * $V$9 / $V$29 /$V$22</f>
        <v>4.4195629766300835</v>
      </c>
      <c r="O19" s="3"/>
      <c r="P19" s="7" t="str">
        <f>IF(Table1[[#This Row],[Q_{ges} korrigiert]]&lt;$V$20,Table1[[#This Row],[Q_{ges} korrigiert]], "")</f>
        <v/>
      </c>
      <c r="Q19" s="7">
        <f>Table1[[#This Row],[Q_{ges} korrigiert]]/Table1[[#Totals],[if Q&gt;q]]</f>
        <v>2.7998187767050196</v>
      </c>
      <c r="R19">
        <f>INT(Table1[[#This Row],[Abweichung von q]]+0.5)</f>
        <v>3</v>
      </c>
      <c r="S19" s="7">
        <f>Table1[[#This Row],[Q_{ges} korrigiert]]/Table1[[#This Row],[Anzahl Ladungen n]]</f>
        <v>1.4731876588766946</v>
      </c>
      <c r="AD19" s="3">
        <f>(Table1[[#This Row],[V_{fall}]]+Table1[[#This Row],[V_{steig}]])*SQRT((9 * Table1[[#This Row],[V_{fall}]] * $V$11^3*Table1[[#This Row],[Korrekturstherm]]^3)/(2*($W$14-$V$15)*$V$7))* 6 * PI() * $V$9 / $V$29 /$V$22</f>
        <v>4.4195629766300835</v>
      </c>
    </row>
    <row r="20" spans="1:30">
      <c r="A20">
        <v>19</v>
      </c>
      <c r="B20" s="3">
        <v>5.08</v>
      </c>
      <c r="C20" s="3">
        <v>15.749000000000001</v>
      </c>
      <c r="D20" s="36">
        <f>$V$5/Table1[[#This Row],[Fallzeit '[s']]]</f>
        <v>9.8425196850393699E-5</v>
      </c>
      <c r="E20" s="35">
        <f>SQRT(($X$5/Table1[[#This Row],[Fallzeit '[s']]])^2+(Table1[[#This Row],[V_{fall}]]/Table1[[#This Row],[Fallzeit '[s']]] * $V$24)^2)</f>
        <v>6.3509097370815012E-6</v>
      </c>
      <c r="F20" s="36">
        <f>$V$5/Table1[[#This Row],[Steigzeit '[s']]]</f>
        <v>3.1748047495079052E-5</v>
      </c>
      <c r="G20" s="36">
        <f>SQRT(($X$5/Table1[[#This Row],[Steigzeit '[s']]])^2+(Table1[[#This Row],[V_{steig}]]/Table1[[#This Row],[Steigzeit '[s']]] * $V$24)^2)</f>
        <v>1.0232814181862233E-6</v>
      </c>
      <c r="H20" s="38">
        <f>SQRT((9 * $V$11)/(2 * ($W$14-$V$15) * $V$7) * Table1[[#This Row],[V_{fall}]] )</f>
        <v>9.6934183129726663E-7</v>
      </c>
      <c r="I20" s="38">
        <f>SQRT((Table1[[#This Row],[Delta V_{fall}]]/(2*Table1[[#This Row],[V_{fall}]]))^2+($X$14/(2*$V$16))^2)* Table1[[#This Row],[Radius]]</f>
        <v>3.1367537678698987E-8</v>
      </c>
      <c r="J20" s="27">
        <f>(Table1[[#This Row],[V_{fall}]]+Table1[[#This Row],[V_{steig}]])*SQRT((9*Table1[[#This Row],[V_{fall}]]*$V$11^3)/(2*($W$14-$V$15)*$V$7))*(6*3.141*$V$9)/$V$29</f>
        <v>5.1650875999626134E-19</v>
      </c>
      <c r="K20" s="27"/>
      <c r="L20" s="7">
        <f>1/(1+($V$18/(Table1[[#This Row],[Radius]]*$V$28)))</f>
        <v>0.92618765007671211</v>
      </c>
      <c r="M20" s="7">
        <f>$V$18/(Table1[[#This Row],[Radius]]*$V$28+$V$18)^2 * SQRT($V$28^2*Table1[[#This Row],[Delta R]]^2+Table1[[#This Row],[Radius]]^2*$X$28)</f>
        <v>2.2122361929063921E-3</v>
      </c>
      <c r="N20" s="3">
        <f>(Table1[[#This Row],[V_{fall}]]+Table1[[#This Row],[V_{steig}]])*SQRT((9 * Table1[[#This Row],[V_{fall}]] * $V$11^3*Table1[[#This Row],[Korrekturstherm]]^3)/(2*($W$14-$V$15)*$V$7))* 6 * PI() * $V$9 / $V$29 /$V$22</f>
        <v>4.6047717349967572</v>
      </c>
      <c r="O20" s="3"/>
      <c r="P20" s="7" t="str">
        <f>IF(Table1[[#This Row],[Q_{ges} korrigiert]]&lt;$V$20,Table1[[#This Row],[Q_{ges} korrigiert]], "")</f>
        <v/>
      </c>
      <c r="Q20" s="7">
        <f>Table1[[#This Row],[Q_{ges} korrigiert]]/Table1[[#Totals],[if Q&gt;q]]</f>
        <v>2.9171495992382082</v>
      </c>
      <c r="R20">
        <f>INT(Table1[[#This Row],[Abweichung von q]]+0.5)</f>
        <v>3</v>
      </c>
      <c r="S20" s="7">
        <f>Table1[[#This Row],[Q_{ges} korrigiert]]/Table1[[#This Row],[Anzahl Ladungen n]]</f>
        <v>1.5349239116655857</v>
      </c>
      <c r="U20" t="s">
        <v>101</v>
      </c>
      <c r="V20">
        <v>2.8</v>
      </c>
      <c r="AD20" s="37">
        <f>(Table1[[#This Row],[V_{fall}]]+Table1[[#This Row],[V_{steig}]])*SQRT((9 * Table1[[#This Row],[V_{fall}]] * $V$11^3*Table1[[#This Row],[Korrekturstherm]]^3)/(2*($W$14-$V$15)*$V$7))* 6 * PI() * $V$9 / $V$29 /$V$22</f>
        <v>4.6047717349967572</v>
      </c>
    </row>
    <row r="21" spans="1:30">
      <c r="A21">
        <v>20</v>
      </c>
      <c r="B21" s="28">
        <v>4.8769999999999998</v>
      </c>
      <c r="C21" s="28">
        <v>14.061</v>
      </c>
      <c r="D21" s="36">
        <f>$V$5/Table1[[#This Row],[Fallzeit '[s']]]</f>
        <v>1.0252204223908141E-4</v>
      </c>
      <c r="E21" s="35">
        <f>SQRT(($X$5/Table1[[#This Row],[Fallzeit '[s']]])^2+(Table1[[#This Row],[V_{fall}]]/Table1[[#This Row],[Fallzeit '[s']]] * $V$24)^2)</f>
        <v>6.8466587784100201E-6</v>
      </c>
      <c r="F21" s="36">
        <f>$V$5/Table1[[#This Row],[Steigzeit '[s']]]</f>
        <v>3.5559348552734516E-5</v>
      </c>
      <c r="G21" s="36">
        <f>SQRT(($X$5/Table1[[#This Row],[Steigzeit '[s']]])^2+(Table1[[#This Row],[V_{steig}]]/Table1[[#This Row],[Steigzeit '[s']]] * $V$24)^2)</f>
        <v>1.1959831793980601E-6</v>
      </c>
      <c r="H21" s="38">
        <f>SQRT((9 * $V$11)/(2 * ($W$14-$V$15) * $V$7) * Table1[[#This Row],[V_{fall}]] )</f>
        <v>9.8931007791370357E-7</v>
      </c>
      <c r="I21" s="38">
        <f>SQRT((Table1[[#This Row],[Delta V_{fall}]]/(2*Table1[[#This Row],[V_{fall}]]))^2+($X$14/(2*$V$16))^2)* Table1[[#This Row],[Radius]]</f>
        <v>3.3126937940322806E-8</v>
      </c>
      <c r="J21" s="27">
        <f>(Table1[[#This Row],[V_{fall}]]+Table1[[#This Row],[V_{steig}]])*SQRT((9*Table1[[#This Row],[V_{fall}]]*$V$11^3)/(2*($W$14-$V$15)*$V$7))*(6*3.141*$V$9)/$V$29</f>
        <v>5.5917351568401813E-19</v>
      </c>
      <c r="K21" s="27"/>
      <c r="L21" s="7">
        <f>1/(1+($V$18/(Table1[[#This Row],[Radius]]*$V$28)))</f>
        <v>0.92756957046221788</v>
      </c>
      <c r="M21" s="7">
        <f>$V$18/(Table1[[#This Row],[Radius]]*$V$28+$V$18)^2 * SQRT($V$28^2*Table1[[#This Row],[Delta R]]^2+Table1[[#This Row],[Radius]]^2*$X$28)</f>
        <v>2.2496575654608972E-3</v>
      </c>
      <c r="N21" s="3">
        <f>(Table1[[#This Row],[V_{fall}]]+Table1[[#This Row],[V_{steig}]])*SQRT((9 * Table1[[#This Row],[V_{fall}]] * $V$11^3*Table1[[#This Row],[Korrekturstherm]]^3)/(2*($W$14-$V$15)*$V$7))* 6 * PI() * $V$9 / $V$29 /$V$22</f>
        <v>4.9962972591823247</v>
      </c>
      <c r="O21" s="3"/>
      <c r="P21" s="7" t="str">
        <f>IF(Table1[[#This Row],[Q_{ges} korrigiert]]&lt;$V$20,Table1[[#This Row],[Q_{ges} korrigiert]], "")</f>
        <v/>
      </c>
      <c r="Q21" s="7">
        <f>Table1[[#This Row],[Q_{ges} korrigiert]]/Table1[[#Totals],[if Q&gt;q]]</f>
        <v>3.1651832894402832</v>
      </c>
      <c r="R21">
        <f>INT(Table1[[#This Row],[Abweichung von q]]+0.5)</f>
        <v>3</v>
      </c>
      <c r="S21" s="7">
        <f>Table1[[#This Row],[Q_{ges} korrigiert]]/Table1[[#This Row],[Anzahl Ladungen n]]</f>
        <v>1.6654324197274415</v>
      </c>
      <c r="AD21" s="3">
        <f>(Table1[[#This Row],[V_{fall}]]+Table1[[#This Row],[V_{steig}]])*SQRT((9 * Table1[[#This Row],[V_{fall}]] * $V$11^3*Table1[[#This Row],[Korrekturstherm]]^3)/(2*($W$14-$V$15)*$V$7))* 6 * PI() * $V$9 / $V$29 /$V$22</f>
        <v>4.9962972591823247</v>
      </c>
    </row>
    <row r="22" spans="1:30">
      <c r="A22">
        <v>21</v>
      </c>
      <c r="B22" s="3">
        <v>7.5060000000000002</v>
      </c>
      <c r="C22" s="3">
        <v>8.8710000000000004</v>
      </c>
      <c r="D22" s="36">
        <f>$V$5/Table1[[#This Row],[Fallzeit '[s']]]</f>
        <v>6.661337596589395E-5</v>
      </c>
      <c r="E22" s="35">
        <f>SQRT(($X$5/Table1[[#This Row],[Fallzeit '[s']]])^2+(Table1[[#This Row],[V_{fall}]]/Table1[[#This Row],[Fallzeit '[s']]] * $V$24)^2)</f>
        <v>3.1761681456859952E-6</v>
      </c>
      <c r="F22" s="36">
        <f>$V$5/Table1[[#This Row],[Steigzeit '[s']]]</f>
        <v>5.6363431405703975E-5</v>
      </c>
      <c r="G22" s="36">
        <f>SQRT(($X$5/Table1[[#This Row],[Steigzeit '[s']]])^2+(Table1[[#This Row],[V_{steig}]]/Table1[[#This Row],[Steigzeit '[s']]] * $V$24)^2)</f>
        <v>2.4043222808796407E-6</v>
      </c>
      <c r="H22" s="38">
        <f>SQRT((9 * $V$11)/(2 * ($W$14-$V$15) * $V$7) * Table1[[#This Row],[V_{fall}]] )</f>
        <v>7.974519620721184E-7</v>
      </c>
      <c r="I22" s="38">
        <f>SQRT((Table1[[#This Row],[Delta V_{fall}]]/(2*Table1[[#This Row],[V_{fall}]]))^2+($X$14/(2*$V$16))^2)* Table1[[#This Row],[Radius]]</f>
        <v>1.9116061647488353E-8</v>
      </c>
      <c r="J22" s="27">
        <f>(Table1[[#This Row],[V_{fall}]]+Table1[[#This Row],[V_{steig}]])*SQRT((9*Table1[[#This Row],[V_{fall}]]*$V$11^3)/(2*($W$14-$V$15)*$V$7))*(6*3.141*$V$9)/$V$29</f>
        <v>4.0142715978530289E-19</v>
      </c>
      <c r="K22" s="27"/>
      <c r="L22" s="7">
        <f>1/(1+($V$18/(Table1[[#This Row],[Radius]]*$V$28)))</f>
        <v>0.91168262578107373</v>
      </c>
      <c r="M22" s="7">
        <f>$V$18/(Table1[[#This Row],[Radius]]*$V$28+$V$18)^2 * SQRT($V$28^2*Table1[[#This Row],[Delta R]]^2+Table1[[#This Row],[Radius]]^2*$X$28)</f>
        <v>1.9301173829765251E-3</v>
      </c>
      <c r="N22" s="3">
        <f>(Table1[[#This Row],[V_{fall}]]+Table1[[#This Row],[V_{steig}]])*SQRT((9 * Table1[[#This Row],[V_{fall}]] * $V$11^3*Table1[[#This Row],[Korrekturstherm]]^3)/(2*($W$14-$V$15)*$V$7))* 6 * PI() * $V$9 / $V$29 /$V$22</f>
        <v>3.4950565462577483</v>
      </c>
      <c r="O22" s="3"/>
      <c r="P22" s="7" t="str">
        <f>IF(Table1[[#This Row],[Q_{ges} korrigiert]]&lt;$V$20,Table1[[#This Row],[Q_{ges} korrigiert]], "")</f>
        <v/>
      </c>
      <c r="Q22" s="7">
        <f>Table1[[#This Row],[Q_{ges} korrigiert]]/Table1[[#Totals],[if Q&gt;q]]</f>
        <v>2.2141385914404825</v>
      </c>
      <c r="R22">
        <f>INT(Table1[[#This Row],[Abweichung von q]]+0.5)</f>
        <v>2</v>
      </c>
      <c r="S22" s="7">
        <f>Table1[[#This Row],[Q_{ges} korrigiert]]/Table1[[#This Row],[Anzahl Ladungen n]]</f>
        <v>1.7475282731288742</v>
      </c>
      <c r="U22" t="s">
        <v>105</v>
      </c>
      <c r="V22">
        <f>1* 10^-19</f>
        <v>9.9999999999999998E-20</v>
      </c>
      <c r="AD22" s="37">
        <f>(Table1[[#This Row],[V_{fall}]]+Table1[[#This Row],[V_{steig}]])*SQRT((9 * Table1[[#This Row],[V_{fall}]] * $V$11^3*Table1[[#This Row],[Korrekturstherm]]^3)/(2*($W$14-$V$15)*$V$7))* 6 * PI() * $V$9 / $V$29 /$V$22</f>
        <v>3.4950565462577483</v>
      </c>
    </row>
    <row r="23" spans="1:30">
      <c r="A23">
        <v>22</v>
      </c>
      <c r="B23" s="3">
        <v>7.71</v>
      </c>
      <c r="C23" s="3">
        <v>9.2439999999999998</v>
      </c>
      <c r="D23" s="36">
        <f>$V$5/Table1[[#This Row],[Fallzeit '[s']]]</f>
        <v>6.4850843060959792E-5</v>
      </c>
      <c r="E23" s="35">
        <f>SQRT(($X$5/Table1[[#This Row],[Fallzeit '[s']]])^2+(Table1[[#This Row],[V_{fall}]]/Table1[[#This Row],[Fallzeit '[s']]] * $V$24)^2)</f>
        <v>3.0348721962416808E-6</v>
      </c>
      <c r="F23" s="36">
        <f>$V$5/Table1[[#This Row],[Steigzeit '[s']]]</f>
        <v>5.4089138900908702E-5</v>
      </c>
      <c r="G23" s="36">
        <f>SQRT(($X$5/Table1[[#This Row],[Steigzeit '[s']]])^2+(Table1[[#This Row],[V_{steig}]]/Table1[[#This Row],[Steigzeit '[s']]] * $V$24)^2)</f>
        <v>2.2492424430921317E-6</v>
      </c>
      <c r="H23" s="38">
        <f>SQRT((9 * $V$11)/(2 * ($W$14-$V$15) * $V$7) * Table1[[#This Row],[V_{fall}]] )</f>
        <v>7.8683128949633698E-7</v>
      </c>
      <c r="I23" s="38">
        <f>SQRT((Table1[[#This Row],[Delta V_{fall}]]/(2*Table1[[#This Row],[V_{fall}]]))^2+($X$14/(2*$V$16))^2)* Table1[[#This Row],[Radius]]</f>
        <v>1.8516054897086214E-8</v>
      </c>
      <c r="J23" s="27">
        <f>(Table1[[#This Row],[V_{fall}]]+Table1[[#This Row],[V_{steig}]])*SQRT((9*Table1[[#This Row],[V_{fall}]]*$V$11^3)/(2*($W$14-$V$15)*$V$7))*(6*3.141*$V$9)/$V$29</f>
        <v>3.830791348588491E-19</v>
      </c>
      <c r="K23" s="27"/>
      <c r="L23" s="7">
        <f>1/(1+($V$18/(Table1[[#This Row],[Radius]]*$V$28)))</f>
        <v>0.91059709334104999</v>
      </c>
      <c r="M23" s="7">
        <f>$V$18/(Table1[[#This Row],[Radius]]*$V$28+$V$18)^2 * SQRT($V$28^2*Table1[[#This Row],[Delta R]]^2+Table1[[#This Row],[Radius]]^2*$X$28)</f>
        <v>1.9157760520376983E-3</v>
      </c>
      <c r="N23" s="3">
        <f>(Table1[[#This Row],[V_{fall}]]+Table1[[#This Row],[V_{steig}]])*SQRT((9 * Table1[[#This Row],[V_{fall}]] * $V$11^3*Table1[[#This Row],[Korrekturstherm]]^3)/(2*($W$14-$V$15)*$V$7))* 6 * PI() * $V$9 / $V$29 /$V$22</f>
        <v>3.3293528421346985</v>
      </c>
      <c r="O23" s="3"/>
      <c r="P23" s="7" t="str">
        <f>IF(Table1[[#This Row],[Q_{ges} korrigiert]]&lt;$V$20,Table1[[#This Row],[Q_{ges} korrigiert]], "")</f>
        <v/>
      </c>
      <c r="Q23" s="7">
        <f>Table1[[#This Row],[Q_{ges} korrigiert]]/Table1[[#Totals],[if Q&gt;q]]</f>
        <v>2.1091643338891073</v>
      </c>
      <c r="R23">
        <f>INT(Table1[[#This Row],[Abweichung von q]]+0.5)</f>
        <v>2</v>
      </c>
      <c r="S23" s="7">
        <f>Table1[[#This Row],[Q_{ges} korrigiert]]/Table1[[#This Row],[Anzahl Ladungen n]]</f>
        <v>1.6646764210673493</v>
      </c>
      <c r="AD23" s="3">
        <f>(Table1[[#This Row],[V_{fall}]]+Table1[[#This Row],[V_{steig}]])*SQRT((9 * Table1[[#This Row],[V_{fall}]] * $V$11^3*Table1[[#This Row],[Korrekturstherm]]^3)/(2*($W$14-$V$15)*$V$7))* 6 * PI() * $V$9 / $V$29 /$V$22</f>
        <v>3.3293528421346985</v>
      </c>
    </row>
    <row r="24" spans="1:30">
      <c r="A24">
        <v>23</v>
      </c>
      <c r="B24" s="3">
        <v>7.931</v>
      </c>
      <c r="C24" s="3">
        <v>10.101000000000001</v>
      </c>
      <c r="D24" s="36">
        <f>$V$5/Table1[[#This Row],[Fallzeit '[s']]]</f>
        <v>6.3043752364140714E-5</v>
      </c>
      <c r="E24" s="35">
        <f>SQRT(($X$5/Table1[[#This Row],[Fallzeit '[s']]])^2+(Table1[[#This Row],[V_{fall}]]/Table1[[#This Row],[Fallzeit '[s']]] * $V$24)^2)</f>
        <v>2.8937187382971641E-6</v>
      </c>
      <c r="F24" s="36">
        <f>$V$5/Table1[[#This Row],[Steigzeit '[s']]]</f>
        <v>4.9500049500049496E-5</v>
      </c>
      <c r="G24" s="36">
        <f>SQRT(($X$5/Table1[[#This Row],[Steigzeit '[s']]])^2+(Table1[[#This Row],[V_{steig}]]/Table1[[#This Row],[Steigzeit '[s']]] * $V$24)^2)</f>
        <v>1.9538991736086774E-6</v>
      </c>
      <c r="H24" s="38">
        <f>SQRT((9 * $V$11)/(2 * ($W$14-$V$15) * $V$7) * Table1[[#This Row],[V_{fall}]] )</f>
        <v>7.7579117687558602E-7</v>
      </c>
      <c r="I24" s="38">
        <f>SQRT((Table1[[#This Row],[Delta V_{fall}]]/(2*Table1[[#This Row],[V_{fall}]]))^2+($X$14/(2*$V$16))^2)* Table1[[#This Row],[Radius]]</f>
        <v>1.7910108039686439E-8</v>
      </c>
      <c r="J24" s="27">
        <f>(Table1[[#This Row],[V_{fall}]]+Table1[[#This Row],[V_{steig}]])*SQRT((9*Table1[[#This Row],[V_{fall}]]*$V$11^3)/(2*($W$14-$V$15)*$V$7))*(6*3.141*$V$9)/$V$29</f>
        <v>3.5739249286699164E-19</v>
      </c>
      <c r="K24" s="27"/>
      <c r="L24" s="7">
        <f>1/(1+($V$18/(Table1[[#This Row],[Radius]]*$V$28)))</f>
        <v>0.90944003734794809</v>
      </c>
      <c r="M24" s="7">
        <f>$V$18/(Table1[[#This Row],[Radius]]*$V$28+$V$18)^2 * SQRT($V$28^2*Table1[[#This Row],[Delta R]]^2+Table1[[#This Row],[Radius]]^2*$X$28)</f>
        <v>1.9013570446660905E-3</v>
      </c>
      <c r="N24" s="3">
        <f>(Table1[[#This Row],[V_{fall}]]+Table1[[#This Row],[V_{steig}]])*SQRT((9 * Table1[[#This Row],[V_{fall}]] * $V$11^3*Table1[[#This Row],[Korrekturstherm]]^3)/(2*($W$14-$V$15)*$V$7))* 6 * PI() * $V$9 / $V$29 /$V$22</f>
        <v>3.1001911109698974</v>
      </c>
      <c r="O24" s="3"/>
      <c r="P24" s="7" t="str">
        <f>IF(Table1[[#This Row],[Q_{ges} korrigiert]]&lt;$V$20,Table1[[#This Row],[Q_{ges} korrigiert]], "")</f>
        <v/>
      </c>
      <c r="Q24" s="7">
        <f>Table1[[#This Row],[Q_{ges} korrigiert]]/Table1[[#Totals],[if Q&gt;q]]</f>
        <v>1.963989048185482</v>
      </c>
      <c r="R24">
        <f>INT(Table1[[#This Row],[Abweichung von q]]+0.5)</f>
        <v>2</v>
      </c>
      <c r="S24" s="7">
        <f>Table1[[#This Row],[Q_{ges} korrigiert]]/Table1[[#This Row],[Anzahl Ladungen n]]</f>
        <v>1.5500955554849487</v>
      </c>
      <c r="U24" t="s">
        <v>122</v>
      </c>
      <c r="V24">
        <v>0.3</v>
      </c>
      <c r="AD24" s="37">
        <f>(Table1[[#This Row],[V_{fall}]]+Table1[[#This Row],[V_{steig}]])*SQRT((9 * Table1[[#This Row],[V_{fall}]] * $V$11^3*Table1[[#This Row],[Korrekturstherm]]^3)/(2*($W$14-$V$15)*$V$7))* 6 * PI() * $V$9 / $V$29 /$V$22</f>
        <v>3.1001911109698974</v>
      </c>
    </row>
    <row r="25" spans="1:30">
      <c r="A25">
        <v>24</v>
      </c>
      <c r="B25" s="3">
        <v>7.6849999999999996</v>
      </c>
      <c r="C25" s="3">
        <v>8.9290000000000003</v>
      </c>
      <c r="D25" s="36">
        <f>$V$5/Table1[[#This Row],[Fallzeit '[s']]]</f>
        <v>6.506180871828237E-5</v>
      </c>
      <c r="E25" s="35">
        <f>SQRT(($X$5/Table1[[#This Row],[Fallzeit '[s']]])^2+(Table1[[#This Row],[V_{fall}]]/Table1[[#This Row],[Fallzeit '[s']]] * $V$24)^2)</f>
        <v>3.0515958275556718E-6</v>
      </c>
      <c r="F25" s="36">
        <f>$V$5/Table1[[#This Row],[Steigzeit '[s']]]</f>
        <v>5.5997312129017808E-5</v>
      </c>
      <c r="G25" s="36">
        <f>SQRT(($X$5/Table1[[#This Row],[Steigzeit '[s']]])^2+(Table1[[#This Row],[V_{steig}]]/Table1[[#This Row],[Steigzeit '[s']]] * $V$24)^2)</f>
        <v>2.3789643507198574E-6</v>
      </c>
      <c r="H25" s="38">
        <f>SQRT((9 * $V$11)/(2 * ($W$14-$V$15) * $V$7) * Table1[[#This Row],[V_{fall}]] )</f>
        <v>7.8811006701730172E-7</v>
      </c>
      <c r="I25" s="38">
        <f>SQRT((Table1[[#This Row],[Delta V_{fall}]]/(2*Table1[[#This Row],[V_{fall}]]))^2+($X$14/(2*$V$16))^2)* Table1[[#This Row],[Radius]]</f>
        <v>1.8587406098468768E-8</v>
      </c>
      <c r="J25" s="27">
        <f>(Table1[[#This Row],[V_{fall}]]+Table1[[#This Row],[V_{steig}]])*SQRT((9*Table1[[#This Row],[V_{fall}]]*$V$11^3)/(2*($W$14-$V$15)*$V$7))*(6*3.141*$V$9)/$V$29</f>
        <v>3.9053809043621918E-19</v>
      </c>
      <c r="K25" s="27"/>
      <c r="L25" s="7">
        <f>1/(1+($V$18/(Table1[[#This Row],[Radius]]*$V$28)))</f>
        <v>0.91072920739582142</v>
      </c>
      <c r="M25" s="7">
        <f>$V$18/(Table1[[#This Row],[Radius]]*$V$28+$V$18)^2 * SQRT($V$28^2*Table1[[#This Row],[Delta R]]^2+Table1[[#This Row],[Radius]]^2*$X$28)</f>
        <v>1.9174788036511654E-3</v>
      </c>
      <c r="N25" s="3">
        <f>(Table1[[#This Row],[V_{fall}]]+Table1[[#This Row],[V_{steig}]])*SQRT((9 * Table1[[#This Row],[V_{fall}]] * $V$11^3*Table1[[#This Row],[Korrekturstherm]]^3)/(2*($W$14-$V$15)*$V$7))* 6 * PI() * $V$9 / $V$29 /$V$22</f>
        <v>3.3949175541626517</v>
      </c>
      <c r="O25" s="3"/>
      <c r="P25" s="7" t="str">
        <f>IF(Table1[[#This Row],[Q_{ges} korrigiert]]&lt;$V$20,Table1[[#This Row],[Q_{ges} korrigiert]], "")</f>
        <v/>
      </c>
      <c r="Q25" s="7">
        <f>Table1[[#This Row],[Q_{ges} korrigiert]]/Table1[[#Totals],[if Q&gt;q]]</f>
        <v>2.1506999591977194</v>
      </c>
      <c r="R25">
        <f>INT(Table1[[#This Row],[Abweichung von q]]+0.5)</f>
        <v>2</v>
      </c>
      <c r="S25" s="7">
        <f>Table1[[#This Row],[Q_{ges} korrigiert]]/Table1[[#This Row],[Anzahl Ladungen n]]</f>
        <v>1.6974587770813259</v>
      </c>
      <c r="AD25" s="3">
        <f>(Table1[[#This Row],[V_{fall}]]+Table1[[#This Row],[V_{steig}]])*SQRT((9 * Table1[[#This Row],[V_{fall}]] * $V$11^3*Table1[[#This Row],[Korrekturstherm]]^3)/(2*($W$14-$V$15)*$V$7))* 6 * PI() * $V$9 / $V$29 /$V$22</f>
        <v>3.3949175541626517</v>
      </c>
    </row>
    <row r="26" spans="1:30">
      <c r="A26">
        <v>25</v>
      </c>
      <c r="B26" s="28">
        <v>7.9480000000000004</v>
      </c>
      <c r="C26" s="28">
        <v>9.5779999999999994</v>
      </c>
      <c r="D26" s="36">
        <f>$V$5/Table1[[#This Row],[Fallzeit '[s']]]</f>
        <v>6.2908907901358831E-5</v>
      </c>
      <c r="E26" s="35">
        <f>SQRT(($X$5/Table1[[#This Row],[Fallzeit '[s']]])^2+(Table1[[#This Row],[V_{fall}]]/Table1[[#This Row],[Fallzeit '[s']]] * $V$24)^2)</f>
        <v>2.8833363412279518E-6</v>
      </c>
      <c r="F26" s="36">
        <f>$V$5/Table1[[#This Row],[Steigzeit '[s']]]</f>
        <v>5.2202965128419301E-5</v>
      </c>
      <c r="G26" s="36">
        <f>SQRT(($X$5/Table1[[#This Row],[Steigzeit '[s']]])^2+(Table1[[#This Row],[V_{steig}]]/Table1[[#This Row],[Steigzeit '[s']]] * $V$24)^2)</f>
        <v>2.1250222514040397E-6</v>
      </c>
      <c r="H26" s="38">
        <f>SQRT((9 * $V$11)/(2 * ($W$14-$V$15) * $V$7) * Table1[[#This Row],[V_{fall}]] )</f>
        <v>7.7496106176723427E-7</v>
      </c>
      <c r="I26" s="38">
        <f>SQRT((Table1[[#This Row],[Delta V_{fall}]]/(2*Table1[[#This Row],[V_{fall}]]))^2+($X$14/(2*$V$16))^2)* Table1[[#This Row],[Radius]]</f>
        <v>1.7865269933380966E-8</v>
      </c>
      <c r="J26" s="27">
        <f>(Table1[[#This Row],[V_{fall}]]+Table1[[#This Row],[V_{steig}]])*SQRT((9*Table1[[#This Row],[V_{fall}]]*$V$11^3)/(2*($W$14-$V$15)*$V$7))*(6*3.141*$V$9)/$V$29</f>
        <v>3.6515647835522268E-19</v>
      </c>
      <c r="K26" s="27"/>
      <c r="L26" s="7">
        <f>1/(1+($V$18/(Table1[[#This Row],[Radius]]*$V$28)))</f>
        <v>0.90935182556215077</v>
      </c>
      <c r="M26" s="7">
        <f>$V$18/(Table1[[#This Row],[Radius]]*$V$28+$V$18)^2 * SQRT($V$28^2*Table1[[#This Row],[Delta R]]^2+Table1[[#This Row],[Radius]]^2*$X$28)</f>
        <v>1.9002936191029225E-3</v>
      </c>
      <c r="N26" s="3">
        <f>(Table1[[#This Row],[V_{fall}]]+Table1[[#This Row],[V_{steig}]])*SQRT((9 * Table1[[#This Row],[V_{fall}]] * $V$11^3*Table1[[#This Row],[Korrekturstherm]]^3)/(2*($W$14-$V$15)*$V$7))* 6 * PI() * $V$9 / $V$29 /$V$22</f>
        <v>3.1670787388916524</v>
      </c>
      <c r="O26" s="3"/>
      <c r="P26" s="7" t="str">
        <f>IF(Table1[[#This Row],[Q_{ges} korrigiert]]&lt;$V$20,Table1[[#This Row],[Q_{ges} korrigiert]], "")</f>
        <v/>
      </c>
      <c r="Q26" s="7">
        <f>Table1[[#This Row],[Q_{ges} korrigiert]]/Table1[[#Totals],[if Q&gt;q]]</f>
        <v>2.0063627483849946</v>
      </c>
      <c r="R26">
        <f>INT(Table1[[#This Row],[Abweichung von q]]+0.5)</f>
        <v>2</v>
      </c>
      <c r="S26" s="7">
        <f>Table1[[#This Row],[Q_{ges} korrigiert]]/Table1[[#This Row],[Anzahl Ladungen n]]</f>
        <v>1.5835393694458262</v>
      </c>
      <c r="AD26" s="37">
        <f>(Table1[[#This Row],[V_{fall}]]+Table1[[#This Row],[V_{steig}]])*SQRT((9 * Table1[[#This Row],[V_{fall}]] * $V$11^3*Table1[[#This Row],[Korrekturstherm]]^3)/(2*($W$14-$V$15)*$V$7))* 6 * PI() * $V$9 / $V$29 /$V$22</f>
        <v>3.1670787388916524</v>
      </c>
    </row>
    <row r="27" spans="1:30">
      <c r="A27">
        <v>26</v>
      </c>
      <c r="B27" s="3">
        <v>6.6509999999999998</v>
      </c>
      <c r="C27" s="3">
        <v>4.0060000000000002</v>
      </c>
      <c r="D27" s="36">
        <f>$V$5/Table1[[#This Row],[Fallzeit '[s']]]</f>
        <v>7.5176665163133368E-5</v>
      </c>
      <c r="E27" s="35">
        <f>SQRT(($X$5/Table1[[#This Row],[Fallzeit '[s']]])^2+(Table1[[#This Row],[V_{fall}]]/Table1[[#This Row],[Fallzeit '[s']]] * $V$24)^2)</f>
        <v>3.9139192425094912E-6</v>
      </c>
      <c r="F27" s="36">
        <f>$V$5/Table1[[#This Row],[Steigzeit '[s']]]</f>
        <v>1.2481278082875685E-4</v>
      </c>
      <c r="G27" s="36">
        <f>SQRT(($X$5/Table1[[#This Row],[Steigzeit '[s']]])^2+(Table1[[#This Row],[V_{steig}]]/Table1[[#This Row],[Steigzeit '[s']]] * $V$24)^2)</f>
        <v>9.8942476483323005E-6</v>
      </c>
      <c r="H27" s="38">
        <f>SQRT((9 * $V$11)/(2 * ($W$14-$V$15) * $V$7) * Table1[[#This Row],[V_{fall}]] )</f>
        <v>8.4715979590595263E-7</v>
      </c>
      <c r="I27" s="38">
        <f>SQRT((Table1[[#This Row],[Delta V_{fall}]]/(2*Table1[[#This Row],[V_{fall}]]))^2+($X$14/(2*$V$16))^2)* Table1[[#This Row],[Radius]]</f>
        <v>2.2154586718372358E-8</v>
      </c>
      <c r="J27" s="27">
        <f>(Table1[[#This Row],[V_{fall}]]+Table1[[#This Row],[V_{steig}]])*SQRT((9*Table1[[#This Row],[V_{fall}]]*$V$11^3)/(2*($W$14-$V$15)*$V$7))*(6*3.141*$V$9)/$V$29</f>
        <v>6.9350791506058104E-19</v>
      </c>
      <c r="K27" s="27"/>
      <c r="L27" s="7">
        <f>1/(1+($V$18/(Table1[[#This Row],[Radius]]*$V$28)))</f>
        <v>0.91643166477928728</v>
      </c>
      <c r="M27" s="7">
        <f>$V$18/(Table1[[#This Row],[Radius]]*$V$28+$V$18)^2 * SQRT($V$28^2*Table1[[#This Row],[Delta R]]^2+Table1[[#This Row],[Radius]]^2*$X$28)</f>
        <v>2.0028118680122408E-3</v>
      </c>
      <c r="N27" s="3">
        <f>(Table1[[#This Row],[V_{fall}]]+Table1[[#This Row],[V_{steig}]])*SQRT((9 * Table1[[#This Row],[V_{fall}]] * $V$11^3*Table1[[#This Row],[Korrekturstherm]]^3)/(2*($W$14-$V$15)*$V$7))* 6 * PI() * $V$9 / $V$29 /$V$22</f>
        <v>6.0853209461860187</v>
      </c>
      <c r="O27" s="3"/>
      <c r="P27" s="7" t="str">
        <f>IF(Table1[[#This Row],[Q_{ges} korrigiert]]&lt;$V$20,Table1[[#This Row],[Q_{ges} korrigiert]], "")</f>
        <v/>
      </c>
      <c r="Q27" s="7">
        <f>Table1[[#This Row],[Q_{ges} korrigiert]]/Table1[[#Totals],[if Q&gt;q]]</f>
        <v>3.8550861108894727</v>
      </c>
      <c r="R27">
        <f>INT(Table1[[#This Row],[Abweichung von q]]+0.5)</f>
        <v>4</v>
      </c>
      <c r="S27" s="7">
        <f>Table1[[#This Row],[Q_{ges} korrigiert]]/Table1[[#This Row],[Anzahl Ladungen n]]</f>
        <v>1.5213302365465047</v>
      </c>
      <c r="U27" s="49" t="s">
        <v>87</v>
      </c>
      <c r="V27" s="49"/>
      <c r="W27" s="49"/>
      <c r="X27" s="49"/>
      <c r="AD27" s="3">
        <f>(Table1[[#This Row],[V_{fall}]]+Table1[[#This Row],[V_{steig}]])*SQRT((9 * Table1[[#This Row],[V_{fall}]] * $V$11^3*Table1[[#This Row],[Korrekturstherm]]^3)/(2*($W$14-$V$15)*$V$7))* 6 * PI() * $V$9 / $V$29 /$V$22</f>
        <v>6.0853209461860187</v>
      </c>
    </row>
    <row r="28" spans="1:30">
      <c r="A28">
        <v>27</v>
      </c>
      <c r="B28" s="3">
        <v>6.2519999999999998</v>
      </c>
      <c r="C28" s="3">
        <v>4.22</v>
      </c>
      <c r="D28" s="36">
        <f>$V$5/Table1[[#This Row],[Fallzeit '[s']]]</f>
        <v>7.9974408189379409E-5</v>
      </c>
      <c r="E28" s="35">
        <f>SQRT(($X$5/Table1[[#This Row],[Fallzeit '[s']]])^2+(Table1[[#This Row],[V_{fall}]]/Table1[[#This Row],[Fallzeit '[s']]] * $V$24)^2)</f>
        <v>4.3646733158782205E-6</v>
      </c>
      <c r="F28" s="36">
        <f>$V$5/Table1[[#This Row],[Steigzeit '[s']]]</f>
        <v>1.1848341232227489E-4</v>
      </c>
      <c r="G28" s="36">
        <f>SQRT(($X$5/Table1[[#This Row],[Steigzeit '[s']]])^2+(Table1[[#This Row],[V_{steig}]]/Table1[[#This Row],[Steigzeit '[s']]] * $V$24)^2)</f>
        <v>8.9686502730496452E-6</v>
      </c>
      <c r="H28" s="38">
        <f>SQRT((9 * $V$11)/(2 * ($W$14-$V$15) * $V$7) * Table1[[#This Row],[V_{fall}]] )</f>
        <v>8.7377441966795807E-7</v>
      </c>
      <c r="I28" s="38">
        <f>SQRT((Table1[[#This Row],[Delta V_{fall}]]/(2*Table1[[#This Row],[V_{fall}]]))^2+($X$14/(2*$V$16))^2)* Table1[[#This Row],[Radius]]</f>
        <v>2.3943652720643456E-8</v>
      </c>
      <c r="J28" s="27">
        <f>(Table1[[#This Row],[V_{fall}]]+Table1[[#This Row],[V_{steig}]])*SQRT((9*Table1[[#This Row],[V_{fall}]]*$V$11^3)/(2*($W$14-$V$15)*$V$7))*(6*3.141*$V$9)/$V$29</f>
        <v>7.0981725357781655E-19</v>
      </c>
      <c r="K28" s="27"/>
      <c r="L28" s="7">
        <f>1/(1+($V$18/(Table1[[#This Row],[Radius]]*$V$28)))</f>
        <v>0.91877033896365623</v>
      </c>
      <c r="M28" s="7">
        <f>$V$18/(Table1[[#This Row],[Radius]]*$V$28+$V$18)^2 * SQRT($V$28^2*Table1[[#This Row],[Delta R]]^2+Table1[[#This Row],[Radius]]^2*$X$28)</f>
        <v>2.0450912408122605E-3</v>
      </c>
      <c r="N28" s="3">
        <f>(Table1[[#This Row],[V_{fall}]]+Table1[[#This Row],[V_{steig}]])*SQRT((9 * Table1[[#This Row],[V_{fall}]] * $V$11^3*Table1[[#This Row],[Korrekturstherm]]^3)/(2*($W$14-$V$15)*$V$7))* 6 * PI() * $V$9 / $V$29 /$V$22</f>
        <v>6.2522874594680697</v>
      </c>
      <c r="O28" s="3"/>
      <c r="P28" s="7" t="str">
        <f>IF(Table1[[#This Row],[Q_{ges} korrigiert]]&lt;$V$20,Table1[[#This Row],[Q_{ges} korrigiert]], "")</f>
        <v/>
      </c>
      <c r="Q28" s="7">
        <f>Table1[[#This Row],[Q_{ges} korrigiert]]/Table1[[#Totals],[if Q&gt;q]]</f>
        <v>3.9608603653666665</v>
      </c>
      <c r="R28">
        <f>INT(Table1[[#This Row],[Abweichung von q]]+0.5)</f>
        <v>4</v>
      </c>
      <c r="S28" s="7">
        <f>Table1[[#This Row],[Q_{ges} korrigiert]]/Table1[[#This Row],[Anzahl Ladungen n]]</f>
        <v>1.5630718648670174</v>
      </c>
      <c r="U28" t="s">
        <v>88</v>
      </c>
      <c r="V28" s="32">
        <v>100710</v>
      </c>
      <c r="W28" t="s">
        <v>115</v>
      </c>
      <c r="X28" s="32">
        <v>0.1</v>
      </c>
      <c r="AD28" s="37">
        <f>(Table1[[#This Row],[V_{fall}]]+Table1[[#This Row],[V_{steig}]])*SQRT((9 * Table1[[#This Row],[V_{fall}]] * $V$11^3*Table1[[#This Row],[Korrekturstherm]]^3)/(2*($W$14-$V$15)*$V$7))* 6 * PI() * $V$9 / $V$29 /$V$22</f>
        <v>6.2522874594680697</v>
      </c>
    </row>
    <row r="29" spans="1:30">
      <c r="A29">
        <v>28</v>
      </c>
      <c r="B29" s="3">
        <v>6.2869999999999999</v>
      </c>
      <c r="C29" s="3">
        <v>4.069</v>
      </c>
      <c r="D29" s="36">
        <f>$V$5/Table1[[#This Row],[Fallzeit '[s']]]</f>
        <v>7.9529187211706698E-5</v>
      </c>
      <c r="E29" s="35">
        <f>SQRT(($X$5/Table1[[#This Row],[Fallzeit '[s']]])^2+(Table1[[#This Row],[V_{fall}]]/Table1[[#This Row],[Fallzeit '[s']]] * $V$24)^2)</f>
        <v>4.321707783882408E-6</v>
      </c>
      <c r="F29" s="36">
        <f>$V$5/Table1[[#This Row],[Steigzeit '[s']]]</f>
        <v>1.228803145736053E-4</v>
      </c>
      <c r="G29" s="36">
        <f>SQRT(($X$5/Table1[[#This Row],[Steigzeit '[s']]])^2+(Table1[[#This Row],[V_{steig}]]/Table1[[#This Row],[Steigzeit '[s']]] * $V$24)^2)</f>
        <v>9.6065734874483707E-6</v>
      </c>
      <c r="H29" s="38">
        <f>SQRT((9 * $V$11)/(2 * ($W$14-$V$15) * $V$7) * Table1[[#This Row],[V_{fall}]] )</f>
        <v>8.7133885528503066E-7</v>
      </c>
      <c r="I29" s="38">
        <f>SQRT((Table1[[#This Row],[Delta V_{fall}]]/(2*Table1[[#This Row],[V_{fall}]]))^2+($X$14/(2*$V$16))^2)* Table1[[#This Row],[Radius]]</f>
        <v>2.3775080633775246E-8</v>
      </c>
      <c r="J29" s="27">
        <f>(Table1[[#This Row],[V_{fall}]]+Table1[[#This Row],[V_{steig}]])*SQRT((9*Table1[[#This Row],[V_{fall}]]*$V$11^3)/(2*($W$14-$V$15)*$V$7))*(6*3.141*$V$9)/$V$29</f>
        <v>7.2193315003403128E-19</v>
      </c>
      <c r="K29" s="27"/>
      <c r="L29" s="7">
        <f>1/(1+($V$18/(Table1[[#This Row],[Radius]]*$V$28)))</f>
        <v>0.91856177679012851</v>
      </c>
      <c r="M29" s="7">
        <f>$V$18/(Table1[[#This Row],[Radius]]*$V$28+$V$18)^2 * SQRT($V$28^2*Table1[[#This Row],[Delta R]]^2+Table1[[#This Row],[Radius]]^2*$X$28)</f>
        <v>2.0411342962063138E-3</v>
      </c>
      <c r="N29" s="3">
        <f>(Table1[[#This Row],[V_{fall}]]+Table1[[#This Row],[V_{steig}]])*SQRT((9 * Table1[[#This Row],[V_{fall}]] * $V$11^3*Table1[[#This Row],[Korrekturstherm]]^3)/(2*($W$14-$V$15)*$V$7))* 6 * PI() * $V$9 / $V$29 /$V$22</f>
        <v>6.3568428480721701</v>
      </c>
      <c r="O29" s="3"/>
      <c r="P29" s="7" t="str">
        <f>IF(Table1[[#This Row],[Q_{ges} korrigiert]]&lt;$V$20,Table1[[#This Row],[Q_{ges} korrigiert]], "")</f>
        <v/>
      </c>
      <c r="Q29" s="7">
        <f>Table1[[#This Row],[Q_{ges} korrigiert]]/Table1[[#Totals],[if Q&gt;q]]</f>
        <v>4.0270968104105291</v>
      </c>
      <c r="R29">
        <f>INT(Table1[[#This Row],[Abweichung von q]]+0.5)</f>
        <v>4</v>
      </c>
      <c r="S29" s="7">
        <f>Table1[[#This Row],[Q_{ges} korrigiert]]/Table1[[#This Row],[Anzahl Ladungen n]]</f>
        <v>1.5892107120180425</v>
      </c>
      <c r="U29" t="s">
        <v>89</v>
      </c>
      <c r="V29" s="33">
        <v>500</v>
      </c>
      <c r="X29" s="33">
        <f>V29*0.005</f>
        <v>2.5</v>
      </c>
      <c r="AD29" s="3">
        <f>(Table1[[#This Row],[V_{fall}]]+Table1[[#This Row],[V_{steig}]])*SQRT((9 * Table1[[#This Row],[V_{fall}]] * $V$11^3*Table1[[#This Row],[Korrekturstherm]]^3)/(2*($W$14-$V$15)*$V$7))* 6 * PI() * $V$9 / $V$29 /$V$22</f>
        <v>6.3568428480721701</v>
      </c>
    </row>
    <row r="30" spans="1:30">
      <c r="A30">
        <v>29</v>
      </c>
      <c r="B30" s="3">
        <v>6.4189999999999996</v>
      </c>
      <c r="C30" s="3">
        <v>4.0449999999999999</v>
      </c>
      <c r="D30" s="36">
        <f>$V$5/Table1[[#This Row],[Fallzeit '[s']]]</f>
        <v>7.7893752921015744E-5</v>
      </c>
      <c r="E30" s="35">
        <f>SQRT(($X$5/Table1[[#This Row],[Fallzeit '[s']]])^2+(Table1[[#This Row],[V_{fall}]]/Table1[[#This Row],[Fallzeit '[s']]] * $V$24)^2)</f>
        <v>4.1658793970576574E-6</v>
      </c>
      <c r="F30" s="36">
        <f>$V$5/Table1[[#This Row],[Steigzeit '[s']]]</f>
        <v>1.2360939431396787E-4</v>
      </c>
      <c r="G30" s="36">
        <f>SQRT(($X$5/Table1[[#This Row],[Steigzeit '[s']]])^2+(Table1[[#This Row],[V_{steig}]]/Table1[[#This Row],[Steigzeit '[s']]] * $V$24)^2)</f>
        <v>9.7145830535164804E-6</v>
      </c>
      <c r="H30" s="38">
        <f>SQRT((9 * $V$11)/(2 * ($W$14-$V$15) * $V$7) * Table1[[#This Row],[V_{fall}]] )</f>
        <v>8.6233323233012309E-7</v>
      </c>
      <c r="I30" s="38">
        <f>SQRT((Table1[[#This Row],[Delta V_{fall}]]/(2*Table1[[#This Row],[V_{fall}]]))^2+($X$14/(2*$V$16))^2)* Table1[[#This Row],[Radius]]</f>
        <v>2.3160316344826823E-8</v>
      </c>
      <c r="J30" s="27">
        <f>(Table1[[#This Row],[V_{fall}]]+Table1[[#This Row],[V_{steig}]])*SQRT((9*Table1[[#This Row],[V_{fall}]]*$V$11^3)/(2*($W$14-$V$15)*$V$7))*(6*3.141*$V$9)/$V$29</f>
        <v>7.1127241264189962E-19</v>
      </c>
      <c r="K30" s="27"/>
      <c r="L30" s="7">
        <f>1/(1+($V$18/(Table1[[#This Row],[Radius]]*$V$28)))</f>
        <v>0.91778121714927019</v>
      </c>
      <c r="M30" s="7">
        <f>$V$18/(Table1[[#This Row],[Radius]]*$V$28+$V$18)^2 * SQRT($V$28^2*Table1[[#This Row],[Delta R]]^2+Table1[[#This Row],[Radius]]^2*$X$28)</f>
        <v>2.0266538385776511E-3</v>
      </c>
      <c r="N30" s="3">
        <f>(Table1[[#This Row],[V_{fall}]]+Table1[[#This Row],[V_{steig}]])*SQRT((9 * Table1[[#This Row],[V_{fall}]] * $V$11^3*Table1[[#This Row],[Korrekturstherm]]^3)/(2*($W$14-$V$15)*$V$7))* 6 * PI() * $V$9 / $V$29 /$V$22</f>
        <v>6.2549904203892535</v>
      </c>
      <c r="O30" s="3"/>
      <c r="P30" s="7" t="str">
        <f>IF(Table1[[#This Row],[Q_{ges} korrigiert]]&lt;$V$20,Table1[[#This Row],[Q_{ges} korrigiert]], "")</f>
        <v/>
      </c>
      <c r="Q30" s="7">
        <f>Table1[[#This Row],[Q_{ges} korrigiert]]/Table1[[#Totals],[if Q&gt;q]]</f>
        <v>3.9625727067859082</v>
      </c>
      <c r="R30">
        <f>INT(Table1[[#This Row],[Abweichung von q]]+0.5)</f>
        <v>4</v>
      </c>
      <c r="S30" s="7">
        <f>Table1[[#This Row],[Q_{ges} korrigiert]]/Table1[[#This Row],[Anzahl Ladungen n]]</f>
        <v>1.5637476050973134</v>
      </c>
      <c r="U30" t="s">
        <v>90</v>
      </c>
      <c r="V30" s="33">
        <v>25</v>
      </c>
      <c r="X30" s="33">
        <v>1</v>
      </c>
      <c r="AD30" s="37">
        <f>(Table1[[#This Row],[V_{fall}]]+Table1[[#This Row],[V_{steig}]])*SQRT((9 * Table1[[#This Row],[V_{fall}]] * $V$11^3*Table1[[#This Row],[Korrekturstherm]]^3)/(2*($W$14-$V$15)*$V$7))* 6 * PI() * $V$9 / $V$29 /$V$22</f>
        <v>6.2549904203892535</v>
      </c>
    </row>
    <row r="31" spans="1:30">
      <c r="A31">
        <v>30</v>
      </c>
      <c r="B31" s="28">
        <v>7.1509999999999998</v>
      </c>
      <c r="C31" s="28">
        <v>4.1929999999999996</v>
      </c>
      <c r="D31" s="36">
        <f>$V$5/Table1[[#This Row],[Fallzeit '[s']]]</f>
        <v>6.9920290868410014E-5</v>
      </c>
      <c r="E31" s="35">
        <f>SQRT(($X$5/Table1[[#This Row],[Fallzeit '[s']]])^2+(Table1[[#This Row],[V_{fall}]]/Table1[[#This Row],[Fallzeit '[s']]] * $V$24)^2)</f>
        <v>3.4509647757404507E-6</v>
      </c>
      <c r="F31" s="36">
        <f>$V$5/Table1[[#This Row],[Steigzeit '[s']]]</f>
        <v>1.1924636298592894E-4</v>
      </c>
      <c r="G31" s="36">
        <f>SQRT(($X$5/Table1[[#This Row],[Steigzeit '[s']]])^2+(Table1[[#This Row],[V_{steig}]]/Table1[[#This Row],[Steigzeit '[s']]] * $V$24)^2)</f>
        <v>9.0776878153665093E-6</v>
      </c>
      <c r="H31" s="38">
        <f>SQRT((9 * $V$11)/(2 * ($W$14-$V$15) * $V$7) * Table1[[#This Row],[V_{fall}]] )</f>
        <v>8.1700633108971758E-7</v>
      </c>
      <c r="I31" s="38">
        <f>SQRT((Table1[[#This Row],[Delta V_{fall}]]/(2*Table1[[#This Row],[V_{fall}]]))^2+($X$14/(2*$V$16))^2)* Table1[[#This Row],[Radius]]</f>
        <v>2.0265459410914877E-8</v>
      </c>
      <c r="J31" s="27">
        <f>(Table1[[#This Row],[V_{fall}]]+Table1[[#This Row],[V_{steig}]])*SQRT((9*Table1[[#This Row],[V_{fall}]]*$V$11^3)/(2*($W$14-$V$15)*$V$7))*(6*3.141*$V$9)/$V$29</f>
        <v>6.326288763106681E-19</v>
      </c>
      <c r="K31" s="27"/>
      <c r="L31" s="7">
        <f>1/(1+($V$18/(Table1[[#This Row],[Radius]]*$V$28)))</f>
        <v>0.91361382552971937</v>
      </c>
      <c r="M31" s="7">
        <f>$V$18/(Table1[[#This Row],[Radius]]*$V$28+$V$18)^2 * SQRT($V$28^2*Table1[[#This Row],[Delta R]]^2+Table1[[#This Row],[Radius]]^2*$X$28)</f>
        <v>1.9576630337035184E-3</v>
      </c>
      <c r="N31" s="3">
        <f>(Table1[[#This Row],[V_{fall}]]+Table1[[#This Row],[V_{steig}]])*SQRT((9 * Table1[[#This Row],[V_{fall}]] * $V$11^3*Table1[[#This Row],[Korrekturstherm]]^3)/(2*($W$14-$V$15)*$V$7))* 6 * PI() * $V$9 / $V$29 /$V$22</f>
        <v>5.5255427363662184</v>
      </c>
      <c r="O31" s="3"/>
      <c r="P31" s="7" t="str">
        <f>IF(Table1[[#This Row],[Q_{ges} korrigiert]]&lt;$V$20,Table1[[#This Row],[Q_{ges} korrigiert]], "")</f>
        <v/>
      </c>
      <c r="Q31" s="7">
        <f>Table1[[#This Row],[Q_{ges} korrigiert]]/Table1[[#Totals],[if Q&gt;q]]</f>
        <v>3.5004633685660114</v>
      </c>
      <c r="R31">
        <f>INT(Table1[[#This Row],[Abweichung von q]]+0.5)</f>
        <v>4</v>
      </c>
      <c r="S31" s="7">
        <f>Table1[[#This Row],[Q_{ges} korrigiert]]/Table1[[#This Row],[Anzahl Ladungen n]]</f>
        <v>1.3813856840915546</v>
      </c>
      <c r="AD31" s="3">
        <f>(Table1[[#This Row],[V_{fall}]]+Table1[[#This Row],[V_{steig}]])*SQRT((9 * Table1[[#This Row],[V_{fall}]] * $V$11^3*Table1[[#This Row],[Korrekturstherm]]^3)/(2*($W$14-$V$15)*$V$7))* 6 * PI() * $V$9 / $V$29 /$V$22</f>
        <v>5.5255427363662184</v>
      </c>
    </row>
    <row r="32" spans="1:30">
      <c r="A32">
        <v>31</v>
      </c>
      <c r="B32" s="3">
        <v>4.5970000000000004</v>
      </c>
      <c r="C32" s="3">
        <v>7.577</v>
      </c>
      <c r="D32" s="36">
        <f>$V$5/Table1[[#This Row],[Fallzeit '[s']]]</f>
        <v>1.0876658690450292E-4</v>
      </c>
      <c r="E32" s="35">
        <f>SQRT(($X$5/Table1[[#This Row],[Fallzeit '[s']]])^2+(Table1[[#This Row],[V_{fall}]]/Table1[[#This Row],[Fallzeit '[s']]] * $V$24)^2)</f>
        <v>7.6406970131519073E-6</v>
      </c>
      <c r="F32" s="36">
        <f>$V$5/Table1[[#This Row],[Steigzeit '[s']]]</f>
        <v>6.5989177774844929E-5</v>
      </c>
      <c r="G32" s="36">
        <f>SQRT(($X$5/Table1[[#This Row],[Steigzeit '[s']]])^2+(Table1[[#This Row],[V_{steig}]]/Table1[[#This Row],[Steigzeit '[s']]] * $V$24)^2)</f>
        <v>3.1257184955402586E-6</v>
      </c>
      <c r="H32" s="38">
        <f>SQRT((9 * $V$11)/(2 * ($W$14-$V$15) * $V$7) * Table1[[#This Row],[V_{fall}]] )</f>
        <v>1.0189938411012534E-6</v>
      </c>
      <c r="I32" s="38">
        <f>SQRT((Table1[[#This Row],[Delta V_{fall}]]/(2*Table1[[#This Row],[V_{fall}]]))^2+($X$14/(2*$V$16))^2)* Table1[[#This Row],[Radius]]</f>
        <v>3.5882242835642598E-8</v>
      </c>
      <c r="J32" s="27">
        <f>(Table1[[#This Row],[V_{fall}]]+Table1[[#This Row],[V_{steig}]])*SQRT((9*Table1[[#This Row],[V_{fall}]]*$V$11^3)/(2*($W$14-$V$15)*$V$7))*(6*3.141*$V$9)/$V$29</f>
        <v>7.2892371103278923E-19</v>
      </c>
      <c r="K32" s="27"/>
      <c r="L32" s="7">
        <f>1/(1+($V$18/(Table1[[#This Row],[Radius]]*$V$28)))</f>
        <v>0.92953081728299514</v>
      </c>
      <c r="M32" s="7">
        <f>$V$18/(Table1[[#This Row],[Radius]]*$V$28+$V$18)^2 * SQRT($V$28^2*Table1[[#This Row],[Delta R]]^2+Table1[[#This Row],[Radius]]^2*$X$28)</f>
        <v>2.3065934322030906E-3</v>
      </c>
      <c r="N32" s="3">
        <f>(Table1[[#This Row],[V_{fall}]]+Table1[[#This Row],[V_{steig}]])*SQRT((9 * Table1[[#This Row],[V_{fall}]] * $V$11^3*Table1[[#This Row],[Korrekturstherm]]^3)/(2*($W$14-$V$15)*$V$7))* 6 * PI() * $V$9 / $V$29 /$V$22</f>
        <v>6.533707723381931</v>
      </c>
      <c r="O32" s="3"/>
      <c r="P32" s="7" t="str">
        <f>IF(Table1[[#This Row],[Q_{ges} korrigiert]]&lt;$V$20,Table1[[#This Row],[Q_{ges} korrigiert]], "")</f>
        <v/>
      </c>
      <c r="Q32" s="7">
        <f>Table1[[#This Row],[Q_{ges} korrigiert]]/Table1[[#Totals],[if Q&gt;q]]</f>
        <v>4.1391417346372776</v>
      </c>
      <c r="R32">
        <f>INT(Table1[[#This Row],[Abweichung von q]]+0.5)</f>
        <v>4</v>
      </c>
      <c r="S32" s="7">
        <f>Table1[[#This Row],[Q_{ges} korrigiert]]/Table1[[#This Row],[Anzahl Ladungen n]]</f>
        <v>1.6334269308454827</v>
      </c>
      <c r="AD32" s="37">
        <f>(Table1[[#This Row],[V_{fall}]]+Table1[[#This Row],[V_{steig}]])*SQRT((9 * Table1[[#This Row],[V_{fall}]] * $V$11^3*Table1[[#This Row],[Korrekturstherm]]^3)/(2*($W$14-$V$15)*$V$7))* 6 * PI() * $V$9 / $V$29 /$V$22</f>
        <v>6.533707723381931</v>
      </c>
    </row>
    <row r="33" spans="1:30">
      <c r="A33">
        <v>32</v>
      </c>
      <c r="B33" s="3">
        <v>4.6589999999999998</v>
      </c>
      <c r="C33" s="3">
        <v>7.8550000000000004</v>
      </c>
      <c r="D33" s="36">
        <f>$V$5/Table1[[#This Row],[Fallzeit '[s']]]</f>
        <v>1.0731916720326251E-4</v>
      </c>
      <c r="E33" s="35">
        <f>SQRT(($X$5/Table1[[#This Row],[Fallzeit '[s']]])^2+(Table1[[#This Row],[V_{fall}]]/Table1[[#This Row],[Fallzeit '[s']]] * $V$24)^2)</f>
        <v>7.4525147515166605E-6</v>
      </c>
      <c r="F33" s="36">
        <f>$V$5/Table1[[#This Row],[Steigzeit '[s']]]</f>
        <v>6.3653723742838957E-5</v>
      </c>
      <c r="G33" s="36">
        <f>SQRT(($X$5/Table1[[#This Row],[Steigzeit '[s']]])^2+(Table1[[#This Row],[V_{steig}]]/Table1[[#This Row],[Steigzeit '[s']]] * $V$24)^2)</f>
        <v>2.9409444667222932E-6</v>
      </c>
      <c r="H33" s="38">
        <f>SQRT((9 * $V$11)/(2 * ($W$14-$V$15) * $V$7) * Table1[[#This Row],[V_{fall}]] )</f>
        <v>1.0121909634807212E-6</v>
      </c>
      <c r="I33" s="38">
        <f>SQRT((Table1[[#This Row],[Delta V_{fall}]]/(2*Table1[[#This Row],[V_{fall}]]))^2+($X$14/(2*$V$16))^2)* Table1[[#This Row],[Radius]]</f>
        <v>3.5235803593054398E-8</v>
      </c>
      <c r="J33" s="27">
        <f>(Table1[[#This Row],[V_{fall}]]+Table1[[#This Row],[V_{steig}]])*SQRT((9*Table1[[#This Row],[V_{fall}]]*$V$11^3)/(2*($W$14-$V$15)*$V$7))*(6*3.141*$V$9)/$V$29</f>
        <v>7.0838395957232992E-19</v>
      </c>
      <c r="K33" s="27"/>
      <c r="L33" s="7">
        <f>1/(1+($V$18/(Table1[[#This Row],[Radius]]*$V$28)))</f>
        <v>0.92909078191091954</v>
      </c>
      <c r="M33" s="7">
        <f>$V$18/(Table1[[#This Row],[Radius]]*$V$28+$V$18)^2 * SQRT($V$28^2*Table1[[#This Row],[Delta R]]^2+Table1[[#This Row],[Radius]]^2*$X$28)</f>
        <v>2.2934146067950826E-3</v>
      </c>
      <c r="N33" s="3">
        <f>(Table1[[#This Row],[V_{fall}]]+Table1[[#This Row],[V_{steig}]])*SQRT((9 * Table1[[#This Row],[V_{fall}]] * $V$11^3*Table1[[#This Row],[Korrekturstherm]]^3)/(2*($W$14-$V$15)*$V$7))* 6 * PI() * $V$9 / $V$29 /$V$22</f>
        <v>6.3450913892684619</v>
      </c>
      <c r="O33" s="3"/>
      <c r="P33" s="7" t="str">
        <f>IF(Table1[[#This Row],[Q_{ges} korrigiert]]&lt;$V$20,Table1[[#This Row],[Q_{ges} korrigiert]], "")</f>
        <v/>
      </c>
      <c r="Q33" s="7">
        <f>Table1[[#This Row],[Q_{ges} korrigiert]]/Table1[[#Totals],[if Q&gt;q]]</f>
        <v>4.0196521931064479</v>
      </c>
      <c r="R33">
        <f>INT(Table1[[#This Row],[Abweichung von q]]+0.5)</f>
        <v>4</v>
      </c>
      <c r="S33" s="7">
        <f>Table1[[#This Row],[Q_{ges} korrigiert]]/Table1[[#This Row],[Anzahl Ladungen n]]</f>
        <v>1.5862728473171155</v>
      </c>
      <c r="AD33" s="3">
        <f>(Table1[[#This Row],[V_{fall}]]+Table1[[#This Row],[V_{steig}]])*SQRT((9 * Table1[[#This Row],[V_{fall}]] * $V$11^3*Table1[[#This Row],[Korrekturstherm]]^3)/(2*($W$14-$V$15)*$V$7))* 6 * PI() * $V$9 / $V$29 /$V$22</f>
        <v>6.3450913892684619</v>
      </c>
    </row>
    <row r="34" spans="1:30">
      <c r="A34">
        <v>33</v>
      </c>
      <c r="B34" s="3">
        <v>4.7729999999999997</v>
      </c>
      <c r="C34" s="3">
        <v>7.7190000000000003</v>
      </c>
      <c r="D34" s="36">
        <f>$V$5/Table1[[#This Row],[Fallzeit '[s']]]</f>
        <v>1.0475591870940709E-4</v>
      </c>
      <c r="E34" s="35">
        <f>SQRT(($X$5/Table1[[#This Row],[Fallzeit '[s']]])^2+(Table1[[#This Row],[V_{fall}]]/Table1[[#This Row],[Fallzeit '[s']]] * $V$24)^2)</f>
        <v>7.1253809302480304E-6</v>
      </c>
      <c r="F34" s="36">
        <f>$V$5/Table1[[#This Row],[Steigzeit '[s']]]</f>
        <v>6.4775229952066329E-5</v>
      </c>
      <c r="G34" s="36">
        <f>SQRT(($X$5/Table1[[#This Row],[Steigzeit '[s']]])^2+(Table1[[#This Row],[V_{steig}]]/Table1[[#This Row],[Steigzeit '[s']]] * $V$24)^2)</f>
        <v>3.028890687285759E-6</v>
      </c>
      <c r="H34" s="38">
        <f>SQRT((9 * $V$11)/(2 * ($W$14-$V$15) * $V$7) * Table1[[#This Row],[V_{fall}]] )</f>
        <v>1.0000301500154142E-6</v>
      </c>
      <c r="I34" s="38">
        <f>SQRT((Table1[[#This Row],[Delta V_{fall}]]/(2*Table1[[#This Row],[V_{fall}]]))^2+($X$14/(2*$V$16))^2)* Table1[[#This Row],[Radius]]</f>
        <v>3.4102505838206171E-8</v>
      </c>
      <c r="J34" s="27">
        <f>(Table1[[#This Row],[V_{fall}]]+Table1[[#This Row],[V_{steig}]])*SQRT((9*Table1[[#This Row],[V_{fall}]]*$V$11^3)/(2*($W$14-$V$15)*$V$7))*(6*3.141*$V$9)/$V$29</f>
        <v>6.939714534300213E-19</v>
      </c>
      <c r="K34" s="27"/>
      <c r="L34" s="7">
        <f>1/(1+($V$18/(Table1[[#This Row],[Radius]]*$V$28)))</f>
        <v>0.92829032850791726</v>
      </c>
      <c r="M34" s="7">
        <f>$V$18/(Table1[[#This Row],[Radius]]*$V$28+$V$18)^2 * SQRT($V$28^2*Table1[[#This Row],[Delta R]]^2+Table1[[#This Row],[Radius]]^2*$X$28)</f>
        <v>2.2700465274803822E-3</v>
      </c>
      <c r="N34" s="3">
        <f>(Table1[[#This Row],[V_{fall}]]+Table1[[#This Row],[V_{steig}]])*SQRT((9 * Table1[[#This Row],[V_{fall}]] * $V$11^3*Table1[[#This Row],[Korrekturstherm]]^3)/(2*($W$14-$V$15)*$V$7))* 6 * PI() * $V$9 / $V$29 /$V$22</f>
        <v>6.2079653036168372</v>
      </c>
      <c r="O34" s="3"/>
      <c r="P34" s="7" t="str">
        <f>IF(Table1[[#This Row],[Q_{ges} korrigiert]]&lt;$V$20,Table1[[#This Row],[Q_{ges} korrigiert]], "")</f>
        <v/>
      </c>
      <c r="Q34" s="7">
        <f>Table1[[#This Row],[Q_{ges} korrigiert]]/Table1[[#Totals],[if Q&gt;q]]</f>
        <v>3.9327820225910313</v>
      </c>
      <c r="R34">
        <f>INT(Table1[[#This Row],[Abweichung von q]]+0.5)</f>
        <v>4</v>
      </c>
      <c r="S34" s="7">
        <f>Table1[[#This Row],[Q_{ges} korrigiert]]/Table1[[#This Row],[Anzahl Ladungen n]]</f>
        <v>1.5519913259042093</v>
      </c>
      <c r="AD34" s="37">
        <f>(Table1[[#This Row],[V_{fall}]]+Table1[[#This Row],[V_{steig}]])*SQRT((9 * Table1[[#This Row],[V_{fall}]] * $V$11^3*Table1[[#This Row],[Korrekturstherm]]^3)/(2*($W$14-$V$15)*$V$7))* 6 * PI() * $V$9 / $V$29 /$V$22</f>
        <v>6.2079653036168372</v>
      </c>
    </row>
    <row r="35" spans="1:30">
      <c r="A35">
        <v>34</v>
      </c>
      <c r="B35" s="3">
        <v>4.6630000000000003</v>
      </c>
      <c r="C35" s="3">
        <v>7.9160000000000004</v>
      </c>
      <c r="D35" s="36">
        <f>$V$5/Table1[[#This Row],[Fallzeit '[s']]]</f>
        <v>1.0722710701265279E-4</v>
      </c>
      <c r="E35" s="35">
        <f>SQRT(($X$5/Table1[[#This Row],[Fallzeit '[s']]])^2+(Table1[[#This Row],[V_{fall}]]/Table1[[#This Row],[Fallzeit '[s']]] * $V$24)^2)</f>
        <v>7.4406301869928755E-6</v>
      </c>
      <c r="F35" s="36">
        <f>$V$5/Table1[[#This Row],[Steigzeit '[s']]]</f>
        <v>6.3163213744315316E-5</v>
      </c>
      <c r="G35" s="36">
        <f>SQRT(($X$5/Table1[[#This Row],[Steigzeit '[s']]])^2+(Table1[[#This Row],[V_{steig}]]/Table1[[#This Row],[Steigzeit '[s']]] * $V$24)^2)</f>
        <v>2.9029341407409475E-6</v>
      </c>
      <c r="H35" s="38">
        <f>SQRT((9 * $V$11)/(2 * ($W$14-$V$15) * $V$7) * Table1[[#This Row],[V_{fall}]] )</f>
        <v>1.0117567331031742E-6</v>
      </c>
      <c r="I35" s="38">
        <f>SQRT((Table1[[#This Row],[Delta V_{fall}]]/(2*Table1[[#This Row],[V_{fall}]]))^2+($X$14/(2*$V$16))^2)* Table1[[#This Row],[Radius]]</f>
        <v>3.5194845835922898E-8</v>
      </c>
      <c r="J35" s="27">
        <f>(Table1[[#This Row],[V_{fall}]]+Table1[[#This Row],[V_{steig}]])*SQRT((9*Table1[[#This Row],[V_{fall}]]*$V$11^3)/(2*($W$14-$V$15)*$V$7))*(6*3.141*$V$9)/$V$29</f>
        <v>7.0566736229032884E-19</v>
      </c>
      <c r="K35" s="27"/>
      <c r="L35" s="7">
        <f>1/(1+($V$18/(Table1[[#This Row],[Radius]]*$V$28)))</f>
        <v>0.92906250761950138</v>
      </c>
      <c r="M35" s="7">
        <f>$V$18/(Table1[[#This Row],[Radius]]*$V$28+$V$18)^2 * SQRT($V$28^2*Table1[[#This Row],[Delta R]]^2+Table1[[#This Row],[Radius]]^2*$X$28)</f>
        <v>2.2925759511560804E-3</v>
      </c>
      <c r="N35" s="3">
        <f>(Table1[[#This Row],[V_{fall}]]+Table1[[#This Row],[V_{steig}]])*SQRT((9 * Table1[[#This Row],[V_{fall}]] * $V$11^3*Table1[[#This Row],[Korrekturstherm]]^3)/(2*($W$14-$V$15)*$V$7))* 6 * PI() * $V$9 / $V$29 /$V$22</f>
        <v>6.3204699284155632</v>
      </c>
      <c r="O35" s="3"/>
      <c r="P35" s="7" t="str">
        <f>IF(Table1[[#This Row],[Q_{ges} korrigiert]]&lt;$V$20,Table1[[#This Row],[Q_{ges} korrigiert]], "")</f>
        <v/>
      </c>
      <c r="Q35" s="7">
        <f>Table1[[#This Row],[Q_{ges} korrigiert]]/Table1[[#Totals],[if Q&gt;q]]</f>
        <v>4.0040543548653433</v>
      </c>
      <c r="R35">
        <f>INT(Table1[[#This Row],[Abweichung von q]]+0.5)</f>
        <v>4</v>
      </c>
      <c r="S35" s="7">
        <f>Table1[[#This Row],[Q_{ges} korrigiert]]/Table1[[#This Row],[Anzahl Ladungen n]]</f>
        <v>1.5801174821038908</v>
      </c>
      <c r="AD35" s="3">
        <f>(Table1[[#This Row],[V_{fall}]]+Table1[[#This Row],[V_{steig}]])*SQRT((9 * Table1[[#This Row],[V_{fall}]] * $V$11^3*Table1[[#This Row],[Korrekturstherm]]^3)/(2*($W$14-$V$15)*$V$7))* 6 * PI() * $V$9 / $V$29 /$V$22</f>
        <v>6.3204699284155632</v>
      </c>
    </row>
    <row r="36" spans="1:30">
      <c r="A36">
        <v>35</v>
      </c>
      <c r="B36" s="28">
        <v>4.8550000000000004</v>
      </c>
      <c r="C36" s="28">
        <v>7.9109999999999996</v>
      </c>
      <c r="D36" s="36">
        <f>$V$5/Table1[[#This Row],[Fallzeit '[s']]]</f>
        <v>1.0298661174047373E-4</v>
      </c>
      <c r="E36" s="35">
        <f>SQRT(($X$5/Table1[[#This Row],[Fallzeit '[s']]])^2+(Table1[[#This Row],[V_{fall}]]/Table1[[#This Row],[Fallzeit '[s']]] * $V$24)^2)</f>
        <v>6.9041345733258828E-6</v>
      </c>
      <c r="F36" s="36">
        <f>$V$5/Table1[[#This Row],[Steigzeit '[s']]]</f>
        <v>6.320313487548983E-5</v>
      </c>
      <c r="G36" s="36">
        <f>SQRT(($X$5/Table1[[#This Row],[Steigzeit '[s']]])^2+(Table1[[#This Row],[V_{steig}]]/Table1[[#This Row],[Steigzeit '[s']]] * $V$24)^2)</f>
        <v>2.9060173590100214E-6</v>
      </c>
      <c r="H36" s="38">
        <f>SQRT((9 * $V$11)/(2 * ($W$14-$V$15) * $V$7) * Table1[[#This Row],[V_{fall}]] )</f>
        <v>9.9154902962150051E-7</v>
      </c>
      <c r="I36" s="38">
        <f>SQRT((Table1[[#This Row],[Delta V_{fall}]]/(2*Table1[[#This Row],[V_{fall}]]))^2+($X$14/(2*$V$16))^2)* Table1[[#This Row],[Radius]]</f>
        <v>3.3328887136783506E-8</v>
      </c>
      <c r="J36" s="27">
        <f>(Table1[[#This Row],[V_{fall}]]+Table1[[#This Row],[V_{steig}]])*SQRT((9*Table1[[#This Row],[V_{fall}]]*$V$11^3)/(2*($W$14-$V$15)*$V$7))*(6*3.141*$V$9)/$V$29</f>
        <v>6.7452403177652134E-19</v>
      </c>
      <c r="K36" s="27"/>
      <c r="L36" s="7">
        <f>1/(1+($V$18/(Table1[[#This Row],[Radius]]*$V$28)))</f>
        <v>0.92772129964577799</v>
      </c>
      <c r="M36" s="7">
        <f>$V$18/(Table1[[#This Row],[Radius]]*$V$28+$V$18)^2 * SQRT($V$28^2*Table1[[#This Row],[Delta R]]^2+Table1[[#This Row],[Radius]]^2*$X$28)</f>
        <v>2.2538991683957073E-3</v>
      </c>
      <c r="N36" s="3">
        <f>(Table1[[#This Row],[V_{fall}]]+Table1[[#This Row],[V_{steig}]])*SQRT((9 * Table1[[#This Row],[V_{fall}]] * $V$11^3*Table1[[#This Row],[Korrekturstherm]]^3)/(2*($W$14-$V$15)*$V$7))* 6 * PI() * $V$9 / $V$29 /$V$22</f>
        <v>6.0284498872585575</v>
      </c>
      <c r="O36" s="3"/>
      <c r="P36" s="7" t="str">
        <f>IF(Table1[[#This Row],[Q_{ges} korrigiert]]&lt;$V$20,Table1[[#This Row],[Q_{ges} korrigiert]], "")</f>
        <v/>
      </c>
      <c r="Q36" s="7">
        <f>Table1[[#This Row],[Q_{ges} korrigiert]]/Table1[[#Totals],[if Q&gt;q]]</f>
        <v>3.8190579652383803</v>
      </c>
      <c r="R36">
        <f>INT(Table1[[#This Row],[Abweichung von q]]+0.5)</f>
        <v>4</v>
      </c>
      <c r="S36" s="7">
        <f>Table1[[#This Row],[Q_{ges} korrigiert]]/Table1[[#This Row],[Anzahl Ladungen n]]</f>
        <v>1.5071124718146394</v>
      </c>
      <c r="AD36" s="37">
        <f>(Table1[[#This Row],[V_{fall}]]+Table1[[#This Row],[V_{steig}]])*SQRT((9 * Table1[[#This Row],[V_{fall}]] * $V$11^3*Table1[[#This Row],[Korrekturstherm]]^3)/(2*($W$14-$V$15)*$V$7))* 6 * PI() * $V$9 / $V$29 /$V$22</f>
        <v>6.0284498872585575</v>
      </c>
    </row>
    <row r="37" spans="1:30">
      <c r="A37">
        <v>36</v>
      </c>
      <c r="B37" s="3">
        <v>6.2270000000000003</v>
      </c>
      <c r="C37" s="3">
        <v>7.93</v>
      </c>
      <c r="D37" s="36">
        <f>$V$5/Table1[[#This Row],[Fallzeit '[s']]]</f>
        <v>8.0295487393608481E-5</v>
      </c>
      <c r="E37" s="35">
        <f>SQRT(($X$5/Table1[[#This Row],[Fallzeit '[s']]])^2+(Table1[[#This Row],[V_{fall}]]/Table1[[#This Row],[Fallzeit '[s']]] * $V$24)^2)</f>
        <v>4.3958032113066956E-6</v>
      </c>
      <c r="F37" s="36">
        <f>$V$5/Table1[[#This Row],[Steigzeit '[s']]]</f>
        <v>6.3051702395964691E-5</v>
      </c>
      <c r="G37" s="36">
        <f>SQRT(($X$5/Table1[[#This Row],[Steigzeit '[s']]])^2+(Table1[[#This Row],[V_{steig}]]/Table1[[#This Row],[Steigzeit '[s']]] * $V$24)^2)</f>
        <v>2.8943315051221873E-6</v>
      </c>
      <c r="H37" s="38">
        <f>SQRT((9 * $V$11)/(2 * ($W$14-$V$15) * $V$7) * Table1[[#This Row],[V_{fall}]] )</f>
        <v>8.7552666628342038E-7</v>
      </c>
      <c r="I37" s="38">
        <f>SQRT((Table1[[#This Row],[Delta V_{fall}]]/(2*Table1[[#This Row],[V_{fall}]]))^2+($X$14/(2*$V$16))^2)* Table1[[#This Row],[Radius]]</f>
        <v>2.4065541944468574E-8</v>
      </c>
      <c r="J37" s="27">
        <f>(Table1[[#This Row],[V_{fall}]]+Table1[[#This Row],[V_{steig}]])*SQRT((9*Table1[[#This Row],[V_{fall}]]*$V$11^3)/(2*($W$14-$V$15)*$V$7))*(6*3.141*$V$9)/$V$29</f>
        <v>5.1373312460528414E-19</v>
      </c>
      <c r="K37" s="27"/>
      <c r="L37" s="7">
        <f>1/(1+($V$18/(Table1[[#This Row],[Radius]]*$V$28)))</f>
        <v>0.91891972777370068</v>
      </c>
      <c r="M37" s="7">
        <f>$V$18/(Table1[[#This Row],[Radius]]*$V$28+$V$18)^2 * SQRT($V$28^2*Table1[[#This Row],[Delta R]]^2+Table1[[#This Row],[Radius]]^2*$X$28)</f>
        <v>2.0479485621433019E-3</v>
      </c>
      <c r="N37" s="3">
        <f>(Table1[[#This Row],[V_{fall}]]+Table1[[#This Row],[V_{steig}]])*SQRT((9 * Table1[[#This Row],[V_{fall}]] * $V$11^3*Table1[[#This Row],[Korrekturstherm]]^3)/(2*($W$14-$V$15)*$V$7))* 6 * PI() * $V$9 / $V$29 /$V$22</f>
        <v>4.5262221785312846</v>
      </c>
      <c r="O37" s="3"/>
      <c r="P37" s="7" t="str">
        <f>IF(Table1[[#This Row],[Q_{ges} korrigiert]]&lt;$V$20,Table1[[#This Row],[Q_{ges} korrigiert]], "")</f>
        <v/>
      </c>
      <c r="Q37" s="7">
        <f>Table1[[#This Row],[Q_{ges} korrigiert]]/Table1[[#Totals],[if Q&gt;q]]</f>
        <v>2.8673879996735439</v>
      </c>
      <c r="R37">
        <f>INT(Table1[[#This Row],[Abweichung von q]]+0.5)</f>
        <v>3</v>
      </c>
      <c r="S37" s="7">
        <f>Table1[[#This Row],[Q_{ges} korrigiert]]/Table1[[#This Row],[Anzahl Ladungen n]]</f>
        <v>1.5087407261770949</v>
      </c>
      <c r="AD37" s="3">
        <f>(Table1[[#This Row],[V_{fall}]]+Table1[[#This Row],[V_{steig}]])*SQRT((9 * Table1[[#This Row],[V_{fall}]] * $V$11^3*Table1[[#This Row],[Korrekturstherm]]^3)/(2*($W$14-$V$15)*$V$7))* 6 * PI() * $V$9 / $V$29 /$V$22</f>
        <v>4.5262221785312846</v>
      </c>
    </row>
    <row r="38" spans="1:30">
      <c r="A38">
        <v>37</v>
      </c>
      <c r="B38" s="3">
        <v>6.4649999999999999</v>
      </c>
      <c r="C38" s="3">
        <v>8.0950000000000006</v>
      </c>
      <c r="D38" s="36">
        <f>$V$5/Table1[[#This Row],[Fallzeit '[s']]]</f>
        <v>7.7339520494972941E-5</v>
      </c>
      <c r="E38" s="35">
        <f>SQRT(($X$5/Table1[[#This Row],[Fallzeit '[s']]])^2+(Table1[[#This Row],[V_{fall}]]/Table1[[#This Row],[Fallzeit '[s']]] * $V$24)^2)</f>
        <v>4.113782453252122E-6</v>
      </c>
      <c r="F38" s="36">
        <f>$V$5/Table1[[#This Row],[Steigzeit '[s']]]</f>
        <v>6.1766522544780725E-5</v>
      </c>
      <c r="G38" s="36">
        <f>SQRT(($X$5/Table1[[#This Row],[Steigzeit '[s']]])^2+(Table1[[#This Row],[V_{steig}]]/Table1[[#This Row],[Steigzeit '[s']]] * $V$24)^2)</f>
        <v>2.7962143344140502E-6</v>
      </c>
      <c r="H38" s="38">
        <f>SQRT((9 * $V$11)/(2 * ($W$14-$V$15) * $V$7) * Table1[[#This Row],[V_{fall}]] )</f>
        <v>8.5925990352603192E-7</v>
      </c>
      <c r="I38" s="38">
        <f>SQRT((Table1[[#This Row],[Delta V_{fall}]]/(2*Table1[[#This Row],[V_{fall}]]))^2+($X$14/(2*$V$16))^2)* Table1[[#This Row],[Radius]]</f>
        <v>2.2953575686585209E-8</v>
      </c>
      <c r="J38" s="27">
        <f>(Table1[[#This Row],[V_{fall}]]+Table1[[#This Row],[V_{steig}]])*SQRT((9*Table1[[#This Row],[V_{fall}]]*$V$11^3)/(2*($W$14-$V$15)*$V$7))*(6*3.141*$V$9)/$V$29</f>
        <v>4.8927108560496125E-19</v>
      </c>
      <c r="K38" s="27"/>
      <c r="L38" s="7">
        <f>1/(1+($V$18/(Table1[[#This Row],[Radius]]*$V$28)))</f>
        <v>0.91751140158826738</v>
      </c>
      <c r="M38" s="7">
        <f>$V$18/(Table1[[#This Row],[Radius]]*$V$28+$V$18)^2 * SQRT($V$28^2*Table1[[#This Row],[Delta R]]^2+Table1[[#This Row],[Radius]]^2*$X$28)</f>
        <v>2.0217674489255428E-3</v>
      </c>
      <c r="N38" s="3">
        <f>(Table1[[#This Row],[V_{fall}]]+Table1[[#This Row],[V_{steig}]])*SQRT((9 * Table1[[#This Row],[V_{fall}]] * $V$11^3*Table1[[#This Row],[Korrekturstherm]]^3)/(2*($W$14-$V$15)*$V$7))* 6 * PI() * $V$9 / $V$29 /$V$22</f>
        <v>4.3007945038453039</v>
      </c>
      <c r="O38" s="3"/>
      <c r="P38" s="7" t="str">
        <f>IF(Table1[[#This Row],[Q_{ges} korrigiert]]&lt;$V$20,Table1[[#This Row],[Q_{ges} korrigiert]], "")</f>
        <v/>
      </c>
      <c r="Q38" s="7">
        <f>Table1[[#This Row],[Q_{ges} korrigiert]]/Table1[[#Totals],[if Q&gt;q]]</f>
        <v>2.7245782604047042</v>
      </c>
      <c r="R38">
        <f>INT(Table1[[#This Row],[Abweichung von q]]+0.5)</f>
        <v>3</v>
      </c>
      <c r="S38" s="7">
        <f>Table1[[#This Row],[Q_{ges} korrigiert]]/Table1[[#This Row],[Anzahl Ladungen n]]</f>
        <v>1.4335981679484346</v>
      </c>
      <c r="AD38" s="37">
        <f>(Table1[[#This Row],[V_{fall}]]+Table1[[#This Row],[V_{steig}]])*SQRT((9 * Table1[[#This Row],[V_{fall}]] * $V$11^3*Table1[[#This Row],[Korrekturstherm]]^3)/(2*($W$14-$V$15)*$V$7))* 6 * PI() * $V$9 / $V$29 /$V$22</f>
        <v>4.3007945038453039</v>
      </c>
    </row>
    <row r="39" spans="1:30">
      <c r="A39">
        <v>38</v>
      </c>
      <c r="B39" s="3">
        <v>6.1950000000000003</v>
      </c>
      <c r="C39" s="3">
        <v>8.6980000000000004</v>
      </c>
      <c r="D39" s="36">
        <f>$V$5/Table1[[#This Row],[Fallzeit '[s']]]</f>
        <v>8.0710250201775617E-5</v>
      </c>
      <c r="E39" s="35">
        <f>SQRT(($X$5/Table1[[#This Row],[Fallzeit '[s']]])^2+(Table1[[#This Row],[V_{fall}]]/Table1[[#This Row],[Fallzeit '[s']]] * $V$24)^2)</f>
        <v>4.4361954307395518E-6</v>
      </c>
      <c r="F39" s="36">
        <f>$V$5/Table1[[#This Row],[Steigzeit '[s']]]</f>
        <v>5.7484479190618535E-5</v>
      </c>
      <c r="G39" s="36">
        <f>SQRT(($X$5/Table1[[#This Row],[Steigzeit '[s']]])^2+(Table1[[#This Row],[V_{steig}]]/Table1[[#This Row],[Steigzeit '[s']]] * $V$24)^2)</f>
        <v>2.4829086611665029E-6</v>
      </c>
      <c r="H39" s="38">
        <f>SQRT((9 * $V$11)/(2 * ($W$14-$V$15) * $V$7) * Table1[[#This Row],[V_{fall}]] )</f>
        <v>8.7778500094908675E-7</v>
      </c>
      <c r="I39" s="38">
        <f>SQRT((Table1[[#This Row],[Delta V_{fall}]]/(2*Table1[[#This Row],[V_{fall}]]))^2+($X$14/(2*$V$16))^2)* Table1[[#This Row],[Radius]]</f>
        <v>2.4223392138590208E-8</v>
      </c>
      <c r="J39" s="27">
        <f>(Table1[[#This Row],[V_{fall}]]+Table1[[#This Row],[V_{steig}]])*SQRT((9*Table1[[#This Row],[V_{fall}]]*$V$11^3)/(2*($W$14-$V$15)*$V$7))*(6*3.141*$V$9)/$V$29</f>
        <v>4.9654503433338374E-19</v>
      </c>
      <c r="K39" s="27"/>
      <c r="L39" s="7">
        <f>1/(1+($V$18/(Table1[[#This Row],[Radius]]*$V$28)))</f>
        <v>0.91911145488209545</v>
      </c>
      <c r="M39" s="7">
        <f>$V$18/(Table1[[#This Row],[Radius]]*$V$28+$V$18)^2 * SQRT($V$28^2*Table1[[#This Row],[Delta R]]^2+Table1[[#This Row],[Radius]]^2*$X$28)</f>
        <v>2.051644025557387E-3</v>
      </c>
      <c r="N39" s="3">
        <f>(Table1[[#This Row],[V_{fall}]]+Table1[[#This Row],[V_{steig}]])*SQRT((9 * Table1[[#This Row],[V_{fall}]] * $V$11^3*Table1[[#This Row],[Korrekturstherm]]^3)/(2*($W$14-$V$15)*$V$7))* 6 * PI() * $V$9 / $V$29 /$V$22</f>
        <v>4.3761565272075451</v>
      </c>
      <c r="O39" s="3"/>
      <c r="P39" s="7" t="str">
        <f>IF(Table1[[#This Row],[Q_{ges} korrigiert]]&lt;$V$20,Table1[[#This Row],[Q_{ges} korrigiert]], "")</f>
        <v/>
      </c>
      <c r="Q39" s="7">
        <f>Table1[[#This Row],[Q_{ges} korrigiert]]/Table1[[#Totals],[if Q&gt;q]]</f>
        <v>2.7723205392625503</v>
      </c>
      <c r="R39">
        <f>INT(Table1[[#This Row],[Abweichung von q]]+0.5)</f>
        <v>3</v>
      </c>
      <c r="S39" s="7">
        <f>Table1[[#This Row],[Q_{ges} korrigiert]]/Table1[[#This Row],[Anzahl Ladungen n]]</f>
        <v>1.458718842402515</v>
      </c>
      <c r="AD39" s="3">
        <f>(Table1[[#This Row],[V_{fall}]]+Table1[[#This Row],[V_{steig}]])*SQRT((9 * Table1[[#This Row],[V_{fall}]] * $V$11^3*Table1[[#This Row],[Korrekturstherm]]^3)/(2*($W$14-$V$15)*$V$7))* 6 * PI() * $V$9 / $V$29 /$V$22</f>
        <v>4.3761565272075451</v>
      </c>
    </row>
    <row r="40" spans="1:30">
      <c r="A40">
        <v>39</v>
      </c>
      <c r="B40" s="3">
        <v>6.4610000000000003</v>
      </c>
      <c r="C40" s="3">
        <v>7.9569999999999999</v>
      </c>
      <c r="D40" s="36">
        <f>$V$5/Table1[[#This Row],[Fallzeit '[s']]]</f>
        <v>7.7387401331063295E-5</v>
      </c>
      <c r="E40" s="35">
        <f>SQRT(($X$5/Table1[[#This Row],[Fallzeit '[s']]])^2+(Table1[[#This Row],[V_{fall}]]/Table1[[#This Row],[Fallzeit '[s']]] * $V$24)^2)</f>
        <v>4.1182689643903218E-6</v>
      </c>
      <c r="F40" s="36">
        <f>$V$5/Table1[[#This Row],[Steigzeit '[s']]]</f>
        <v>6.2837752921955517E-5</v>
      </c>
      <c r="G40" s="36">
        <f>SQRT(($X$5/Table1[[#This Row],[Steigzeit '[s']]])^2+(Table1[[#This Row],[V_{steig}]]/Table1[[#This Row],[Steigzeit '[s']]] * $V$24)^2)</f>
        <v>2.8778661468998254E-6</v>
      </c>
      <c r="H40" s="38">
        <f>SQRT((9 * $V$11)/(2 * ($W$14-$V$15) * $V$7) * Table1[[#This Row],[V_{fall}]] )</f>
        <v>8.5952584593522415E-7</v>
      </c>
      <c r="I40" s="38">
        <f>SQRT((Table1[[#This Row],[Delta V_{fall}]]/(2*Table1[[#This Row],[V_{fall}]]))^2+($X$14/(2*$V$16))^2)* Table1[[#This Row],[Radius]]</f>
        <v>2.2971404229012239E-8</v>
      </c>
      <c r="J40" s="27">
        <f>(Table1[[#This Row],[V_{fall}]]+Table1[[#This Row],[V_{steig}]])*SQRT((9*Table1[[#This Row],[V_{fall}]]*$V$11^3)/(2*($W$14-$V$15)*$V$7))*(6*3.141*$V$9)/$V$29</f>
        <v>4.9335993087873934E-19</v>
      </c>
      <c r="K40" s="27"/>
      <c r="L40" s="7">
        <f>1/(1+($V$18/(Table1[[#This Row],[Radius]]*$V$28)))</f>
        <v>0.91753481933673664</v>
      </c>
      <c r="M40" s="7">
        <f>$V$18/(Table1[[#This Row],[Radius]]*$V$28+$V$18)^2 * SQRT($V$28^2*Table1[[#This Row],[Delta R]]^2+Table1[[#This Row],[Radius]]^2*$X$28)</f>
        <v>2.0221891491236182E-3</v>
      </c>
      <c r="N40" s="3">
        <f>(Table1[[#This Row],[V_{fall}]]+Table1[[#This Row],[V_{steig}]])*SQRT((9 * Table1[[#This Row],[V_{fall}]] * $V$11^3*Table1[[#This Row],[Korrekturstherm]]^3)/(2*($W$14-$V$15)*$V$7))* 6 * PI() * $V$9 / $V$29 /$V$22</f>
        <v>4.3369023349719757</v>
      </c>
      <c r="O40" s="3"/>
      <c r="P40" s="7" t="str">
        <f>IF(Table1[[#This Row],[Q_{ges} korrigiert]]&lt;$V$20,Table1[[#This Row],[Q_{ges} korrigiert]], "")</f>
        <v/>
      </c>
      <c r="Q40" s="7">
        <f>Table1[[#This Row],[Q_{ges} korrigiert]]/Table1[[#Totals],[if Q&gt;q]]</f>
        <v>2.7474527808288109</v>
      </c>
      <c r="R40">
        <f>INT(Table1[[#This Row],[Abweichung von q]]+0.5)</f>
        <v>3</v>
      </c>
      <c r="S40" s="7">
        <f>Table1[[#This Row],[Q_{ges} korrigiert]]/Table1[[#This Row],[Anzahl Ladungen n]]</f>
        <v>1.4456341116573252</v>
      </c>
      <c r="U40" s="50" t="s">
        <v>99</v>
      </c>
      <c r="V40" s="50"/>
      <c r="W40" s="50"/>
      <c r="X40" s="50"/>
      <c r="AD40" s="37">
        <f>(Table1[[#This Row],[V_{fall}]]+Table1[[#This Row],[V_{steig}]])*SQRT((9 * Table1[[#This Row],[V_{fall}]] * $V$11^3*Table1[[#This Row],[Korrekturstherm]]^3)/(2*($W$14-$V$15)*$V$7))* 6 * PI() * $V$9 / $V$29 /$V$22</f>
        <v>4.3369023349719757</v>
      </c>
    </row>
    <row r="41" spans="1:30">
      <c r="A41">
        <v>40</v>
      </c>
      <c r="B41" s="28">
        <v>6.29</v>
      </c>
      <c r="C41" s="28">
        <v>8.6039999999999992</v>
      </c>
      <c r="D41" s="36">
        <f>$V$5/Table1[[#This Row],[Fallzeit '[s']]]</f>
        <v>7.9491255961844197E-5</v>
      </c>
      <c r="E41" s="35">
        <f>SQRT(($X$5/Table1[[#This Row],[Fallzeit '[s']]])^2+(Table1[[#This Row],[V_{fall}]]/Table1[[#This Row],[Fallzeit '[s']]] * $V$24)^2)</f>
        <v>4.3180580349180781E-6</v>
      </c>
      <c r="F41" s="36">
        <f>$V$5/Table1[[#This Row],[Steigzeit '[s']]]</f>
        <v>5.8112505811250586E-5</v>
      </c>
      <c r="G41" s="36">
        <f>SQRT(($X$5/Table1[[#This Row],[Steigzeit '[s']]])^2+(Table1[[#This Row],[V_{steig}]]/Table1[[#This Row],[Steigzeit '[s']]] * $V$24)^2)</f>
        <v>2.5275551904529517E-6</v>
      </c>
      <c r="H41" s="38">
        <f>SQRT((9 * $V$11)/(2 * ($W$14-$V$15) * $V$7) * Table1[[#This Row],[V_{fall}]] )</f>
        <v>8.711310390427893E-7</v>
      </c>
      <c r="I41" s="38">
        <f>SQRT((Table1[[#This Row],[Delta V_{fall}]]/(2*Table1[[#This Row],[V_{fall}]]))^2+($X$14/(2*$V$16))^2)* Table1[[#This Row],[Radius]]</f>
        <v>2.3760742793647912E-8</v>
      </c>
      <c r="J41" s="27">
        <f>(Table1[[#This Row],[V_{fall}]]+Table1[[#This Row],[V_{steig}]])*SQRT((9*Table1[[#This Row],[V_{fall}]]*$V$11^3)/(2*($W$14-$V$15)*$V$7))*(6*3.141*$V$9)/$V$29</f>
        <v>4.9067372498242119E-19</v>
      </c>
      <c r="K41" s="27"/>
      <c r="L41" s="7">
        <f>1/(1+($V$18/(Table1[[#This Row],[Radius]]*$V$28)))</f>
        <v>0.91854393147500391</v>
      </c>
      <c r="M41" s="7">
        <f>$V$18/(Table1[[#This Row],[Radius]]*$V$28+$V$18)^2 * SQRT($V$28^2*Table1[[#This Row],[Delta R]]^2+Table1[[#This Row],[Radius]]^2*$X$28)</f>
        <v>2.0407974601721591E-3</v>
      </c>
      <c r="N41" s="3">
        <f>(Table1[[#This Row],[V_{fall}]]+Table1[[#This Row],[V_{steig}]])*SQRT((9 * Table1[[#This Row],[V_{fall}]] * $V$11^3*Table1[[#This Row],[Korrekturstherm]]^3)/(2*($W$14-$V$15)*$V$7))* 6 * PI() * $V$9 / $V$29 /$V$22</f>
        <v>4.3204067639697525</v>
      </c>
      <c r="O41" s="3"/>
      <c r="P41" s="7" t="str">
        <f>IF(Table1[[#This Row],[Q_{ges} korrigiert]]&lt;$V$20,Table1[[#This Row],[Q_{ges} korrigiert]], "")</f>
        <v/>
      </c>
      <c r="Q41" s="7">
        <f>Table1[[#This Row],[Q_{ges} korrigiert]]/Table1[[#Totals],[if Q&gt;q]]</f>
        <v>2.7370027409337552</v>
      </c>
      <c r="R41">
        <f>INT(Table1[[#This Row],[Abweichung von q]]+0.5)</f>
        <v>3</v>
      </c>
      <c r="S41" s="7">
        <f>Table1[[#This Row],[Q_{ges} korrigiert]]/Table1[[#This Row],[Anzahl Ladungen n]]</f>
        <v>1.4401355879899176</v>
      </c>
      <c r="U41" t="s">
        <v>107</v>
      </c>
      <c r="V41" s="30">
        <f>Table1[[#Totals],[if Q&gt;q]]</f>
        <v>1.5785175145625918</v>
      </c>
      <c r="W41" t="s">
        <v>115</v>
      </c>
      <c r="X41" s="47">
        <f>V41*SQRT(((3*X5)/(2*V5))^2+(X14/(2*V16))^2+(X9/V9)^2+(X29/V29)^2  + (3/2 * 0.02)^2)</f>
        <v>7.926787823345538E-2</v>
      </c>
      <c r="AD41" s="3">
        <f>(Table1[[#This Row],[V_{fall}]]+Table1[[#This Row],[V_{steig}]])*SQRT((9 * Table1[[#This Row],[V_{fall}]] * $V$11^3*Table1[[#This Row],[Korrekturstherm]]^3)/(2*($W$14-$V$15)*$V$7))* 6 * PI() * $V$9 / $V$29 /$V$22</f>
        <v>4.3204067639697525</v>
      </c>
    </row>
    <row r="42" spans="1:30">
      <c r="A42">
        <v>41</v>
      </c>
      <c r="B42" s="3">
        <v>13.914</v>
      </c>
      <c r="C42" s="3">
        <v>12.462999999999999</v>
      </c>
      <c r="D42" s="40">
        <f>$V$5/Table1[[#This Row],[Fallzeit '[s']]]</f>
        <v>3.5935029466724166E-5</v>
      </c>
      <c r="E42" s="39">
        <f>SQRT(($X$5/Table1[[#This Row],[Fallzeit '[s']]])^2+(Table1[[#This Row],[V_{fall}]]/Table1[[#This Row],[Fallzeit '[s']]] * $V$24)^2)</f>
        <v>1.2137731040811983E-6</v>
      </c>
      <c r="F42" s="41">
        <f>$V$5/Table1[[#This Row],[Steigzeit '[s']]]</f>
        <v>4.0118751504453188E-5</v>
      </c>
      <c r="G42" s="42">
        <f>SQRT(($X$5/Table1[[#This Row],[Steigzeit '[s']]])^2+(Table1[[#This Row],[V_{steig}]]/Table1[[#This Row],[Steigzeit '[s']]] * $V$24)^2)</f>
        <v>1.4214867518460497E-6</v>
      </c>
      <c r="H42" s="44">
        <f>SQRT((9 * $V$11)/(2 * ($W$14-$V$15) * $V$7) * Table1[[#This Row],[V_{fall}]] )</f>
        <v>5.8571023268333495E-7</v>
      </c>
      <c r="I42" s="45">
        <f>SQRT((Table1[[#This Row],[Delta V_{fall}]]/(2*Table1[[#This Row],[V_{fall}]]))^2+($X$14/(2*$V$16))^2)* Table1[[#This Row],[Radius]]</f>
        <v>9.9998410303631723E-9</v>
      </c>
      <c r="J42" s="27">
        <f>(Table1[[#This Row],[V_{fall}]]+Table1[[#This Row],[V_{steig}]])*SQRT((9*Table1[[#This Row],[V_{fall}]]*$V$11^3)/(2*($W$14-$V$15)*$V$7))*(6*3.141*$V$9)/$V$29</f>
        <v>1.8234028479875223E-19</v>
      </c>
      <c r="K42" s="27"/>
      <c r="L42" s="7">
        <f>1/(1+($V$18/(Table1[[#This Row],[Radius]]*$V$28)))</f>
        <v>0.88347515583468894</v>
      </c>
      <c r="M42" s="7">
        <f>$V$18/(Table1[[#This Row],[Radius]]*$V$28+$V$18)^2 * SQRT($V$28^2*Table1[[#This Row],[Delta R]]^2+Table1[[#This Row],[Radius]]^2*$X$28)</f>
        <v>1.7576126267311821E-3</v>
      </c>
      <c r="N42" s="3">
        <f>(Table1[[#This Row],[V_{fall}]]+Table1[[#This Row],[V_{steig}]])*SQRT((9 * Table1[[#This Row],[V_{fall}]] * $V$11^3*Table1[[#This Row],[Korrekturstherm]]^3)/(2*($W$14-$V$15)*$V$7))* 6 * PI() * $V$9 / $V$29 /$V$22</f>
        <v>1.5144539662791172</v>
      </c>
      <c r="O42" s="3"/>
      <c r="P42" s="7">
        <f>IF(Table1[[#This Row],[Q_{ges} korrigiert]]&lt;$V$20,Table1[[#This Row],[Q_{ges} korrigiert]], "")</f>
        <v>1.5144539662791172</v>
      </c>
      <c r="Q42" s="7">
        <f>Table1[[#This Row],[Q_{ges} korrigiert]]/Table1[[#Totals],[if Q&gt;q]]</f>
        <v>0.95941537062943094</v>
      </c>
      <c r="R42">
        <f>INT(Table1[[#This Row],[Abweichung von q]]+0.5)</f>
        <v>1</v>
      </c>
      <c r="S42" s="7">
        <f>Table1[[#This Row],[Q_{ges} korrigiert]]/Table1[[#This Row],[Anzahl Ladungen n]]</f>
        <v>1.5144539662791172</v>
      </c>
      <c r="U42" t="s">
        <v>110</v>
      </c>
      <c r="V42" s="31">
        <f>COUNTIF(Table1[Anzahl Ladungen n],"&lt;6")</f>
        <v>60</v>
      </c>
      <c r="W42" t="s">
        <v>125</v>
      </c>
      <c r="X42">
        <f>COUNTIF(Table1[Anzahl Ladungen n], "=1")</f>
        <v>10</v>
      </c>
      <c r="AD42" s="37">
        <f>(Table1[[#This Row],[V_{fall}]]+Table1[[#This Row],[V_{steig}]])*SQRT((9 * Table1[[#This Row],[V_{fall}]] * $V$11^3*Table1[[#This Row],[Korrekturstherm]]^3)/(2*($W$14-$V$15)*$V$7))* 6 * PI() * $V$9 / $V$29 /$V$22</f>
        <v>1.5144539662791172</v>
      </c>
    </row>
    <row r="43" spans="1:30">
      <c r="A43">
        <v>42</v>
      </c>
      <c r="B43" s="3">
        <v>13.294</v>
      </c>
      <c r="C43" s="3">
        <v>12.143000000000001</v>
      </c>
      <c r="D43" s="40">
        <f>$V$5/Table1[[#This Row],[Fallzeit '[s']]]</f>
        <v>3.761095230931247E-5</v>
      </c>
      <c r="E43" s="39">
        <f>SQRT(($X$5/Table1[[#This Row],[Fallzeit '[s']]])^2+(Table1[[#This Row],[V_{fall}]]/Table1[[#This Row],[Fallzeit '[s']]] * $V$24)^2)</f>
        <v>1.2948496337829829E-6</v>
      </c>
      <c r="F43" s="41">
        <f>$V$5/Table1[[#This Row],[Steigzeit '[s']]]</f>
        <v>4.117598616486865E-5</v>
      </c>
      <c r="G43" s="42">
        <f>SQRT(($X$5/Table1[[#This Row],[Steigzeit '[s']]])^2+(Table1[[#This Row],[V_{steig}]]/Table1[[#This Row],[Steigzeit '[s']]] * $V$24)^2)</f>
        <v>1.4768157988752482E-6</v>
      </c>
      <c r="H43" s="44">
        <f>SQRT((9 * $V$11)/(2 * ($W$14-$V$15) * $V$7) * Table1[[#This Row],[V_{fall}]] )</f>
        <v>5.9921265076884477E-7</v>
      </c>
      <c r="I43" s="44">
        <f>SQRT((Table1[[#This Row],[Delta V_{fall}]]/(2*Table1[[#This Row],[V_{fall}]]))^2+($X$14/(2*$V$16))^2)* Table1[[#This Row],[Radius]]</f>
        <v>1.0423219068351321E-8</v>
      </c>
      <c r="J43" s="27">
        <f>(Table1[[#This Row],[V_{fall}]]+Table1[[#This Row],[V_{steig}]])*SQRT((9*Table1[[#This Row],[V_{fall}]]*$V$11^3)/(2*($W$14-$V$15)*$V$7))*(6*3.141*$V$9)/$V$29</f>
        <v>1.9324764330721132E-19</v>
      </c>
      <c r="K43" s="27"/>
      <c r="L43" s="7">
        <f>1/(1+($V$18/(Table1[[#This Row],[Radius]]*$V$28)))</f>
        <v>0.88580102503018099</v>
      </c>
      <c r="M43" s="7">
        <f>$V$18/(Table1[[#This Row],[Radius]]*$V$28+$V$18)^2 * SQRT($V$28^2*Table1[[#This Row],[Delta R]]^2+Table1[[#This Row],[Radius]]^2*$X$28)</f>
        <v>1.7596215948165988E-3</v>
      </c>
      <c r="N43" s="3">
        <f>(Table1[[#This Row],[V_{fall}]]+Table1[[#This Row],[V_{steig}]])*SQRT((9 * Table1[[#This Row],[V_{fall}]] * $V$11^3*Table1[[#This Row],[Korrekturstherm]]^3)/(2*($W$14-$V$15)*$V$7))* 6 * PI() * $V$9 / $V$29 /$V$22</f>
        <v>1.6113890583409496</v>
      </c>
      <c r="O43" s="3"/>
      <c r="P43" s="7">
        <f>IF(Table1[[#This Row],[Q_{ges} korrigiert]]&lt;$V$20,Table1[[#This Row],[Q_{ges} korrigiert]], "")</f>
        <v>1.6113890583409496</v>
      </c>
      <c r="Q43" s="7">
        <f>Table1[[#This Row],[Q_{ges} korrigiert]]/Table1[[#Totals],[if Q&gt;q]]</f>
        <v>1.020824313620281</v>
      </c>
      <c r="R43">
        <f>INT(Table1[[#This Row],[Abweichung von q]]+0.5)</f>
        <v>1</v>
      </c>
      <c r="S43" s="7">
        <f>Table1[[#This Row],[Q_{ges} korrigiert]]/Table1[[#This Row],[Anzahl Ladungen n]]</f>
        <v>1.6113890583409496</v>
      </c>
      <c r="U43" t="s">
        <v>111</v>
      </c>
      <c r="V43" s="30">
        <f>Table1[[#Totals],[Q/n]]</f>
        <v>1.5687792840356773</v>
      </c>
      <c r="AD43" s="3">
        <f>(Table1[[#This Row],[V_{fall}]]+Table1[[#This Row],[V_{steig}]])*SQRT((9 * Table1[[#This Row],[V_{fall}]] * $V$11^3*Table1[[#This Row],[Korrekturstherm]]^3)/(2*($W$14-$V$15)*$V$7))* 6 * PI() * $V$9 / $V$29 /$V$22</f>
        <v>1.6113890583409496</v>
      </c>
    </row>
    <row r="44" spans="1:30">
      <c r="A44">
        <v>43</v>
      </c>
      <c r="B44" s="3">
        <v>13.44</v>
      </c>
      <c r="C44" s="3">
        <v>12.842000000000001</v>
      </c>
      <c r="D44" s="40">
        <f>$V$5/Table1[[#This Row],[Fallzeit '[s']]]</f>
        <v>3.7202380952380956E-5</v>
      </c>
      <c r="E44" s="39">
        <f>SQRT(($X$5/Table1[[#This Row],[Fallzeit '[s']]])^2+(Table1[[#This Row],[V_{fall}]]/Table1[[#This Row],[Fallzeit '[s']]] * $V$24)^2)</f>
        <v>1.2748242391297553E-6</v>
      </c>
      <c r="F44" s="41">
        <f>$V$5/Table1[[#This Row],[Steigzeit '[s']]]</f>
        <v>3.8934745366765302E-5</v>
      </c>
      <c r="G44" s="42">
        <f>SQRT(($X$5/Table1[[#This Row],[Steigzeit '[s']]])^2+(Table1[[#This Row],[V_{steig}]]/Table1[[#This Row],[Steigzeit '[s']]] * $V$24)^2)</f>
        <v>1.3608956084966748E-6</v>
      </c>
      <c r="H44" s="44">
        <f>SQRT((9 * $V$11)/(2 * ($W$14-$V$15) * $V$7) * Table1[[#This Row],[V_{fall}]] )</f>
        <v>5.9594911148611903E-7</v>
      </c>
      <c r="I44" s="44">
        <f>SQRT((Table1[[#This Row],[Delta V_{fall}]]/(2*Table1[[#This Row],[V_{fall}]]))^2+($X$14/(2*$V$16))^2)* Table1[[#This Row],[Radius]]</f>
        <v>1.0319218059680196E-8</v>
      </c>
      <c r="J44" s="27">
        <f>(Table1[[#This Row],[V_{fall}]]+Table1[[#This Row],[V_{steig}]])*SQRT((9*Table1[[#This Row],[V_{fall}]]*$V$11^3)/(2*($W$14-$V$15)*$V$7))*(6*3.141*$V$9)/$V$29</f>
        <v>1.8573111472973629E-19</v>
      </c>
      <c r="K44" s="27"/>
      <c r="L44" s="7">
        <f>1/(1+($V$18/(Table1[[#This Row],[Radius]]*$V$28)))</f>
        <v>0.88524741169915644</v>
      </c>
      <c r="M44" s="7">
        <f>$V$18/(Table1[[#This Row],[Radius]]*$V$28+$V$18)^2 * SQRT($V$28^2*Table1[[#This Row],[Delta R]]^2+Table1[[#This Row],[Radius]]^2*$X$28)</f>
        <v>1.7589956928011111E-3</v>
      </c>
      <c r="N44" s="3">
        <f>(Table1[[#This Row],[V_{fall}]]+Table1[[#This Row],[V_{steig}]])*SQRT((9 * Table1[[#This Row],[V_{fall}]] * $V$11^3*Table1[[#This Row],[Korrekturstherm]]^3)/(2*($W$14-$V$15)*$V$7))* 6 * PI() * $V$9 / $V$29 /$V$22</f>
        <v>1.5472610752991776</v>
      </c>
      <c r="O44" s="3"/>
      <c r="P44" s="7">
        <f>IF(Table1[[#This Row],[Q_{ges} korrigiert]]&lt;$V$20,Table1[[#This Row],[Q_{ges} korrigiert]], "")</f>
        <v>1.5472610752991776</v>
      </c>
      <c r="Q44" s="7">
        <f>Table1[[#This Row],[Q_{ges} korrigiert]]/Table1[[#Totals],[if Q&gt;q]]</f>
        <v>0.98019886445664461</v>
      </c>
      <c r="R44">
        <f>INT(Table1[[#This Row],[Abweichung von q]]+0.5)</f>
        <v>1</v>
      </c>
      <c r="S44" s="7">
        <f>Table1[[#This Row],[Q_{ges} korrigiert]]/Table1[[#This Row],[Anzahl Ladungen n]]</f>
        <v>1.5472610752991776</v>
      </c>
      <c r="U44" t="s">
        <v>117</v>
      </c>
      <c r="V44" s="34">
        <f>Table1[[#Totals],[Korrekturstherm]]</f>
        <v>0.9107532264675009</v>
      </c>
      <c r="W44" s="7">
        <f>V44*0.02</f>
        <v>1.8215064529350018E-2</v>
      </c>
      <c r="AD44" s="37">
        <f>(Table1[[#This Row],[V_{fall}]]+Table1[[#This Row],[V_{steig}]])*SQRT((9 * Table1[[#This Row],[V_{fall}]] * $V$11^3*Table1[[#This Row],[Korrekturstherm]]^3)/(2*($W$14-$V$15)*$V$7))* 6 * PI() * $V$9 / $V$29 /$V$22</f>
        <v>1.5472610752991776</v>
      </c>
    </row>
    <row r="45" spans="1:30">
      <c r="A45">
        <v>44</v>
      </c>
      <c r="B45" s="3">
        <v>14.279</v>
      </c>
      <c r="C45" s="3">
        <v>14.413</v>
      </c>
      <c r="D45" s="40">
        <f>$V$5/Table1[[#This Row],[Fallzeit '[s']]]</f>
        <v>3.5016457735135512E-5</v>
      </c>
      <c r="E45" s="39">
        <f>SQRT(($X$5/Table1[[#This Row],[Fallzeit '[s']]])^2+(Table1[[#This Row],[V_{fall}]]/Table1[[#This Row],[Fallzeit '[s']]] * $V$24)^2)</f>
        <v>1.1705215848525304E-6</v>
      </c>
      <c r="F45" s="41">
        <f>$V$5/Table1[[#This Row],[Steigzeit '[s']]]</f>
        <v>3.4690904044959412E-5</v>
      </c>
      <c r="G45" s="42">
        <f>SQRT(($X$5/Table1[[#This Row],[Steigzeit '[s']]])^2+(Table1[[#This Row],[V_{steig}]]/Table1[[#This Row],[Steigzeit '[s']]] * $V$24)^2)</f>
        <v>1.1553920957703616E-6</v>
      </c>
      <c r="H45" s="44">
        <f>SQRT((9 * $V$11)/(2 * ($W$14-$V$15) * $V$7) * Table1[[#This Row],[V_{fall}]] )</f>
        <v>5.7817580558185683E-7</v>
      </c>
      <c r="I45" s="44">
        <f>SQRT((Table1[[#This Row],[Delta V_{fall}]]/(2*Table1[[#This Row],[V_{fall}]]))^2+($X$14/(2*$V$16))^2)* Table1[[#This Row],[Radius]]</f>
        <v>9.7713808722408469E-9</v>
      </c>
      <c r="J45" s="27">
        <f>(Table1[[#This Row],[V_{fall}]]+Table1[[#This Row],[V_{steig}]])*SQRT((9*Table1[[#This Row],[V_{fall}]]*$V$11^3)/(2*($W$14-$V$15)*$V$7))*(6*3.141*$V$9)/$V$29</f>
        <v>1.6497478389587352E-19</v>
      </c>
      <c r="K45" s="27"/>
      <c r="L45" s="7">
        <f>1/(1+($V$18/(Table1[[#This Row],[Radius]]*$V$28)))</f>
        <v>0.882135651182821</v>
      </c>
      <c r="M45" s="7">
        <f>$V$18/(Table1[[#This Row],[Radius]]*$V$28+$V$18)^2 * SQRT($V$28^2*Table1[[#This Row],[Delta R]]^2+Table1[[#This Row],[Radius]]^2*$X$28)</f>
        <v>1.7571703659327832E-3</v>
      </c>
      <c r="N45" s="3">
        <f>(Table1[[#This Row],[V_{fall}]]+Table1[[#This Row],[V_{steig}]])*SQRT((9 * Table1[[#This Row],[V_{fall}]] * $V$11^3*Table1[[#This Row],[Korrekturstherm]]^3)/(2*($W$14-$V$15)*$V$7))* 6 * PI() * $V$9 / $V$29 /$V$22</f>
        <v>1.3671071852035903</v>
      </c>
      <c r="O45" s="3"/>
      <c r="P45" s="7">
        <f>IF(Table1[[#This Row],[Q_{ges} korrigiert]]&lt;$V$20,Table1[[#This Row],[Q_{ges} korrigiert]], "")</f>
        <v>1.3671071852035903</v>
      </c>
      <c r="Q45" s="7">
        <f>Table1[[#This Row],[Q_{ges} korrigiert]]/Table1[[#Totals],[if Q&gt;q]]</f>
        <v>0.8660703302886168</v>
      </c>
      <c r="R45">
        <f>INT(Table1[[#This Row],[Abweichung von q]]+0.5)</f>
        <v>1</v>
      </c>
      <c r="S45" s="7">
        <f>Table1[[#This Row],[Q_{ges} korrigiert]]/Table1[[#This Row],[Anzahl Ladungen n]]</f>
        <v>1.3671071852035903</v>
      </c>
      <c r="AD45" s="3">
        <f>(Table1[[#This Row],[V_{fall}]]+Table1[[#This Row],[V_{steig}]])*SQRT((9 * Table1[[#This Row],[V_{fall}]] * $V$11^3*Table1[[#This Row],[Korrekturstherm]]^3)/(2*($W$14-$V$15)*$V$7))* 6 * PI() * $V$9 / $V$29 /$V$22</f>
        <v>1.3671071852035903</v>
      </c>
    </row>
    <row r="46" spans="1:30">
      <c r="A46">
        <v>45</v>
      </c>
      <c r="B46" s="28">
        <v>13.651</v>
      </c>
      <c r="C46" s="28">
        <v>13.007999999999999</v>
      </c>
      <c r="D46" s="40">
        <f>$V$5/Table1[[#This Row],[Fallzeit '[s']]]</f>
        <v>3.6627353307450008E-5</v>
      </c>
      <c r="E46" s="39">
        <f>SQRT(($X$5/Table1[[#This Row],[Fallzeit '[s']]])^2+(Table1[[#This Row],[V_{fall}]]/Table1[[#This Row],[Fallzeit '[s']]] * $V$24)^2)</f>
        <v>1.2469248039858173E-6</v>
      </c>
      <c r="F46" s="41">
        <f>$V$5/Table1[[#This Row],[Steigzeit '[s']]]</f>
        <v>3.843788437884379E-5</v>
      </c>
      <c r="G46" s="42">
        <f>SQRT(($X$5/Table1[[#This Row],[Steigzeit '[s']]])^2+(Table1[[#This Row],[V_{steig}]]/Table1[[#This Row],[Steigzeit '[s']]] * $V$24)^2)</f>
        <v>1.3358973458764555E-6</v>
      </c>
      <c r="H46" s="44">
        <f>SQRT((9 * $V$11)/(2 * ($W$14-$V$15) * $V$7) * Table1[[#This Row],[V_{fall}]] )</f>
        <v>5.9132545909830969E-7</v>
      </c>
      <c r="I46" s="44">
        <f>SQRT((Table1[[#This Row],[Delta V_{fall}]]/(2*Table1[[#This Row],[V_{fall}]]))^2+($X$14/(2*$V$16))^2)* Table1[[#This Row],[Radius]]</f>
        <v>1.0173706412378443E-8</v>
      </c>
      <c r="J46" s="27">
        <f>(Table1[[#This Row],[V_{fall}]]+Table1[[#This Row],[V_{steig}]])*SQRT((9*Table1[[#This Row],[V_{fall}]]*$V$11^3)/(2*($W$14-$V$15)*$V$7))*(6*3.141*$V$9)/$V$29</f>
        <v>1.8169561632017401E-19</v>
      </c>
      <c r="K46" s="27"/>
      <c r="L46" s="7">
        <f>1/(1+($V$18/(Table1[[#This Row],[Radius]]*$V$28)))</f>
        <v>0.8844538215815545</v>
      </c>
      <c r="M46" s="7">
        <f>$V$18/(Table1[[#This Row],[Radius]]*$V$28+$V$18)^2 * SQRT($V$28^2*Table1[[#This Row],[Delta R]]^2+Table1[[#This Row],[Radius]]^2*$X$28)</f>
        <v>1.7582611467962795E-3</v>
      </c>
      <c r="N46" s="3">
        <f>(Table1[[#This Row],[V_{fall}]]+Table1[[#This Row],[V_{steig}]])*SQRT((9 * Table1[[#This Row],[V_{fall}]] * $V$11^3*Table1[[#This Row],[Korrekturstherm]]^3)/(2*($W$14-$V$15)*$V$7))* 6 * PI() * $V$9 / $V$29 /$V$22</f>
        <v>1.511607819729063</v>
      </c>
      <c r="O46" s="3"/>
      <c r="P46" s="7">
        <f>IF(Table1[[#This Row],[Q_{ges} korrigiert]]&lt;$V$20,Table1[[#This Row],[Q_{ges} korrigiert]], "")</f>
        <v>1.511607819729063</v>
      </c>
      <c r="Q46" s="7">
        <f>Table1[[#This Row],[Q_{ges} korrigiert]]/Table1[[#Totals],[if Q&gt;q]]</f>
        <v>0.95761232028390286</v>
      </c>
      <c r="R46">
        <f>INT(Table1[[#This Row],[Abweichung von q]]+0.5)</f>
        <v>1</v>
      </c>
      <c r="S46" s="7">
        <f>Table1[[#This Row],[Q_{ges} korrigiert]]/Table1[[#This Row],[Anzahl Ladungen n]]</f>
        <v>1.511607819729063</v>
      </c>
      <c r="U46" t="s">
        <v>112</v>
      </c>
      <c r="V46">
        <v>1.6021700000000001</v>
      </c>
      <c r="AD46" s="37">
        <f>(Table1[[#This Row],[V_{fall}]]+Table1[[#This Row],[V_{steig}]])*SQRT((9 * Table1[[#This Row],[V_{fall}]] * $V$11^3*Table1[[#This Row],[Korrekturstherm]]^3)/(2*($W$14-$V$15)*$V$7))* 6 * PI() * $V$9 / $V$29 /$V$22</f>
        <v>1.511607819729063</v>
      </c>
    </row>
    <row r="47" spans="1:30">
      <c r="A47">
        <v>46</v>
      </c>
      <c r="B47" s="3">
        <v>9.2569999999999997</v>
      </c>
      <c r="C47" s="3">
        <v>2.585</v>
      </c>
      <c r="D47" s="36">
        <f>$V$5/Table1[[#This Row],[Fallzeit '[s']]]</f>
        <v>5.4013179215728642E-5</v>
      </c>
      <c r="E47" s="35">
        <f>SQRT(($X$5/Table1[[#This Row],[Fallzeit '[s']]])^2+(Table1[[#This Row],[V_{fall}]]/Table1[[#This Row],[Fallzeit '[s']]] * $V$24)^2)</f>
        <v>2.2441630784548649E-6</v>
      </c>
      <c r="F47" s="36">
        <f>$V$5/Table1[[#This Row],[Steigzeit '[s']]]</f>
        <v>1.9342359767891682E-4</v>
      </c>
      <c r="G47" s="36">
        <f>SQRT(($X$5/Table1[[#This Row],[Steigzeit '[s']]])^2+(Table1[[#This Row],[V_{steig}]]/Table1[[#This Row],[Steigzeit '[s']]] * $V$24)^2)</f>
        <v>2.3004049672752872E-5</v>
      </c>
      <c r="H47" s="38">
        <f>SQRT((9 * $V$11)/(2 * ($W$14-$V$15) * $V$7) * Table1[[#This Row],[V_{fall}]] )</f>
        <v>7.1808140245337961E-7</v>
      </c>
      <c r="I47" s="38">
        <f>SQRT((Table1[[#This Row],[Delta V_{fall}]]/(2*Table1[[#This Row],[V_{fall}]]))^2+($X$14/(2*$V$16))^2)* Table1[[#This Row],[Radius]]</f>
        <v>1.5025528138976349E-8</v>
      </c>
      <c r="J47" s="27">
        <f>(Table1[[#This Row],[V_{fall}]]+Table1[[#This Row],[V_{steig}]])*SQRT((9*Table1[[#This Row],[V_{fall}]]*$V$11^3)/(2*($W$14-$V$15)*$V$7))*(6*3.141*$V$9)/$V$29</f>
        <v>7.2730560875432902E-19</v>
      </c>
      <c r="K47" s="27"/>
      <c r="L47" s="7">
        <f>1/(1+($V$18/(Table1[[#This Row],[Radius]]*$V$28)))</f>
        <v>0.90286895886423157</v>
      </c>
      <c r="M47" s="7">
        <f>$V$18/(Table1[[#This Row],[Radius]]*$V$28+$V$18)^2 * SQRT($V$28^2*Table1[[#This Row],[Delta R]]^2+Table1[[#This Row],[Radius]]^2*$X$28)</f>
        <v>1.8350117008075245E-3</v>
      </c>
      <c r="N47" s="3">
        <f>(Table1[[#This Row],[V_{fall}]]+Table1[[#This Row],[V_{steig}]])*SQRT((9 * Table1[[#This Row],[V_{fall}]] * $V$11^3*Table1[[#This Row],[Korrekturstherm]]^3)/(2*($W$14-$V$15)*$V$7))* 6 * PI() * $V$9 / $V$29 /$V$22</f>
        <v>6.2407380818527463</v>
      </c>
      <c r="O47" s="3"/>
      <c r="P47" s="7" t="str">
        <f>IF(Table1[[#This Row],[Q_{ges} korrigiert]]&lt;$V$20,Table1[[#This Row],[Q_{ges} korrigiert]], "")</f>
        <v/>
      </c>
      <c r="Q47" s="7">
        <f>Table1[[#This Row],[Q_{ges} korrigiert]]/Table1[[#Totals],[if Q&gt;q]]</f>
        <v>3.9535437676673855</v>
      </c>
      <c r="R47">
        <f>INT(Table1[[#This Row],[Abweichung von q]]+0.5)</f>
        <v>4</v>
      </c>
      <c r="S47" s="7">
        <f>Table1[[#This Row],[Q_{ges} korrigiert]]/Table1[[#This Row],[Anzahl Ladungen n]]</f>
        <v>1.5601845204631866</v>
      </c>
      <c r="U47" t="s">
        <v>113</v>
      </c>
      <c r="V47">
        <v>1.5920000000000001</v>
      </c>
      <c r="AD47" s="3">
        <f>(Table1[[#This Row],[V_{fall}]]+Table1[[#This Row],[V_{steig}]])*SQRT((9 * Table1[[#This Row],[V_{fall}]] * $V$11^3*Table1[[#This Row],[Korrekturstherm]]^3)/(2*($W$14-$V$15)*$V$7))* 6 * PI() * $V$9 / $V$29 /$V$22</f>
        <v>6.2407380818527463</v>
      </c>
    </row>
    <row r="48" spans="1:30">
      <c r="A48">
        <v>47</v>
      </c>
      <c r="B48" s="3">
        <v>9.9160000000000004</v>
      </c>
      <c r="C48" s="3">
        <v>2.6739999999999999</v>
      </c>
      <c r="D48" s="36">
        <f>$V$5/Table1[[#This Row],[Fallzeit '[s']]]</f>
        <v>5.0423557886244452E-5</v>
      </c>
      <c r="E48" s="35">
        <f>SQRT(($X$5/Table1[[#This Row],[Fallzeit '[s']]])^2+(Table1[[#This Row],[V_{fall}]]/Table1[[#This Row],[Fallzeit '[s']]] * $V$24)^2)</f>
        <v>2.0114592855605606E-6</v>
      </c>
      <c r="F48" s="36">
        <f>$V$5/Table1[[#This Row],[Steigzeit '[s']]]</f>
        <v>1.8698578908002991E-4</v>
      </c>
      <c r="G48" s="36">
        <f>SQRT(($X$5/Table1[[#This Row],[Steigzeit '[s']]])^2+(Table1[[#This Row],[V_{steig}]]/Table1[[#This Row],[Steigzeit '[s']]] * $V$24)^2)</f>
        <v>2.153417739403364E-5</v>
      </c>
      <c r="H48" s="38">
        <f>SQRT((9 * $V$11)/(2 * ($W$14-$V$15) * $V$7) * Table1[[#This Row],[V_{fall}]] )</f>
        <v>6.938099949081743E-7</v>
      </c>
      <c r="I48" s="38">
        <f>SQRT((Table1[[#This Row],[Delta V_{fall}]]/(2*Table1[[#This Row],[V_{fall}]]))^2+($X$14/(2*$V$16))^2)* Table1[[#This Row],[Radius]]</f>
        <v>1.3947077539903329E-8</v>
      </c>
      <c r="J48" s="27">
        <f>(Table1[[#This Row],[V_{fall}]]+Table1[[#This Row],[V_{steig}]])*SQRT((9*Table1[[#This Row],[V_{fall}]]*$V$11^3)/(2*($W$14-$V$15)*$V$7))*(6*3.141*$V$9)/$V$29</f>
        <v>6.7424443877821574E-19</v>
      </c>
      <c r="K48" s="27"/>
      <c r="L48" s="7">
        <f>1/(1+($V$18/(Table1[[#This Row],[Radius]]*$V$28)))</f>
        <v>0.89981147634604219</v>
      </c>
      <c r="M48" s="7">
        <f>$V$18/(Table1[[#This Row],[Radius]]*$V$28+$V$18)^2 * SQRT($V$28^2*Table1[[#This Row],[Delta R]]^2+Table1[[#This Row],[Radius]]^2*$X$28)</f>
        <v>1.8122252355516942E-3</v>
      </c>
      <c r="N48" s="3">
        <f>(Table1[[#This Row],[V_{fall}]]+Table1[[#This Row],[V_{steig}]])*SQRT((9 * Table1[[#This Row],[V_{fall}]] * $V$11^3*Table1[[#This Row],[Korrekturstherm]]^3)/(2*($W$14-$V$15)*$V$7))* 6 * PI() * $V$9 / $V$29 /$V$22</f>
        <v>5.7560770835108928</v>
      </c>
      <c r="O48" s="3"/>
      <c r="P48" s="7" t="str">
        <f>IF(Table1[[#This Row],[Q_{ges} korrigiert]]&lt;$V$20,Table1[[#This Row],[Q_{ges} korrigiert]], "")</f>
        <v/>
      </c>
      <c r="Q48" s="7">
        <f>Table1[[#This Row],[Q_{ges} korrigiert]]/Table1[[#Totals],[if Q&gt;q]]</f>
        <v>3.6465082144532968</v>
      </c>
      <c r="R48">
        <f>INT(Table1[[#This Row],[Abweichung von q]]+0.5)</f>
        <v>4</v>
      </c>
      <c r="S48" s="7">
        <f>Table1[[#This Row],[Q_{ges} korrigiert]]/Table1[[#This Row],[Anzahl Ladungen n]]</f>
        <v>1.4390192708777232</v>
      </c>
      <c r="AD48" s="37">
        <f>(Table1[[#This Row],[V_{fall}]]+Table1[[#This Row],[V_{steig}]])*SQRT((9 * Table1[[#This Row],[V_{fall}]] * $V$11^3*Table1[[#This Row],[Korrekturstherm]]^3)/(2*($W$14-$V$15)*$V$7))* 6 * PI() * $V$9 / $V$29 /$V$22</f>
        <v>5.7560770835108928</v>
      </c>
    </row>
    <row r="49" spans="1:30">
      <c r="A49">
        <v>48</v>
      </c>
      <c r="B49" s="3">
        <v>6.35</v>
      </c>
      <c r="C49" s="3">
        <v>3.62</v>
      </c>
      <c r="D49" s="36">
        <f>$V$5/Table1[[#This Row],[Fallzeit '[s']]]</f>
        <v>7.874015748031497E-5</v>
      </c>
      <c r="E49" s="35">
        <f>SQRT(($X$5/Table1[[#This Row],[Fallzeit '[s']]])^2+(Table1[[#This Row],[V_{fall}]]/Table1[[#This Row],[Fallzeit '[s']]] * $V$24)^2)</f>
        <v>4.2461351528399131E-6</v>
      </c>
      <c r="F49" s="36">
        <f>$V$5/Table1[[#This Row],[Steigzeit '[s']]]</f>
        <v>1.3812154696132598E-4</v>
      </c>
      <c r="G49" s="36">
        <f>SQRT(($X$5/Table1[[#This Row],[Steigzeit '[s']]])^2+(Table1[[#This Row],[V_{steig}]]/Table1[[#This Row],[Steigzeit '[s']]] * $V$24)^2)</f>
        <v>1.1996651281240848E-5</v>
      </c>
      <c r="H49" s="38">
        <f>SQRT((9 * $V$11)/(2 * ($W$14-$V$15) * $V$7) * Table1[[#This Row],[V_{fall}]] )</f>
        <v>8.6700569128592859E-7</v>
      </c>
      <c r="I49" s="38">
        <f>SQRT((Table1[[#This Row],[Delta V_{fall}]]/(2*Table1[[#This Row],[V_{fall}]]))^2+($X$14/(2*$V$16))^2)* Table1[[#This Row],[Radius]]</f>
        <v>2.347760596226954E-8</v>
      </c>
      <c r="J49" s="27">
        <f>(Table1[[#This Row],[V_{fall}]]+Table1[[#This Row],[V_{steig}]])*SQRT((9*Table1[[#This Row],[V_{fall}]]*$V$11^3)/(2*($W$14-$V$15)*$V$7))*(6*3.141*$V$9)/$V$29</f>
        <v>7.6963325150554429E-19</v>
      </c>
      <c r="K49" s="27"/>
      <c r="L49" s="7">
        <f>1/(1+($V$18/(Table1[[#This Row],[Radius]]*$V$28)))</f>
        <v>0.91818805957103244</v>
      </c>
      <c r="M49" s="7">
        <f>$V$18/(Table1[[#This Row],[Radius]]*$V$28+$V$18)^2 * SQRT($V$28^2*Table1[[#This Row],[Delta R]]^2+Table1[[#This Row],[Radius]]^2*$X$28)</f>
        <v>2.0341369936651131E-3</v>
      </c>
      <c r="N49" s="3">
        <f>(Table1[[#This Row],[V_{fall}]]+Table1[[#This Row],[V_{steig}]])*SQRT((9 * Table1[[#This Row],[V_{fall}]] * $V$11^3*Table1[[#This Row],[Korrekturstherm]]^3)/(2*($W$14-$V$15)*$V$7))* 6 * PI() * $V$9 / $V$29 /$V$22</f>
        <v>6.7727215445028408</v>
      </c>
      <c r="O49" s="3"/>
      <c r="P49" s="7" t="str">
        <f>IF(Table1[[#This Row],[Q_{ges} korrigiert]]&lt;$V$20,Table1[[#This Row],[Q_{ges} korrigiert]], "")</f>
        <v/>
      </c>
      <c r="Q49" s="7">
        <f>Table1[[#This Row],[Q_{ges} korrigiert]]/Table1[[#Totals],[if Q&gt;q]]</f>
        <v>4.2905583764647464</v>
      </c>
      <c r="R49">
        <f>INT(Table1[[#This Row],[Abweichung von q]]+0.5)</f>
        <v>4</v>
      </c>
      <c r="S49" s="7">
        <f>Table1[[#This Row],[Q_{ges} korrigiert]]/Table1[[#This Row],[Anzahl Ladungen n]]</f>
        <v>1.6931803861257102</v>
      </c>
      <c r="AD49" s="3">
        <f>(Table1[[#This Row],[V_{fall}]]+Table1[[#This Row],[V_{steig}]])*SQRT((9 * Table1[[#This Row],[V_{fall}]] * $V$11^3*Table1[[#This Row],[Korrekturstherm]]^3)/(2*($W$14-$V$15)*$V$7))* 6 * PI() * $V$9 / $V$29 /$V$22</f>
        <v>6.7727215445028408</v>
      </c>
    </row>
    <row r="50" spans="1:30">
      <c r="A50">
        <v>49</v>
      </c>
      <c r="B50" s="3">
        <v>7.6340000000000003</v>
      </c>
      <c r="C50" s="3">
        <v>2.343</v>
      </c>
      <c r="D50" s="36">
        <f>$V$5/Table1[[#This Row],[Fallzeit '[s']]]</f>
        <v>6.5496463190987679E-5</v>
      </c>
      <c r="E50" s="35">
        <f>SQRT(($X$5/Table1[[#This Row],[Fallzeit '[s']]])^2+(Table1[[#This Row],[V_{fall}]]/Table1[[#This Row],[Fallzeit '[s']]] * $V$24)^2)</f>
        <v>3.08621336736164E-6</v>
      </c>
      <c r="F50" s="36">
        <f>$V$5/Table1[[#This Row],[Steigzeit '[s']]]</f>
        <v>2.1340162185232609E-4</v>
      </c>
      <c r="G50" s="36">
        <f>SQRT(($X$5/Table1[[#This Row],[Steigzeit '[s']]])^2+(Table1[[#This Row],[V_{steig}]]/Table1[[#This Row],[Steigzeit '[s']]] * $V$24)^2)</f>
        <v>2.7881794349600992E-5</v>
      </c>
      <c r="H50" s="38">
        <f>SQRT((9 * $V$11)/(2 * ($W$14-$V$15) * $V$7) * Table1[[#This Row],[V_{fall}]] )</f>
        <v>7.9073822440288017E-7</v>
      </c>
      <c r="I50" s="38">
        <f>SQRT((Table1[[#This Row],[Delta V_{fall}]]/(2*Table1[[#This Row],[V_{fall}]]))^2+($X$14/(2*$V$16))^2)* Table1[[#This Row],[Radius]]</f>
        <v>1.8734812360547338E-8</v>
      </c>
      <c r="J50" s="27">
        <f>(Table1[[#This Row],[V_{fall}]]+Table1[[#This Row],[V_{steig}]])*SQRT((9*Table1[[#This Row],[V_{fall}]]*$V$11^3)/(2*($W$14-$V$15)*$V$7))*(6*3.141*$V$9)/$V$29</f>
        <v>9.027287482700562E-19</v>
      </c>
      <c r="K50" s="27"/>
      <c r="L50" s="7">
        <f>1/(1+($V$18/(Table1[[#This Row],[Radius]]*$V$28)))</f>
        <v>0.91099950747248304</v>
      </c>
      <c r="M50" s="7">
        <f>$V$18/(Table1[[#This Row],[Radius]]*$V$28+$V$18)^2 * SQRT($V$28^2*Table1[[#This Row],[Delta R]]^2+Table1[[#This Row],[Radius]]^2*$X$28)</f>
        <v>1.9209991407646075E-3</v>
      </c>
      <c r="N50" s="3">
        <f>(Table1[[#This Row],[V_{fall}]]+Table1[[#This Row],[V_{steig}]])*SQRT((9 * Table1[[#This Row],[V_{fall}]] * $V$11^3*Table1[[#This Row],[Korrekturstherm]]^3)/(2*($W$14-$V$15)*$V$7))* 6 * PI() * $V$9 / $V$29 /$V$22</f>
        <v>7.8508453550073103</v>
      </c>
      <c r="O50" s="3"/>
      <c r="P50" s="7" t="str">
        <f>IF(Table1[[#This Row],[Q_{ges} korrigiert]]&lt;$V$20,Table1[[#This Row],[Q_{ges} korrigiert]], "")</f>
        <v/>
      </c>
      <c r="Q50" s="7">
        <f>Table1[[#This Row],[Q_{ges} korrigiert]]/Table1[[#Totals],[if Q&gt;q]]</f>
        <v>4.9735560629384494</v>
      </c>
      <c r="R50">
        <f>INT(Table1[[#This Row],[Abweichung von q]]+0.5)</f>
        <v>5</v>
      </c>
      <c r="S50" s="7">
        <f>Table1[[#This Row],[Q_{ges} korrigiert]]/Table1[[#This Row],[Anzahl Ladungen n]]</f>
        <v>1.570169071001462</v>
      </c>
      <c r="U50" t="s">
        <v>114</v>
      </c>
      <c r="V50">
        <f>(ABS(V46-V41)/SQRT(X41^2))</f>
        <v>0.29838676099981232</v>
      </c>
      <c r="AD50" s="37">
        <f>(Table1[[#This Row],[V_{fall}]]+Table1[[#This Row],[V_{steig}]])*SQRT((9 * Table1[[#This Row],[V_{fall}]] * $V$11^3*Table1[[#This Row],[Korrekturstherm]]^3)/(2*($W$14-$V$15)*$V$7))* 6 * PI() * $V$9 / $V$29 /$V$22</f>
        <v>7.8508453550073103</v>
      </c>
    </row>
    <row r="51" spans="1:30">
      <c r="A51">
        <v>50</v>
      </c>
      <c r="B51" s="28">
        <v>8.5350000000000001</v>
      </c>
      <c r="C51" s="28">
        <v>2.3239999999999998</v>
      </c>
      <c r="D51" s="36">
        <f>$V$5/Table1[[#This Row],[Fallzeit '[s']]]</f>
        <v>5.8582308142940833E-5</v>
      </c>
      <c r="E51" s="35">
        <f>SQRT(($X$5/Table1[[#This Row],[Fallzeit '[s']]])^2+(Table1[[#This Row],[V_{fall}]]/Table1[[#This Row],[Fallzeit '[s']]] * $V$24)^2)</f>
        <v>2.5612458854566292E-6</v>
      </c>
      <c r="F51" s="36">
        <f>$V$5/Table1[[#This Row],[Steigzeit '[s']]]</f>
        <v>2.1514629948364889E-4</v>
      </c>
      <c r="G51" s="36">
        <f>SQRT(($X$5/Table1[[#This Row],[Steigzeit '[s']]])^2+(Table1[[#This Row],[V_{steig}]]/Table1[[#This Row],[Steigzeit '[s']]] * $V$24)^2)</f>
        <v>2.8330491237859514E-5</v>
      </c>
      <c r="H51" s="38">
        <f>SQRT((9 * $V$11)/(2 * ($W$14-$V$15) * $V$7) * Table1[[#This Row],[V_{fall}]] )</f>
        <v>7.4783717173521762E-7</v>
      </c>
      <c r="I51" s="38">
        <f>SQRT((Table1[[#This Row],[Delta V_{fall}]]/(2*Table1[[#This Row],[V_{fall}]]))^2+($X$14/(2*$V$16))^2)* Table1[[#This Row],[Radius]]</f>
        <v>1.6454769368938488E-8</v>
      </c>
      <c r="J51" s="27">
        <f>(Table1[[#This Row],[V_{fall}]]+Table1[[#This Row],[V_{steig}]])*SQRT((9*Table1[[#This Row],[V_{fall}]]*$V$11^3)/(2*($W$14-$V$15)*$V$7))*(6*3.141*$V$9)/$V$29</f>
        <v>8.3792711497777328E-19</v>
      </c>
      <c r="K51" s="27"/>
      <c r="L51" s="7">
        <f>1/(1+($V$18/(Table1[[#This Row],[Radius]]*$V$28)))</f>
        <v>0.90637186576289264</v>
      </c>
      <c r="M51" s="7">
        <f>$V$18/(Table1[[#This Row],[Radius]]*$V$28+$V$18)^2 * SQRT($V$28^2*Table1[[#This Row],[Delta R]]^2+Table1[[#This Row],[Radius]]^2*$X$28)</f>
        <v>1.8672288169430641E-3</v>
      </c>
      <c r="N51" s="3">
        <f>(Table1[[#This Row],[V_{fall}]]+Table1[[#This Row],[V_{steig}]])*SQRT((9 * Table1[[#This Row],[V_{fall}]] * $V$11^3*Table1[[#This Row],[Korrekturstherm]]^3)/(2*($W$14-$V$15)*$V$7))* 6 * PI() * $V$9 / $V$29 /$V$22</f>
        <v>7.2318232811208221</v>
      </c>
      <c r="O51" s="3"/>
      <c r="P51" s="7" t="str">
        <f>IF(Table1[[#This Row],[Q_{ges} korrigiert]]&lt;$V$20,Table1[[#This Row],[Q_{ges} korrigiert]], "")</f>
        <v/>
      </c>
      <c r="Q51" s="7">
        <f>Table1[[#This Row],[Q_{ges} korrigiert]]/Table1[[#Totals],[if Q&gt;q]]</f>
        <v>4.5814019891472437</v>
      </c>
      <c r="R51">
        <f>INT(Table1[[#This Row],[Abweichung von q]]+0.5)</f>
        <v>5</v>
      </c>
      <c r="S51" s="7">
        <f>Table1[[#This Row],[Q_{ges} korrigiert]]/Table1[[#This Row],[Anzahl Ladungen n]]</f>
        <v>1.4463646562241643</v>
      </c>
      <c r="AD51" s="3">
        <f>(Table1[[#This Row],[V_{fall}]]+Table1[[#This Row],[V_{steig}]])*SQRT((9 * Table1[[#This Row],[V_{fall}]] * $V$11^3*Table1[[#This Row],[Korrekturstherm]]^3)/(2*($W$14-$V$15)*$V$7))* 6 * PI() * $V$9 / $V$29 /$V$22</f>
        <v>7.2318232811208221</v>
      </c>
    </row>
    <row r="52" spans="1:30">
      <c r="A52">
        <v>51</v>
      </c>
      <c r="B52" s="3">
        <v>9.8840000000000003</v>
      </c>
      <c r="C52" s="3">
        <v>3.347</v>
      </c>
      <c r="D52" s="36">
        <f>$V$5/Table1[[#This Row],[Fallzeit '[s']]]</f>
        <v>5.0586806960744638E-5</v>
      </c>
      <c r="E52" s="35">
        <f>SQRT(($X$5/Table1[[#This Row],[Fallzeit '[s']]])^2+(Table1[[#This Row],[V_{fall}]]/Table1[[#This Row],[Fallzeit '[s']]] * $V$24)^2)</f>
        <v>2.021731984993554E-6</v>
      </c>
      <c r="F52" s="36">
        <f>$V$5/Table1[[#This Row],[Steigzeit '[s']]]</f>
        <v>1.4938751120406333E-4</v>
      </c>
      <c r="G52" s="36">
        <f>SQRT(($X$5/Table1[[#This Row],[Steigzeit '[s']]])^2+(Table1[[#This Row],[V_{steig}]]/Table1[[#This Row],[Steigzeit '[s']]] * $V$24)^2)</f>
        <v>1.3941934143698153E-5</v>
      </c>
      <c r="H52" s="38">
        <f>SQRT((9 * $V$11)/(2 * ($W$14-$V$15) * $V$7) * Table1[[#This Row],[V_{fall}]] )</f>
        <v>6.9493221156539933E-7</v>
      </c>
      <c r="I52" s="38">
        <f>SQRT((Table1[[#This Row],[Delta V_{fall}]]/(2*Table1[[#This Row],[V_{fall}]]))^2+($X$14/(2*$V$16))^2)* Table1[[#This Row],[Radius]]</f>
        <v>1.399526546236284E-8</v>
      </c>
      <c r="J52" s="27">
        <f>(Table1[[#This Row],[V_{fall}]]+Table1[[#This Row],[V_{steig}]])*SQRT((9*Table1[[#This Row],[V_{fall}]]*$V$11^3)/(2*($W$14-$V$15)*$V$7))*(6*3.141*$V$9)/$V$29</f>
        <v>5.6884726583644339E-19</v>
      </c>
      <c r="K52" s="27"/>
      <c r="L52" s="7">
        <f>1/(1+($V$18/(Table1[[#This Row],[Radius]]*$V$28)))</f>
        <v>0.89995708059325508</v>
      </c>
      <c r="M52" s="7">
        <f>$V$18/(Table1[[#This Row],[Radius]]*$V$28+$V$18)^2 * SQRT($V$28^2*Table1[[#This Row],[Delta R]]^2+Table1[[#This Row],[Radius]]^2*$X$28)</f>
        <v>1.8132047917340478E-3</v>
      </c>
      <c r="N52" s="3">
        <f>(Table1[[#This Row],[V_{fall}]]+Table1[[#This Row],[V_{steig}]])*SQRT((9 * Table1[[#This Row],[V_{fall}]] * $V$11^3*Table1[[#This Row],[Korrekturstherm]]^3)/(2*($W$14-$V$15)*$V$7))* 6 * PI() * $V$9 / $V$29 /$V$22</f>
        <v>4.8574720305813264</v>
      </c>
      <c r="O52" s="3"/>
      <c r="P52" s="7" t="str">
        <f>IF(Table1[[#This Row],[Q_{ges} korrigiert]]&lt;$V$20,Table1[[#This Row],[Q_{ges} korrigiert]], "")</f>
        <v/>
      </c>
      <c r="Q52" s="7">
        <f>Table1[[#This Row],[Q_{ges} korrigiert]]/Table1[[#Totals],[if Q&gt;q]]</f>
        <v>3.0772367020123528</v>
      </c>
      <c r="R52">
        <f>INT(Table1[[#This Row],[Abweichung von q]]+0.5)</f>
        <v>3</v>
      </c>
      <c r="S52" s="7">
        <f>Table1[[#This Row],[Q_{ges} korrigiert]]/Table1[[#This Row],[Anzahl Ladungen n]]</f>
        <v>1.6191573435271087</v>
      </c>
      <c r="AD52" s="37">
        <f>(Table1[[#This Row],[V_{fall}]]+Table1[[#This Row],[V_{steig}]])*SQRT((9 * Table1[[#This Row],[V_{fall}]] * $V$11^3*Table1[[#This Row],[Korrekturstherm]]^3)/(2*($W$14-$V$15)*$V$7))* 6 * PI() * $V$9 / $V$29 /$V$22</f>
        <v>4.8574720305813264</v>
      </c>
    </row>
    <row r="53" spans="1:30">
      <c r="A53">
        <v>52</v>
      </c>
      <c r="B53" s="3">
        <v>9.6549999999999994</v>
      </c>
      <c r="C53" s="3">
        <v>3.633</v>
      </c>
      <c r="D53" s="36">
        <f>$V$5/Table1[[#This Row],[Fallzeit '[s']]]</f>
        <v>5.1786639047125847E-5</v>
      </c>
      <c r="E53" s="35">
        <f>SQRT(($X$5/Table1[[#This Row],[Fallzeit '[s']]])^2+(Table1[[#This Row],[V_{fall}]]/Table1[[#This Row],[Fallzeit '[s']]] * $V$24)^2)</f>
        <v>2.0981375530373483E-6</v>
      </c>
      <c r="F53" s="36">
        <f>$V$5/Table1[[#This Row],[Steigzeit '[s']]]</f>
        <v>1.3762730525736306E-4</v>
      </c>
      <c r="G53" s="36">
        <f>SQRT(($X$5/Table1[[#This Row],[Steigzeit '[s']]])^2+(Table1[[#This Row],[V_{steig}]]/Table1[[#This Row],[Steigzeit '[s']]] * $V$24)^2)</f>
        <v>1.1914788608560549E-5</v>
      </c>
      <c r="H53" s="38">
        <f>SQRT((9 * $V$11)/(2 * ($W$14-$V$15) * $V$7) * Table1[[#This Row],[V_{fall}]] )</f>
        <v>7.0312521390605915E-7</v>
      </c>
      <c r="I53" s="38">
        <f>SQRT((Table1[[#This Row],[Delta V_{fall}]]/(2*Table1[[#This Row],[V_{fall}]]))^2+($X$14/(2*$V$16))^2)* Table1[[#This Row],[Radius]]</f>
        <v>1.4351948136066269E-8</v>
      </c>
      <c r="J53" s="27">
        <f>(Table1[[#This Row],[V_{fall}]]+Table1[[#This Row],[V_{steig}]])*SQRT((9*Table1[[#This Row],[V_{fall}]]*$V$11^3)/(2*($W$14-$V$15)*$V$7))*(6*3.141*$V$9)/$V$29</f>
        <v>5.45159553813485E-19</v>
      </c>
      <c r="K53" s="27"/>
      <c r="L53" s="7">
        <f>1/(1+($V$18/(Table1[[#This Row],[Radius]]*$V$28)))</f>
        <v>0.90100740903501153</v>
      </c>
      <c r="M53" s="7">
        <f>$V$18/(Table1[[#This Row],[Radius]]*$V$28+$V$18)^2 * SQRT($V$28^2*Table1[[#This Row],[Delta R]]^2+Table1[[#This Row],[Radius]]^2*$X$28)</f>
        <v>1.8205778016395383E-3</v>
      </c>
      <c r="N53" s="3">
        <f>(Table1[[#This Row],[V_{fall}]]+Table1[[#This Row],[V_{steig}]])*SQRT((9 * Table1[[#This Row],[V_{fall}]] * $V$11^3*Table1[[#This Row],[Korrekturstherm]]^3)/(2*($W$14-$V$15)*$V$7))* 6 * PI() * $V$9 / $V$29 /$V$22</f>
        <v>4.6633510212922262</v>
      </c>
      <c r="O53" s="3"/>
      <c r="P53" s="7" t="str">
        <f>IF(Table1[[#This Row],[Q_{ges} korrigiert]]&lt;$V$20,Table1[[#This Row],[Q_{ges} korrigiert]], "")</f>
        <v/>
      </c>
      <c r="Q53" s="7">
        <f>Table1[[#This Row],[Q_{ges} korrigiert]]/Table1[[#Totals],[if Q&gt;q]]</f>
        <v>2.9542599168337031</v>
      </c>
      <c r="R53">
        <f>INT(Table1[[#This Row],[Abweichung von q]]+0.5)</f>
        <v>3</v>
      </c>
      <c r="S53" s="7">
        <f>Table1[[#This Row],[Q_{ges} korrigiert]]/Table1[[#This Row],[Anzahl Ladungen n]]</f>
        <v>1.5544503404307422</v>
      </c>
      <c r="AD53" s="3">
        <f>(Table1[[#This Row],[V_{fall}]]+Table1[[#This Row],[V_{steig}]])*SQRT((9 * Table1[[#This Row],[V_{fall}]] * $V$11^3*Table1[[#This Row],[Korrekturstherm]]^3)/(2*($W$14-$V$15)*$V$7))* 6 * PI() * $V$9 / $V$29 /$V$22</f>
        <v>4.6633510212922262</v>
      </c>
    </row>
    <row r="54" spans="1:30">
      <c r="A54">
        <v>53</v>
      </c>
      <c r="B54" s="3">
        <v>9.4160000000000004</v>
      </c>
      <c r="C54" s="3">
        <v>3.6059999999999999</v>
      </c>
      <c r="D54" s="36">
        <f>$V$5/Table1[[#This Row],[Fallzeit '[s']]]</f>
        <v>5.3101104502973663E-5</v>
      </c>
      <c r="E54" s="35">
        <f>SQRT(($X$5/Table1[[#This Row],[Fallzeit '[s']]])^2+(Table1[[#This Row],[V_{fall}]]/Table1[[#This Row],[Fallzeit '[s']]] * $V$24)^2)</f>
        <v>2.1836771716452217E-6</v>
      </c>
      <c r="F54" s="36">
        <f>$V$5/Table1[[#This Row],[Steigzeit '[s']]]</f>
        <v>1.3865779256794233E-4</v>
      </c>
      <c r="G54" s="36">
        <f>SQRT(($X$5/Table1[[#This Row],[Steigzeit '[s']]])^2+(Table1[[#This Row],[V_{steig}]]/Table1[[#This Row],[Steigzeit '[s']]] * $V$24)^2)</f>
        <v>1.2085801708095439E-5</v>
      </c>
      <c r="H54" s="38">
        <f>SQRT((9 * $V$11)/(2 * ($W$14-$V$15) * $V$7) * Table1[[#This Row],[V_{fall}]] )</f>
        <v>7.1199277406541039E-7</v>
      </c>
      <c r="I54" s="38">
        <f>SQRT((Table1[[#This Row],[Delta V_{fall}]]/(2*Table1[[#This Row],[V_{fall}]]))^2+($X$14/(2*$V$16))^2)* Table1[[#This Row],[Radius]]</f>
        <v>1.4747775173602364E-8</v>
      </c>
      <c r="J54" s="27">
        <f>(Table1[[#This Row],[V_{fall}]]+Table1[[#This Row],[V_{steig}]])*SQRT((9*Table1[[#This Row],[V_{fall}]]*$V$11^3)/(2*($W$14-$V$15)*$V$7))*(6*3.141*$V$9)/$V$29</f>
        <v>5.5886912424247968E-19</v>
      </c>
      <c r="K54" s="27"/>
      <c r="L54" s="7">
        <f>1/(1+($V$18/(Table1[[#This Row],[Radius]]*$V$28)))</f>
        <v>0.90211964103809261</v>
      </c>
      <c r="M54" s="7">
        <f>$V$18/(Table1[[#This Row],[Radius]]*$V$28+$V$18)^2 * SQRT($V$28^2*Table1[[#This Row],[Delta R]]^2+Table1[[#This Row],[Radius]]^2*$X$28)</f>
        <v>1.8289870016684696E-3</v>
      </c>
      <c r="N54" s="3">
        <f>(Table1[[#This Row],[V_{fall}]]+Table1[[#This Row],[V_{steig}]])*SQRT((9 * Table1[[#This Row],[V_{fall}]] * $V$11^3*Table1[[#This Row],[Korrekturstherm]]^3)/(2*($W$14-$V$15)*$V$7))* 6 * PI() * $V$9 / $V$29 /$V$22</f>
        <v>4.7894788613125234</v>
      </c>
      <c r="O54" s="3"/>
      <c r="P54" s="7" t="str">
        <f>IF(Table1[[#This Row],[Q_{ges} korrigiert]]&lt;$V$20,Table1[[#This Row],[Q_{ges} korrigiert]], "")</f>
        <v/>
      </c>
      <c r="Q54" s="7">
        <f>Table1[[#This Row],[Q_{ges} korrigiert]]/Table1[[#Totals],[if Q&gt;q]]</f>
        <v>3.0341626349579598</v>
      </c>
      <c r="R54">
        <f>INT(Table1[[#This Row],[Abweichung von q]]+0.5)</f>
        <v>3</v>
      </c>
      <c r="S54" s="7">
        <f>Table1[[#This Row],[Q_{ges} korrigiert]]/Table1[[#This Row],[Anzahl Ladungen n]]</f>
        <v>1.5964929537708412</v>
      </c>
      <c r="AD54" s="37">
        <f>(Table1[[#This Row],[V_{fall}]]+Table1[[#This Row],[V_{steig}]])*SQRT((9 * Table1[[#This Row],[V_{fall}]] * $V$11^3*Table1[[#This Row],[Korrekturstherm]]^3)/(2*($W$14-$V$15)*$V$7))* 6 * PI() * $V$9 / $V$29 /$V$22</f>
        <v>4.7894788613125234</v>
      </c>
    </row>
    <row r="55" spans="1:30">
      <c r="A55">
        <v>54</v>
      </c>
      <c r="B55" s="3">
        <v>9.5869999999999997</v>
      </c>
      <c r="C55" s="3">
        <v>3.5</v>
      </c>
      <c r="D55" s="36">
        <f>$V$5/Table1[[#This Row],[Fallzeit '[s']]]</f>
        <v>5.215395848544905E-5</v>
      </c>
      <c r="E55" s="35">
        <f>SQRT(($X$5/Table1[[#This Row],[Fallzeit '[s']]])^2+(Table1[[#This Row],[V_{fall}]]/Table1[[#This Row],[Fallzeit '[s']]] * $V$24)^2)</f>
        <v>2.1218475959747843E-6</v>
      </c>
      <c r="F55" s="36">
        <f>$V$5/Table1[[#This Row],[Steigzeit '[s']]]</f>
        <v>1.4285714285714287E-4</v>
      </c>
      <c r="G55" s="36">
        <f>SQRT(($X$5/Table1[[#This Row],[Steigzeit '[s']]])^2+(Table1[[#This Row],[V_{steig}]]/Table1[[#This Row],[Steigzeit '[s']]] * $V$24)^2)</f>
        <v>1.279583699482638E-5</v>
      </c>
      <c r="H55" s="38">
        <f>SQRT((9 * $V$11)/(2 * ($W$14-$V$15) * $V$7) * Table1[[#This Row],[V_{fall}]] )</f>
        <v>7.0561441965834372E-7</v>
      </c>
      <c r="I55" s="38">
        <f>SQRT((Table1[[#This Row],[Delta V_{fall}]]/(2*Table1[[#This Row],[V_{fall}]]))^2+($X$14/(2*$V$16))^2)* Table1[[#This Row],[Radius]]</f>
        <v>1.4462027388743633E-8</v>
      </c>
      <c r="J55" s="27">
        <f>(Table1[[#This Row],[V_{fall}]]+Table1[[#This Row],[V_{steig}]])*SQRT((9*Table1[[#This Row],[V_{fall}]]*$V$11^3)/(2*($W$14-$V$15)*$V$7))*(6*3.141*$V$9)/$V$29</f>
        <v>5.6325595244648243E-19</v>
      </c>
      <c r="K55" s="27"/>
      <c r="L55" s="7">
        <f>1/(1+($V$18/(Table1[[#This Row],[Radius]]*$V$28)))</f>
        <v>0.90132216653842445</v>
      </c>
      <c r="M55" s="7">
        <f>$V$18/(Table1[[#This Row],[Radius]]*$V$28+$V$18)^2 * SQRT($V$28^2*Table1[[#This Row],[Delta R]]^2+Table1[[#This Row],[Radius]]^2*$X$28)</f>
        <v>1.8228939146813119E-3</v>
      </c>
      <c r="N55" s="3">
        <f>(Table1[[#This Row],[V_{fall}]]+Table1[[#This Row],[V_{steig}]])*SQRT((9 * Table1[[#This Row],[V_{fall}]] * $V$11^3*Table1[[#This Row],[Korrekturstherm]]^3)/(2*($W$14-$V$15)*$V$7))* 6 * PI() * $V$9 / $V$29 /$V$22</f>
        <v>4.8206744562605532</v>
      </c>
      <c r="O55" s="3"/>
      <c r="P55" s="7" t="str">
        <f>IF(Table1[[#This Row],[Q_{ges} korrigiert]]&lt;$V$20,Table1[[#This Row],[Q_{ges} korrigiert]], "")</f>
        <v/>
      </c>
      <c r="Q55" s="7">
        <f>Table1[[#This Row],[Q_{ges} korrigiert]]/Table1[[#Totals],[if Q&gt;q]]</f>
        <v>3.0539252252746558</v>
      </c>
      <c r="R55">
        <f>INT(Table1[[#This Row],[Abweichung von q]]+0.5)</f>
        <v>3</v>
      </c>
      <c r="S55" s="7">
        <f>Table1[[#This Row],[Q_{ges} korrigiert]]/Table1[[#This Row],[Anzahl Ladungen n]]</f>
        <v>1.6068914854201843</v>
      </c>
      <c r="AD55" s="3">
        <f>(Table1[[#This Row],[V_{fall}]]+Table1[[#This Row],[V_{steig}]])*SQRT((9 * Table1[[#This Row],[V_{fall}]] * $V$11^3*Table1[[#This Row],[Korrekturstherm]]^3)/(2*($W$14-$V$15)*$V$7))* 6 * PI() * $V$9 / $V$29 /$V$22</f>
        <v>4.8206744562605532</v>
      </c>
    </row>
    <row r="56" spans="1:30">
      <c r="A56">
        <v>55</v>
      </c>
      <c r="B56" s="28">
        <v>9.1300000000000008</v>
      </c>
      <c r="C56" s="28">
        <v>3.8330000000000002</v>
      </c>
      <c r="D56" s="36">
        <f>$V$5/Table1[[#This Row],[Fallzeit '[s']]]</f>
        <v>5.4764512595837893E-5</v>
      </c>
      <c r="E56" s="35">
        <f>SQRT(($X$5/Table1[[#This Row],[Fallzeit '[s']]])^2+(Table1[[#This Row],[V_{fall}]]/Table1[[#This Row],[Fallzeit '[s']]] * $V$24)^2)</f>
        <v>2.2946884051690542E-6</v>
      </c>
      <c r="F56" s="36">
        <f>$V$5/Table1[[#This Row],[Steigzeit '[s']]]</f>
        <v>1.3044612575006522E-4</v>
      </c>
      <c r="G56" s="36">
        <f>SQRT(($X$5/Table1[[#This Row],[Steigzeit '[s']]])^2+(Table1[[#This Row],[V_{steig}]]/Table1[[#This Row],[Steigzeit '[s']]] * $V$24)^2)</f>
        <v>1.0758309657132893E-5</v>
      </c>
      <c r="H56" s="38">
        <f>SQRT((9 * $V$11)/(2 * ($W$14-$V$15) * $V$7) * Table1[[#This Row],[V_{fall}]] )</f>
        <v>7.230584772257716E-7</v>
      </c>
      <c r="I56" s="38">
        <f>SQRT((Table1[[#This Row],[Delta V_{fall}]]/(2*Table1[[#This Row],[V_{fall}]]))^2+($X$14/(2*$V$16))^2)* Table1[[#This Row],[Radius]]</f>
        <v>1.5256229222363084E-8</v>
      </c>
      <c r="J56" s="27">
        <f>(Table1[[#This Row],[V_{fall}]]+Table1[[#This Row],[V_{steig}]])*SQRT((9*Table1[[#This Row],[V_{fall}]]*$V$11^3)/(2*($W$14-$V$15)*$V$7))*(6*3.141*$V$9)/$V$29</f>
        <v>5.4817390591604007E-19</v>
      </c>
      <c r="K56" s="27"/>
      <c r="L56" s="7">
        <f>1/(1+($V$18/(Table1[[#This Row],[Radius]]*$V$28)))</f>
        <v>0.90347301036877714</v>
      </c>
      <c r="M56" s="7">
        <f>$V$18/(Table1[[#This Row],[Radius]]*$V$28+$V$18)^2 * SQRT($V$28^2*Table1[[#This Row],[Delta R]]^2+Table1[[#This Row],[Radius]]^2*$X$28)</f>
        <v>1.8400843572528342E-3</v>
      </c>
      <c r="N56" s="3">
        <f>(Table1[[#This Row],[V_{fall}]]+Table1[[#This Row],[V_{steig}]])*SQRT((9 * Table1[[#This Row],[V_{fall}]] * $V$11^3*Table1[[#This Row],[Korrekturstherm]]^3)/(2*($W$14-$V$15)*$V$7))* 6 * PI() * $V$9 / $V$29 /$V$22</f>
        <v>4.7083969506403083</v>
      </c>
      <c r="O56" s="3"/>
      <c r="P56" s="7" t="str">
        <f>IF(Table1[[#This Row],[Q_{ges} korrigiert]]&lt;$V$20,Table1[[#This Row],[Q_{ges} korrigiert]], "")</f>
        <v/>
      </c>
      <c r="Q56" s="7">
        <f>Table1[[#This Row],[Q_{ges} korrigiert]]/Table1[[#Totals],[if Q&gt;q]]</f>
        <v>2.9827967743170767</v>
      </c>
      <c r="R56">
        <f>INT(Table1[[#This Row],[Abweichung von q]]+0.5)</f>
        <v>3</v>
      </c>
      <c r="S56" s="7">
        <f>Table1[[#This Row],[Q_{ges} korrigiert]]/Table1[[#This Row],[Anzahl Ladungen n]]</f>
        <v>1.5694656502134361</v>
      </c>
      <c r="U56" s="51" t="s">
        <v>119</v>
      </c>
      <c r="V56" s="51"/>
      <c r="W56" s="51"/>
      <c r="X56" s="51"/>
      <c r="AD56" s="37">
        <f>(Table1[[#This Row],[V_{fall}]]+Table1[[#This Row],[V_{steig}]])*SQRT((9 * Table1[[#This Row],[V_{fall}]] * $V$11^3*Table1[[#This Row],[Korrekturstherm]]^3)/(2*($W$14-$V$15)*$V$7))* 6 * PI() * $V$9 / $V$29 /$V$22</f>
        <v>4.7083969506403083</v>
      </c>
    </row>
    <row r="57" spans="1:30">
      <c r="A57">
        <v>56</v>
      </c>
      <c r="B57" s="3">
        <v>11.201000000000001</v>
      </c>
      <c r="C57" s="3">
        <v>5.9429999999999996</v>
      </c>
      <c r="D57" s="36">
        <f>$V$5/Table1[[#This Row],[Fallzeit '[s']]]</f>
        <v>4.4638871529327739E-5</v>
      </c>
      <c r="E57" s="35">
        <f>SQRT(($X$5/Table1[[#This Row],[Fallzeit '[s']]])^2+(Table1[[#This Row],[V_{fall}]]/Table1[[#This Row],[Fallzeit '[s']]] * $V$24)^2)</f>
        <v>1.666259946637009E-6</v>
      </c>
      <c r="F57" s="36">
        <f>$V$5/Table1[[#This Row],[Steigzeit '[s']]]</f>
        <v>8.4132592966515231E-5</v>
      </c>
      <c r="G57" s="36">
        <f>SQRT(($X$5/Table1[[#This Row],[Steigzeit '[s']]])^2+(Table1[[#This Row],[V_{steig}]]/Table1[[#This Row],[Steigzeit '[s']]] * $V$24)^2)</f>
        <v>4.7772095059817229E-6</v>
      </c>
      <c r="H57" s="38">
        <f>SQRT((9 * $V$11)/(2 * ($W$14-$V$15) * $V$7) * Table1[[#This Row],[V_{fall}]] )</f>
        <v>6.5280040074766507E-7</v>
      </c>
      <c r="I57" s="38">
        <f>SQRT((Table1[[#This Row],[Delta V_{fall}]]/(2*Table1[[#This Row],[V_{fall}]]))^2+($X$14/(2*$V$16))^2)* Table1[[#This Row],[Radius]]</f>
        <v>1.2292859907437867E-8</v>
      </c>
      <c r="J57" s="27">
        <f>(Table1[[#This Row],[V_{fall}]]+Table1[[#This Row],[V_{steig}]])*SQRT((9*Table1[[#This Row],[V_{fall}]]*$V$11^3)/(2*($W$14-$V$15)*$V$7))*(6*3.141*$V$9)/$V$29</f>
        <v>3.4409554902512691E-19</v>
      </c>
      <c r="K57" s="27"/>
      <c r="L57" s="7">
        <f>1/(1+($V$18/(Table1[[#This Row],[Radius]]*$V$28)))</f>
        <v>0.89418353316804355</v>
      </c>
      <c r="M57" s="7">
        <f>$V$18/(Table1[[#This Row],[Radius]]*$V$28+$V$18)^2 * SQRT($V$28^2*Table1[[#This Row],[Delta R]]^2+Table1[[#This Row],[Radius]]^2*$X$28)</f>
        <v>1.7817733150596153E-3</v>
      </c>
      <c r="N57" s="3">
        <f>(Table1[[#This Row],[V_{fall}]]+Table1[[#This Row],[V_{steig}]])*SQRT((9 * Table1[[#This Row],[V_{fall}]] * $V$11^3*Table1[[#This Row],[Korrekturstherm]]^3)/(2*($W$14-$V$15)*$V$7))* 6 * PI() * $V$9 / $V$29 /$V$22</f>
        <v>2.9100536316781471</v>
      </c>
      <c r="O57" s="3"/>
      <c r="P57" s="7" t="str">
        <f>IF(Table1[[#This Row],[Q_{ges} korrigiert]]&lt;$V$20,Table1[[#This Row],[Q_{ges} korrigiert]], "")</f>
        <v/>
      </c>
      <c r="Q57" s="7">
        <f>Table1[[#This Row],[Q_{ges} korrigiert]]/Table1[[#Totals],[if Q&gt;q]]</f>
        <v>1.8435358523624141</v>
      </c>
      <c r="R57">
        <f>INT(Table1[[#This Row],[Abweichung von q]]+0.5)</f>
        <v>2</v>
      </c>
      <c r="S57" s="7">
        <f>Table1[[#This Row],[Q_{ges} korrigiert]]/Table1[[#This Row],[Anzahl Ladungen n]]</f>
        <v>1.4550268158390736</v>
      </c>
      <c r="U57" t="s">
        <v>120</v>
      </c>
      <c r="AD57" s="3">
        <f>(Table1[[#This Row],[V_{fall}]]+Table1[[#This Row],[V_{steig}]])*SQRT((9 * Table1[[#This Row],[V_{fall}]] * $V$11^3*Table1[[#This Row],[Korrekturstherm]]^3)/(2*($W$14-$V$15)*$V$7))* 6 * PI() * $V$9 / $V$29 /$V$22</f>
        <v>2.9100536316781471</v>
      </c>
    </row>
    <row r="58" spans="1:30">
      <c r="A58">
        <v>57</v>
      </c>
      <c r="B58" s="3">
        <v>11.827</v>
      </c>
      <c r="C58" s="3">
        <v>5.5309999999999997</v>
      </c>
      <c r="D58" s="36">
        <f>$V$5/Table1[[#This Row],[Fallzeit '[s']]]</f>
        <v>4.2276147797412702E-5</v>
      </c>
      <c r="E58" s="35">
        <f>SQRT(($X$5/Table1[[#This Row],[Fallzeit '[s']]])^2+(Table1[[#This Row],[V_{fall}]]/Table1[[#This Row],[Fallzeit '[s']]] * $V$24)^2)</f>
        <v>1.5356301719149616E-6</v>
      </c>
      <c r="F58" s="36">
        <f>$V$5/Table1[[#This Row],[Steigzeit '[s']]]</f>
        <v>9.0399566082082806E-5</v>
      </c>
      <c r="G58" s="36">
        <f>SQRT(($X$5/Table1[[#This Row],[Steigzeit '[s']]])^2+(Table1[[#This Row],[V_{steig}]]/Table1[[#This Row],[Steigzeit '[s']]] * $V$24)^2)</f>
        <v>5.4374789363365498E-6</v>
      </c>
      <c r="H58" s="38">
        <f>SQRT((9 * $V$11)/(2 * ($W$14-$V$15) * $V$7) * Table1[[#This Row],[V_{fall}]] )</f>
        <v>6.3528925885004561E-7</v>
      </c>
      <c r="I58" s="38">
        <f>SQRT((Table1[[#This Row],[Delta V_{fall}]]/(2*Table1[[#This Row],[V_{fall}]]))^2+($X$14/(2*$V$16))^2)* Table1[[#This Row],[Radius]]</f>
        <v>1.164717737650755E-8</v>
      </c>
      <c r="J58" s="27">
        <f>(Table1[[#This Row],[V_{fall}]]+Table1[[#This Row],[V_{steig}]])*SQRT((9*Table1[[#This Row],[V_{fall}]]*$V$11^3)/(2*($W$14-$V$15)*$V$7))*(6*3.141*$V$9)/$V$29</f>
        <v>3.4501815890837231E-19</v>
      </c>
      <c r="K58" s="27"/>
      <c r="L58" s="7">
        <f>1/(1+($V$18/(Table1[[#This Row],[Radius]]*$V$28)))</f>
        <v>0.89158302631179664</v>
      </c>
      <c r="M58" s="7">
        <f>$V$18/(Table1[[#This Row],[Radius]]*$V$28+$V$18)^2 * SQRT($V$28^2*Table1[[#This Row],[Delta R]]^2+Table1[[#This Row],[Radius]]^2*$X$28)</f>
        <v>1.7721817324207675E-3</v>
      </c>
      <c r="N58" s="3">
        <f>(Table1[[#This Row],[V_{fall}]]+Table1[[#This Row],[V_{steig}]])*SQRT((9 * Table1[[#This Row],[V_{fall}]] * $V$11^3*Table1[[#This Row],[Korrekturstherm]]^3)/(2*($W$14-$V$15)*$V$7))* 6 * PI() * $V$9 / $V$29 /$V$22</f>
        <v>2.9051367319337982</v>
      </c>
      <c r="O58" s="3"/>
      <c r="P58" s="7" t="str">
        <f>IF(Table1[[#This Row],[Q_{ges} korrigiert]]&lt;$V$20,Table1[[#This Row],[Q_{ges} korrigiert]], "")</f>
        <v/>
      </c>
      <c r="Q58" s="7">
        <f>Table1[[#This Row],[Q_{ges} korrigiert]]/Table1[[#Totals],[if Q&gt;q]]</f>
        <v>1.8404209678590822</v>
      </c>
      <c r="R58">
        <f>INT(Table1[[#This Row],[Abweichung von q]]+0.5)</f>
        <v>2</v>
      </c>
      <c r="S58" s="7">
        <f>Table1[[#This Row],[Q_{ges} korrigiert]]/Table1[[#This Row],[Anzahl Ladungen n]]</f>
        <v>1.4525683659668991</v>
      </c>
      <c r="AD58" s="37">
        <f>(Table1[[#This Row],[V_{fall}]]+Table1[[#This Row],[V_{steig}]])*SQRT((9 * Table1[[#This Row],[V_{fall}]] * $V$11^3*Table1[[#This Row],[Korrekturstherm]]^3)/(2*($W$14-$V$15)*$V$7))* 6 * PI() * $V$9 / $V$29 /$V$22</f>
        <v>2.9051367319337982</v>
      </c>
    </row>
    <row r="59" spans="1:30">
      <c r="A59">
        <v>58</v>
      </c>
      <c r="B59" s="3">
        <v>10.846</v>
      </c>
      <c r="C59" s="3">
        <v>5.9850000000000003</v>
      </c>
      <c r="D59" s="36">
        <f>$V$5/Table1[[#This Row],[Fallzeit '[s']]]</f>
        <v>4.6099944680066385E-5</v>
      </c>
      <c r="E59" s="35">
        <f>SQRT(($X$5/Table1[[#This Row],[Fallzeit '[s']]])^2+(Table1[[#This Row],[V_{fall}]]/Table1[[#This Row],[Fallzeit '[s']]] * $V$24)^2)</f>
        <v>1.7500220065538032E-6</v>
      </c>
      <c r="F59" s="36">
        <f>$V$5/Table1[[#This Row],[Steigzeit '[s']]]</f>
        <v>8.3542188805346704E-5</v>
      </c>
      <c r="G59" s="36">
        <f>SQRT(($X$5/Table1[[#This Row],[Steigzeit '[s']]])^2+(Table1[[#This Row],[V_{steig}]]/Table1[[#This Row],[Steigzeit '[s']]] * $V$24)^2)</f>
        <v>4.7173952264642293E-6</v>
      </c>
      <c r="H59" s="38">
        <f>SQRT((9 * $V$11)/(2 * ($W$14-$V$15) * $V$7) * Table1[[#This Row],[V_{fall}]] )</f>
        <v>6.6339777551243783E-7</v>
      </c>
      <c r="I59" s="38">
        <f>SQRT((Table1[[#This Row],[Delta V_{fall}]]/(2*Table1[[#This Row],[V_{fall}]]))^2+($X$14/(2*$V$16))^2)* Table1[[#This Row],[Radius]]</f>
        <v>1.2700853852070221E-8</v>
      </c>
      <c r="J59" s="27">
        <f>(Table1[[#This Row],[V_{fall}]]+Table1[[#This Row],[V_{steig}]])*SQRT((9*Table1[[#This Row],[V_{fall}]]*$V$11^3)/(2*($W$14-$V$15)*$V$7))*(6*3.141*$V$9)/$V$29</f>
        <v>3.520458167547629E-19</v>
      </c>
      <c r="K59" s="27"/>
      <c r="L59" s="7">
        <f>1/(1+($V$18/(Table1[[#This Row],[Radius]]*$V$28)))</f>
        <v>0.89569757870998123</v>
      </c>
      <c r="M59" s="7">
        <f>$V$18/(Table1[[#This Row],[Radius]]*$V$28+$V$18)^2 * SQRT($V$28^2*Table1[[#This Row],[Delta R]]^2+Table1[[#This Row],[Radius]]^2*$X$28)</f>
        <v>1.7886060857029464E-3</v>
      </c>
      <c r="N59" s="3">
        <f>(Table1[[#This Row],[V_{fall}]]+Table1[[#This Row],[V_{steig}]])*SQRT((9 * Table1[[#This Row],[V_{fall}]] * $V$11^3*Table1[[#This Row],[Korrekturstherm]]^3)/(2*($W$14-$V$15)*$V$7))* 6 * PI() * $V$9 / $V$29 /$V$22</f>
        <v>2.9848549047949233</v>
      </c>
      <c r="O59" s="3"/>
      <c r="P59" s="7" t="str">
        <f>IF(Table1[[#This Row],[Q_{ges} korrigiert]]&lt;$V$20,Table1[[#This Row],[Q_{ges} korrigiert]], "")</f>
        <v/>
      </c>
      <c r="Q59" s="7">
        <f>Table1[[#This Row],[Q_{ges} korrigiert]]/Table1[[#Totals],[if Q&gt;q]]</f>
        <v>1.8909228926877182</v>
      </c>
      <c r="R59">
        <f>INT(Table1[[#This Row],[Abweichung von q]]+0.5)</f>
        <v>2</v>
      </c>
      <c r="S59" s="7">
        <f>Table1[[#This Row],[Q_{ges} korrigiert]]/Table1[[#This Row],[Anzahl Ladungen n]]</f>
        <v>1.4924274523974617</v>
      </c>
      <c r="AD59" s="3">
        <f>(Table1[[#This Row],[V_{fall}]]+Table1[[#This Row],[V_{steig}]])*SQRT((9 * Table1[[#This Row],[V_{fall}]] * $V$11^3*Table1[[#This Row],[Korrekturstherm]]^3)/(2*($W$14-$V$15)*$V$7))* 6 * PI() * $V$9 / $V$29 /$V$22</f>
        <v>2.9848549047949233</v>
      </c>
    </row>
    <row r="60" spans="1:30">
      <c r="A60">
        <v>59</v>
      </c>
      <c r="B60" s="3">
        <v>10.217000000000001</v>
      </c>
      <c r="C60" s="3">
        <v>5.4859999999999998</v>
      </c>
      <c r="D60" s="36">
        <f>$V$5/Table1[[#This Row],[Fallzeit '[s']]]</f>
        <v>4.8938044435744348E-5</v>
      </c>
      <c r="E60" s="35">
        <f>SQRT(($X$5/Table1[[#This Row],[Fallzeit '[s']]])^2+(Table1[[#This Row],[V_{fall}]]/Table1[[#This Row],[Fallzeit '[s']]] * $V$24)^2)</f>
        <v>1.9193296325019851E-6</v>
      </c>
      <c r="F60" s="36">
        <f>$V$5/Table1[[#This Row],[Steigzeit '[s']]]</f>
        <v>9.1141086401749918E-5</v>
      </c>
      <c r="G60" s="36">
        <f>SQRT(($X$5/Table1[[#This Row],[Steigzeit '[s']]])^2+(Table1[[#This Row],[V_{steig}]]/Table1[[#This Row],[Steigzeit '[s']]] * $V$24)^2)</f>
        <v>5.5186745498352474E-6</v>
      </c>
      <c r="H60" s="38">
        <f>SQRT((9 * $V$11)/(2 * ($W$14-$V$15) * $V$7) * Table1[[#This Row],[V_{fall}]] )</f>
        <v>6.8351352768308966E-7</v>
      </c>
      <c r="I60" s="38">
        <f>SQRT((Table1[[#This Row],[Delta V_{fall}]]/(2*Table1[[#This Row],[V_{fall}]]))^2+($X$14/(2*$V$16))^2)* Table1[[#This Row],[Radius]]</f>
        <v>1.3512363210968007E-8</v>
      </c>
      <c r="J60" s="27">
        <f>(Table1[[#This Row],[V_{fall}]]+Table1[[#This Row],[V_{steig}]])*SQRT((9*Table1[[#This Row],[V_{fall}]]*$V$11^3)/(2*($W$14-$V$15)*$V$7))*(6*3.141*$V$9)/$V$29</f>
        <v>3.9192192570378703E-19</v>
      </c>
      <c r="K60" s="27"/>
      <c r="L60" s="7">
        <f>1/(1+($V$18/(Table1[[#This Row],[Radius]]*$V$28)))</f>
        <v>0.89845548889489313</v>
      </c>
      <c r="M60" s="7">
        <f>$V$18/(Table1[[#This Row],[Radius]]*$V$28+$V$18)^2 * SQRT($V$28^2*Table1[[#This Row],[Delta R]]^2+Table1[[#This Row],[Radius]]^2*$X$28)</f>
        <v>1.8035875175808275E-3</v>
      </c>
      <c r="N60" s="3">
        <f>(Table1[[#This Row],[V_{fall}]]+Table1[[#This Row],[V_{steig}]])*SQRT((9 * Table1[[#This Row],[V_{fall}]] * $V$11^3*Table1[[#This Row],[Korrekturstherm]]^3)/(2*($W$14-$V$15)*$V$7))* 6 * PI() * $V$9 / $V$29 /$V$22</f>
        <v>3.3383075604438628</v>
      </c>
      <c r="O60" s="3"/>
      <c r="P60" s="7" t="str">
        <f>IF(Table1[[#This Row],[Q_{ges} korrigiert]]&lt;$V$20,Table1[[#This Row],[Q_{ges} korrigiert]], "")</f>
        <v/>
      </c>
      <c r="Q60" s="7">
        <f>Table1[[#This Row],[Q_{ges} korrigiert]]/Table1[[#Totals],[if Q&gt;q]]</f>
        <v>2.1148371998703541</v>
      </c>
      <c r="R60">
        <f>INT(Table1[[#This Row],[Abweichung von q]]+0.5)</f>
        <v>2</v>
      </c>
      <c r="S60" s="7">
        <f>Table1[[#This Row],[Q_{ges} korrigiert]]/Table1[[#This Row],[Anzahl Ladungen n]]</f>
        <v>1.6691537802219314</v>
      </c>
      <c r="AD60" s="37">
        <f>(Table1[[#This Row],[V_{fall}]]+Table1[[#This Row],[V_{steig}]])*SQRT((9 * Table1[[#This Row],[V_{fall}]] * $V$11^3*Table1[[#This Row],[Korrekturstherm]]^3)/(2*($W$14-$V$15)*$V$7))* 6 * PI() * $V$9 / $V$29 /$V$22</f>
        <v>3.3383075604438628</v>
      </c>
    </row>
    <row r="61" spans="1:30">
      <c r="A61">
        <v>60</v>
      </c>
      <c r="B61" s="29">
        <v>9.42</v>
      </c>
      <c r="C61" s="29">
        <v>5.6150000000000002</v>
      </c>
      <c r="D61" s="36">
        <f>$V$5/Table1[[#This Row],[Fallzeit '[s']]]</f>
        <v>5.3078556263269641E-5</v>
      </c>
      <c r="E61" s="35">
        <f>SQRT(($X$5/Table1[[#This Row],[Fallzeit '[s']]])^2+(Table1[[#This Row],[V_{fall}]]/Table1[[#This Row],[Fallzeit '[s']]] * $V$24)^2)</f>
        <v>2.1821936112375778E-6</v>
      </c>
      <c r="F61" s="36">
        <f>$V$5/Table1[[#This Row],[Steigzeit '[s']]]</f>
        <v>8.9047195013357083E-5</v>
      </c>
      <c r="G61" s="36">
        <f>SQRT(($X$5/Table1[[#This Row],[Steigzeit '[s']]])^2+(Table1[[#This Row],[V_{steig}]]/Table1[[#This Row],[Steigzeit '[s']]] * $V$24)^2)</f>
        <v>5.2910709256615144E-6</v>
      </c>
      <c r="H61" s="38">
        <f>SQRT((9 * $V$11)/(2 * ($W$14-$V$15) * $V$7) * Table1[[#This Row],[V_{fall}]] )</f>
        <v>7.1184159182056666E-7</v>
      </c>
      <c r="I61" s="38">
        <f>SQRT((Table1[[#This Row],[Delta V_{fall}]]/(2*Table1[[#This Row],[V_{fall}]]))^2+($X$14/(2*$V$16))^2)* Table1[[#This Row],[Radius]]</f>
        <v>1.4740940680778599E-8</v>
      </c>
      <c r="J61" s="27">
        <f>(Table1[[#This Row],[V_{fall}]]+Table1[[#This Row],[V_{steig}]])*SQRT((9*Table1[[#This Row],[V_{fall}]]*$V$11^3)/(2*($W$14-$V$15)*$V$7))*(6*3.141*$V$9)/$V$29</f>
        <v>4.1412852032792919E-19</v>
      </c>
      <c r="K61" s="27"/>
      <c r="L61" s="7">
        <f>1/(1+($V$18/(Table1[[#This Row],[Radius]]*$V$28)))</f>
        <v>0.90210088815293854</v>
      </c>
      <c r="M61" s="7">
        <f>$V$18/(Table1[[#This Row],[Radius]]*$V$28+$V$18)^2 * SQRT($V$28^2*Table1[[#This Row],[Delta R]]^2+Table1[[#This Row],[Radius]]^2*$X$28)</f>
        <v>1.8288399758259587E-3</v>
      </c>
      <c r="N61" s="3">
        <f>(Table1[[#This Row],[V_{fall}]]+Table1[[#This Row],[V_{steig}]])*SQRT((9 * Table1[[#This Row],[V_{fall}]] * $V$11^3*Table1[[#This Row],[Korrekturstherm]]^3)/(2*($W$14-$V$15)*$V$7))* 6 * PI() * $V$9 / $V$29 /$V$22</f>
        <v>3.5489488706147934</v>
      </c>
      <c r="O61" s="3"/>
      <c r="P61" s="7" t="str">
        <f>IF(Table1[[#This Row],[Q_{ges} korrigiert]]&lt;$V$20,Table1[[#This Row],[Q_{ges} korrigiert]], "")</f>
        <v/>
      </c>
      <c r="Q61" s="7">
        <f>Table1[[#This Row],[Q_{ges} korrigiert]]/Table1[[#Totals],[if Q&gt;q]]</f>
        <v>2.2482796914662107</v>
      </c>
      <c r="R61">
        <f>INT(Table1[[#This Row],[Abweichung von q]]+0.5)</f>
        <v>2</v>
      </c>
      <c r="S61" s="7">
        <f>Table1[[#This Row],[Q_{ges} korrigiert]]/Table1[[#This Row],[Anzahl Ladungen n]]</f>
        <v>1.7744744353073967</v>
      </c>
      <c r="AD61" s="3">
        <f>(Table1[[#This Row],[V_{fall}]]+Table1[[#This Row],[V_{steig}]])*SQRT((9 * Table1[[#This Row],[V_{fall}]] * $V$11^3*Table1[[#This Row],[Korrekturstherm]]^3)/(2*($W$14-$V$15)*$V$7))* 6 * PI() * $V$9 / $V$29 /$V$22</f>
        <v>3.5489488706147934</v>
      </c>
    </row>
    <row r="62" spans="1:30">
      <c r="A62">
        <v>61</v>
      </c>
      <c r="B62" s="3">
        <v>12.805999999999999</v>
      </c>
      <c r="C62" s="3">
        <v>13.23</v>
      </c>
      <c r="D62" s="36">
        <f>$V$5/Table1[[#This Row],[Fallzeit '[s']]]</f>
        <v>3.9044198032172421E-5</v>
      </c>
      <c r="E62" s="35">
        <f>SQRT(($X$5/Table1[[#This Row],[Fallzeit '[s']]])^2+(Table1[[#This Row],[V_{fall}]]/Table1[[#This Row],[Fallzeit '[s']]] * $V$24)^2)</f>
        <v>1.3664363668661159E-6</v>
      </c>
      <c r="F62" s="36">
        <f>$V$5/Table1[[#This Row],[Steigzeit '[s']]]</f>
        <v>3.7792894935752078E-5</v>
      </c>
      <c r="G62" s="36">
        <f>SQRT(($X$5/Table1[[#This Row],[Steigzeit '[s']]])^2+(Table1[[#This Row],[V_{steig}]]/Table1[[#This Row],[Steigzeit '[s']]] * $V$24)^2)</f>
        <v>1.3038214893492749E-6</v>
      </c>
      <c r="H62" s="38">
        <f>SQRT((9 * $V$11)/(2 * ($W$14-$V$15) * $V$7) * Table1[[#This Row],[V_{fall}]] )</f>
        <v>6.1052304586727499E-7</v>
      </c>
      <c r="I62" s="38">
        <f>SQRT((Table1[[#This Row],[Delta V_{fall}]]/(2*Table1[[#This Row],[V_{fall}]]))^2+($X$14/(2*$V$16))^2)* Table1[[#This Row],[Radius]]</f>
        <v>1.0792089324724502E-8</v>
      </c>
      <c r="J62" s="27">
        <f>(Table1[[#This Row],[V_{fall}]]+Table1[[#This Row],[V_{steig}]])*SQRT((9*Table1[[#This Row],[V_{fall}]]*$V$11^3)/(2*($W$14-$V$15)*$V$7))*(6*3.141*$V$9)/$V$29</f>
        <v>1.9202244510724409E-19</v>
      </c>
      <c r="K62" s="27"/>
      <c r="L62" s="7">
        <f>1/(1+($V$18/(Table1[[#This Row],[Radius]]*$V$28)))</f>
        <v>0.88767901761909906</v>
      </c>
      <c r="M62" s="7">
        <f>$V$18/(Table1[[#This Row],[Radius]]*$V$28+$V$18)^2 * SQRT($V$28^2*Table1[[#This Row],[Delta R]]^2+Table1[[#This Row],[Radius]]^2*$X$28)</f>
        <v>1.7624642787239732E-3</v>
      </c>
      <c r="N62" s="3">
        <f>(Table1[[#This Row],[V_{fall}]]+Table1[[#This Row],[V_{steig}]])*SQRT((9 * Table1[[#This Row],[V_{fall}]] * $V$11^3*Table1[[#This Row],[Korrekturstherm]]^3)/(2*($W$14-$V$15)*$V$7))* 6 * PI() * $V$9 / $V$29 /$V$22</f>
        <v>1.6062674672108808</v>
      </c>
      <c r="O62" s="3"/>
      <c r="P62" s="7">
        <f>IF(Table1[[#This Row],[Q_{ges} korrigiert]]&lt;$V$20,Table1[[#This Row],[Q_{ges} korrigiert]], "")</f>
        <v>1.6062674672108808</v>
      </c>
      <c r="Q62" s="7">
        <f>Table1[[#This Row],[Q_{ges} korrigiert]]/Table1[[#Totals],[if Q&gt;q]]</f>
        <v>1.0175797559369992</v>
      </c>
      <c r="R62">
        <f>INT(Table1[[#This Row],[Abweichung von q]]+0.5)</f>
        <v>1</v>
      </c>
      <c r="S62" s="7">
        <f>Table1[[#This Row],[Q_{ges} korrigiert]]/Table1[[#This Row],[Anzahl Ladungen n]]</f>
        <v>1.6062674672108808</v>
      </c>
      <c r="AD62" s="37">
        <f>(Table1[[#This Row],[V_{fall}]]+Table1[[#This Row],[V_{steig}]])*SQRT((9 * Table1[[#This Row],[V_{fall}]] * $V$11^3*Table1[[#This Row],[Korrekturstherm]]^3)/(2*($W$14-$V$15)*$V$7))* 6 * PI() * $V$9 / $V$29 /$V$22</f>
        <v>1.6062674672108808</v>
      </c>
    </row>
    <row r="63" spans="1:30">
      <c r="A63">
        <v>62</v>
      </c>
      <c r="B63" s="3">
        <v>12.935</v>
      </c>
      <c r="C63" s="3">
        <v>14.782999999999999</v>
      </c>
      <c r="D63" s="36">
        <f>$V$5/Table1[[#This Row],[Fallzeit '[s']]]</f>
        <v>3.8654812524159255E-5</v>
      </c>
      <c r="E63" s="35">
        <f>SQRT(($X$5/Table1[[#This Row],[Fallzeit '[s']]])^2+(Table1[[#This Row],[V_{fall}]]/Table1[[#This Row],[Fallzeit '[s']]] * $V$24)^2)</f>
        <v>1.3467805055658257E-6</v>
      </c>
      <c r="F63" s="36">
        <f>$V$5/Table1[[#This Row],[Steigzeit '[s']]]</f>
        <v>3.3822634106744234E-5</v>
      </c>
      <c r="G63" s="36">
        <f>SQRT(($X$5/Table1[[#This Row],[Steigzeit '[s']]])^2+(Table1[[#This Row],[V_{steig}]]/Table1[[#This Row],[Steigzeit '[s']]] * $V$24)^2)</f>
        <v>1.1155468778158768E-6</v>
      </c>
      <c r="H63" s="38">
        <f>SQRT((9 * $V$11)/(2 * ($W$14-$V$15) * $V$7) * Table1[[#This Row],[V_{fall}]] )</f>
        <v>6.0747106213588628E-7</v>
      </c>
      <c r="I63" s="38">
        <f>SQRT((Table1[[#This Row],[Delta V_{fall}]]/(2*Table1[[#This Row],[V_{fall}]]))^2+($X$14/(2*$V$16))^2)* Table1[[#This Row],[Radius]]</f>
        <v>1.0691250156993305E-8</v>
      </c>
      <c r="J63" s="27">
        <f>(Table1[[#This Row],[V_{fall}]]+Table1[[#This Row],[V_{steig}]])*SQRT((9*Table1[[#This Row],[V_{fall}]]*$V$11^3)/(2*($W$14-$V$15)*$V$7))*(6*3.141*$V$9)/$V$29</f>
        <v>1.8022186804782645E-19</v>
      </c>
      <c r="K63" s="27"/>
      <c r="L63" s="7">
        <f>1/(1+($V$18/(Table1[[#This Row],[Radius]]*$V$28)))</f>
        <v>0.88717837425966728</v>
      </c>
      <c r="M63" s="7">
        <f>$V$18/(Table1[[#This Row],[Radius]]*$V$28+$V$18)^2 * SQRT($V$28^2*Table1[[#This Row],[Delta R]]^2+Table1[[#This Row],[Radius]]^2*$X$28)</f>
        <v>1.7615955493603291E-3</v>
      </c>
      <c r="N63" s="3">
        <f>(Table1[[#This Row],[V_{fall}]]+Table1[[#This Row],[V_{steig}]])*SQRT((9 * Table1[[#This Row],[V_{fall}]] * $V$11^3*Table1[[#This Row],[Korrekturstherm]]^3)/(2*($W$14-$V$15)*$V$7))* 6 * PI() * $V$9 / $V$29 /$V$22</f>
        <v>1.5062804648242198</v>
      </c>
      <c r="O63" s="3"/>
      <c r="P63" s="7">
        <f>IF(Table1[[#This Row],[Q_{ges} korrigiert]]&lt;$V$20,Table1[[#This Row],[Q_{ges} korrigiert]], "")</f>
        <v>1.5062804648242198</v>
      </c>
      <c r="Q63" s="7">
        <f>Table1[[#This Row],[Q_{ges} korrigiert]]/Table1[[#Totals],[if Q&gt;q]]</f>
        <v>0.95423741005598606</v>
      </c>
      <c r="R63">
        <f>INT(Table1[[#This Row],[Abweichung von q]]+0.5)</f>
        <v>1</v>
      </c>
      <c r="S63" s="7">
        <f>Table1[[#This Row],[Q_{ges} korrigiert]]/Table1[[#This Row],[Anzahl Ladungen n]]</f>
        <v>1.5062804648242198</v>
      </c>
      <c r="AD63" s="3">
        <f>(Table1[[#This Row],[V_{fall}]]+Table1[[#This Row],[V_{steig}]])*SQRT((9 * Table1[[#This Row],[V_{fall}]] * $V$11^3*Table1[[#This Row],[Korrekturstherm]]^3)/(2*($W$14-$V$15)*$V$7))* 6 * PI() * $V$9 / $V$29 /$V$22</f>
        <v>1.5062804648242198</v>
      </c>
    </row>
    <row r="64" spans="1:30">
      <c r="A64">
        <v>63</v>
      </c>
      <c r="B64" s="3">
        <v>12.603999999999999</v>
      </c>
      <c r="C64" s="3">
        <v>13.723000000000001</v>
      </c>
      <c r="D64" s="36">
        <f>$V$5/Table1[[#This Row],[Fallzeit '[s']]]</f>
        <v>3.9669946048873378E-5</v>
      </c>
      <c r="E64" s="35">
        <f>SQRT(($X$5/Table1[[#This Row],[Fallzeit '[s']]])^2+(Table1[[#This Row],[V_{fall}]]/Table1[[#This Row],[Fallzeit '[s']]] * $V$24)^2)</f>
        <v>1.3983493717293831E-6</v>
      </c>
      <c r="F64" s="36">
        <f>$V$5/Table1[[#This Row],[Steigzeit '[s']]]</f>
        <v>3.6435181811557237E-5</v>
      </c>
      <c r="G64" s="36">
        <f>SQRT(($X$5/Table1[[#This Row],[Steigzeit '[s']]])^2+(Table1[[#This Row],[V_{steig}]]/Table1[[#This Row],[Steigzeit '[s']]] * $V$24)^2)</f>
        <v>1.2376748048940741E-6</v>
      </c>
      <c r="H64" s="38">
        <f>SQRT((9 * $V$11)/(2 * ($W$14-$V$15) * $V$7) * Table1[[#This Row],[V_{fall}]] )</f>
        <v>6.1539592158507805E-7</v>
      </c>
      <c r="I64" s="38">
        <f>SQRT((Table1[[#This Row],[Delta V_{fall}]]/(2*Table1[[#This Row],[V_{fall}]]))^2+($X$14/(2*$V$16))^2)* Table1[[#This Row],[Radius]]</f>
        <v>1.0955118593128954E-8</v>
      </c>
      <c r="J64" s="27">
        <f>(Table1[[#This Row],[V_{fall}]]+Table1[[#This Row],[V_{steig}]])*SQRT((9*Table1[[#This Row],[V_{fall}]]*$V$11^3)/(2*($W$14-$V$15)*$V$7))*(6*3.141*$V$9)/$V$29</f>
        <v>1.9171122459729874E-19</v>
      </c>
      <c r="K64" s="27"/>
      <c r="L64" s="7">
        <f>1/(1+($V$18/(Table1[[#This Row],[Radius]]*$V$28)))</f>
        <v>0.88846921210958296</v>
      </c>
      <c r="M64" s="7">
        <f>$V$18/(Table1[[#This Row],[Radius]]*$V$28+$V$18)^2 * SQRT($V$28^2*Table1[[#This Row],[Delta R]]^2+Table1[[#This Row],[Radius]]^2*$X$28)</f>
        <v>1.7640042594837964E-3</v>
      </c>
      <c r="N64" s="3">
        <f>(Table1[[#This Row],[V_{fall}]]+Table1[[#This Row],[V_{steig}]])*SQRT((9 * Table1[[#This Row],[V_{fall}]] * $V$11^3*Table1[[#This Row],[Korrekturstherm]]^3)/(2*($W$14-$V$15)*$V$7))* 6 * PI() * $V$9 / $V$29 /$V$22</f>
        <v>1.6058059101901399</v>
      </c>
      <c r="O64" s="3"/>
      <c r="P64" s="7">
        <f>IF(Table1[[#This Row],[Q_{ges} korrigiert]]&lt;$V$20,Table1[[#This Row],[Q_{ges} korrigiert]], "")</f>
        <v>1.6058059101901399</v>
      </c>
      <c r="Q64" s="7">
        <f>Table1[[#This Row],[Q_{ges} korrigiert]]/Table1[[#Totals],[if Q&gt;q]]</f>
        <v>1.0172873568875855</v>
      </c>
      <c r="R64">
        <f>INT(Table1[[#This Row],[Abweichung von q]]+0.5)</f>
        <v>1</v>
      </c>
      <c r="S64" s="7">
        <f>Table1[[#This Row],[Q_{ges} korrigiert]]/Table1[[#This Row],[Anzahl Ladungen n]]</f>
        <v>1.6058059101901399</v>
      </c>
      <c r="AD64" s="37">
        <f>(Table1[[#This Row],[V_{fall}]]+Table1[[#This Row],[V_{steig}]])*SQRT((9 * Table1[[#This Row],[V_{fall}]] * $V$11^3*Table1[[#This Row],[Korrekturstherm]]^3)/(2*($W$14-$V$15)*$V$7))* 6 * PI() * $V$9 / $V$29 /$V$22</f>
        <v>1.6058059101901399</v>
      </c>
    </row>
    <row r="65" spans="1:34">
      <c r="A65">
        <v>64</v>
      </c>
      <c r="B65" s="3">
        <v>11.901</v>
      </c>
      <c r="C65" s="3">
        <v>13.307</v>
      </c>
      <c r="D65" s="36">
        <f>$V$5/Table1[[#This Row],[Fallzeit '[s']]]</f>
        <v>4.2013276195277707E-5</v>
      </c>
      <c r="E65" s="35">
        <f>SQRT(($X$5/Table1[[#This Row],[Fallzeit '[s']]])^2+(Table1[[#This Row],[V_{fall}]]/Table1[[#This Row],[Fallzeit '[s']]] * $V$24)^2)</f>
        <v>1.5214616722334042E-6</v>
      </c>
      <c r="F65" s="36">
        <f>$V$5/Table1[[#This Row],[Steigzeit '[s']]]</f>
        <v>3.7574209062899225E-5</v>
      </c>
      <c r="G65" s="36">
        <f>SQRT(($X$5/Table1[[#This Row],[Steigzeit '[s']]])^2+(Table1[[#This Row],[V_{steig}]]/Table1[[#This Row],[Steigzeit '[s']]] * $V$24)^2)</f>
        <v>1.293041834192057E-6</v>
      </c>
      <c r="H65" s="38">
        <f>SQRT((9 * $V$11)/(2 * ($W$14-$V$15) * $V$7) * Table1[[#This Row],[V_{fall}]] )</f>
        <v>6.33311075837736E-7</v>
      </c>
      <c r="I65" s="38">
        <f>SQRT((Table1[[#This Row],[Delta V_{fall}]]/(2*Table1[[#This Row],[V_{fall}]]))^2+($X$14/(2*$V$16))^2)* Table1[[#This Row],[Radius]]</f>
        <v>1.1576416104602424E-8</v>
      </c>
      <c r="J65" s="27">
        <f>(Table1[[#This Row],[V_{fall}]]+Table1[[#This Row],[V_{steig}]])*SQRT((9*Table1[[#This Row],[V_{fall}]]*$V$11^3)/(2*($W$14-$V$15)*$V$7))*(6*3.141*$V$9)/$V$29</f>
        <v>2.0631978354505937E-19</v>
      </c>
      <c r="K65" s="27"/>
      <c r="L65" s="7">
        <f>1/(1+($V$18/(Table1[[#This Row],[Radius]]*$V$28)))</f>
        <v>0.89128119700275588</v>
      </c>
      <c r="M65" s="7">
        <f>$V$18/(Table1[[#This Row],[Radius]]*$V$28+$V$18)^2 * SQRT($V$28^2*Table1[[#This Row],[Delta R]]^2+Table1[[#This Row],[Radius]]^2*$X$28)</f>
        <v>1.7712361134943843E-3</v>
      </c>
      <c r="N65" s="3">
        <f>(Table1[[#This Row],[V_{fall}]]+Table1[[#This Row],[V_{steig}]])*SQRT((9 * Table1[[#This Row],[V_{fall}]] * $V$11^3*Table1[[#This Row],[Korrekturstherm]]^3)/(2*($W$14-$V$15)*$V$7))* 6 * PI() * $V$9 / $V$29 /$V$22</f>
        <v>1.7363806062336444</v>
      </c>
      <c r="O65" s="3"/>
      <c r="P65" s="7">
        <f>IF(Table1[[#This Row],[Q_{ges} korrigiert]]&lt;$V$20,Table1[[#This Row],[Q_{ges} korrigiert]], "")</f>
        <v>1.7363806062336444</v>
      </c>
      <c r="Q65" s="7">
        <f>Table1[[#This Row],[Q_{ges} korrigiert]]/Table1[[#Totals],[if Q&gt;q]]</f>
        <v>1.1000071840918386</v>
      </c>
      <c r="R65">
        <f>INT(Table1[[#This Row],[Abweichung von q]]+0.5)</f>
        <v>1</v>
      </c>
      <c r="S65" s="7">
        <f>Table1[[#This Row],[Q_{ges} korrigiert]]/Table1[[#This Row],[Anzahl Ladungen n]]</f>
        <v>1.7363806062336444</v>
      </c>
      <c r="AD65">
        <v>10</v>
      </c>
    </row>
    <row r="66" spans="1:34">
      <c r="A66">
        <v>65</v>
      </c>
      <c r="B66" s="3">
        <v>11.593999999999999</v>
      </c>
      <c r="C66" s="3">
        <v>13.452</v>
      </c>
      <c r="D66" s="36">
        <f>$V$5/Table1[[#This Row],[Fallzeit '[s']]]</f>
        <v>4.3125754700707268E-5</v>
      </c>
      <c r="E66" s="35">
        <f>SQRT(($X$5/Table1[[#This Row],[Fallzeit '[s']]])^2+(Table1[[#This Row],[V_{fall}]]/Table1[[#This Row],[Fallzeit '[s']]] * $V$24)^2)</f>
        <v>1.5819212604452457E-6</v>
      </c>
      <c r="F66" s="36">
        <f>$V$5/Table1[[#This Row],[Steigzeit '[s']]]</f>
        <v>3.7169194171870358E-5</v>
      </c>
      <c r="G66" s="36">
        <f>SQRT(($X$5/Table1[[#This Row],[Steigzeit '[s']]])^2+(Table1[[#This Row],[V_{steig}]]/Table1[[#This Row],[Steigzeit '[s']]] * $V$24)^2)</f>
        <v>1.2732050370918331E-6</v>
      </c>
      <c r="H66" s="38">
        <f>SQRT((9 * $V$11)/(2 * ($W$14-$V$15) * $V$7) * Table1[[#This Row],[V_{fall}]] )</f>
        <v>6.4164108267057447E-7</v>
      </c>
      <c r="I66" s="38">
        <f>SQRT((Table1[[#This Row],[Delta V_{fall}]]/(2*Table1[[#This Row],[V_{fall}]]))^2+($X$14/(2*$V$16))^2)* Table1[[#This Row],[Radius]]</f>
        <v>1.1877352188720128E-8</v>
      </c>
      <c r="J66" s="27">
        <f>(Table1[[#This Row],[V_{fall}]]+Table1[[#This Row],[V_{steig}]])*SQRT((9*Table1[[#This Row],[V_{fall}]]*$V$11^3)/(2*($W$14-$V$15)*$V$7))*(6*3.141*$V$9)/$V$29</f>
        <v>2.1089165575050157E-19</v>
      </c>
      <c r="K66" s="27"/>
      <c r="L66" s="7">
        <f>1/(1+($V$18/(Table1[[#This Row],[Radius]]*$V$28)))</f>
        <v>0.89254095176404546</v>
      </c>
      <c r="M66" s="7">
        <f>$V$18/(Table1[[#This Row],[Radius]]*$V$28+$V$18)^2 * SQRT($V$28^2*Table1[[#This Row],[Delta R]]^2+Table1[[#This Row],[Radius]]^2*$X$28)</f>
        <v>1.7754098256052978E-3</v>
      </c>
      <c r="N66" s="3">
        <f>(Table1[[#This Row],[V_{fall}]]+Table1[[#This Row],[V_{steig}]])*SQRT((9 * Table1[[#This Row],[V_{fall}]] * $V$11^3*Table1[[#This Row],[Korrekturstherm]]^3)/(2*($W$14-$V$15)*$V$7))* 6 * PI() * $V$9 / $V$29 /$V$22</f>
        <v>1.7786215923151323</v>
      </c>
      <c r="O66" s="3"/>
      <c r="P66" s="7">
        <f>IF(Table1[[#This Row],[Q_{ges} korrigiert]]&lt;$V$20,Table1[[#This Row],[Q_{ges} korrigiert]], "")</f>
        <v>1.7786215923151323</v>
      </c>
      <c r="Q66" s="7">
        <f>Table1[[#This Row],[Q_{ges} korrigiert]]/Table1[[#Totals],[if Q&gt;q]]</f>
        <v>1.1267670937487124</v>
      </c>
      <c r="R66">
        <f>INT(Table1[[#This Row],[Abweichung von q]]+0.5)</f>
        <v>1</v>
      </c>
      <c r="S66" s="7">
        <f>Table1[[#This Row],[Q_{ges} korrigiert]]/Table1[[#This Row],[Anzahl Ladungen n]]</f>
        <v>1.7786215923151323</v>
      </c>
      <c r="AH66" s="37">
        <v>1.5144539662791172</v>
      </c>
    </row>
    <row r="67" spans="1:34">
      <c r="B67" s="3">
        <f>SUBTOTAL(101,Table1[Fallzeit '[s']])</f>
        <v>7.9738000000000024</v>
      </c>
      <c r="C67" s="3">
        <f>SUBTOTAL(101,Table1[Steigzeit '[s']])</f>
        <v>7.6915538461538464</v>
      </c>
      <c r="J67" s="27"/>
      <c r="K67" s="27"/>
      <c r="L67" s="7">
        <f>SUBTOTAL(101,Table1[Korrekturstherm])</f>
        <v>0.9107532264675009</v>
      </c>
      <c r="M67" s="7">
        <f>SUBTOTAL(101,Table1[Delta f_0])</f>
        <v>1.9876207665776181E-3</v>
      </c>
      <c r="N67" s="3"/>
      <c r="O67" s="3"/>
      <c r="P67" s="7">
        <f>AVERAGE(Table1[if Q&gt;q])</f>
        <v>1.5785175145625918</v>
      </c>
      <c r="S67" s="7">
        <f>SUBTOTAL(101,Table1[Q/n])</f>
        <v>1.5687792840356773</v>
      </c>
      <c r="U67" s="7">
        <f>AVERAGE(P42:P46)</f>
        <v>1.5103638209703794</v>
      </c>
      <c r="V67" cm="1">
        <f t="array" ref="V67">SQRT(1/20*SUM(($U$67-P42:P46)^2))</f>
        <v>4.0067596930412945E-2</v>
      </c>
      <c r="AH67" s="3">
        <v>1.6113890583409496</v>
      </c>
    </row>
    <row r="68" spans="1:34">
      <c r="AH68" s="37">
        <v>1.5472610752991776</v>
      </c>
    </row>
    <row r="69" spans="1:34">
      <c r="P69">
        <f>COUNT(Table1[if Q&gt;q])</f>
        <v>10</v>
      </c>
      <c r="AH69" s="3">
        <v>1.3671071852035903</v>
      </c>
    </row>
    <row r="70" spans="1:34">
      <c r="AH70" s="37">
        <v>1.511607819729063</v>
      </c>
    </row>
    <row r="71" spans="1:34">
      <c r="AH71" s="3">
        <v>1.6062674672108808</v>
      </c>
    </row>
    <row r="72" spans="1:34">
      <c r="AH72" s="37">
        <v>1.5062804648242198</v>
      </c>
    </row>
    <row r="73" spans="1:34">
      <c r="AH73" s="3">
        <v>1.6058059101901399</v>
      </c>
    </row>
    <row r="74" spans="1:34">
      <c r="AH74" s="37">
        <v>1.7363806062336444</v>
      </c>
    </row>
    <row r="75" spans="1:34">
      <c r="AH75" s="3">
        <v>1.7786215923151323</v>
      </c>
    </row>
    <row r="77" spans="1:34">
      <c r="N77">
        <v>1</v>
      </c>
      <c r="P77">
        <v>0</v>
      </c>
    </row>
    <row r="78" spans="1:34">
      <c r="N78">
        <v>1.1000000000000001</v>
      </c>
      <c r="P78">
        <v>0</v>
      </c>
    </row>
    <row r="79" spans="1:34">
      <c r="N79">
        <v>1.2</v>
      </c>
      <c r="P79">
        <v>0</v>
      </c>
    </row>
    <row r="80" spans="1:34">
      <c r="N80">
        <v>1.3</v>
      </c>
      <c r="P80">
        <v>0</v>
      </c>
    </row>
    <row r="81" spans="14:34">
      <c r="N81">
        <v>1.4</v>
      </c>
      <c r="P81">
        <v>1</v>
      </c>
      <c r="AH81" s="37">
        <v>3.2841508019791945</v>
      </c>
    </row>
    <row r="82" spans="14:34">
      <c r="N82">
        <v>1.5</v>
      </c>
      <c r="P82">
        <v>1</v>
      </c>
      <c r="AH82" s="3">
        <v>2.9727743386350727</v>
      </c>
    </row>
    <row r="83" spans="14:34">
      <c r="N83" s="1">
        <v>1.6</v>
      </c>
      <c r="O83" s="1"/>
      <c r="P83">
        <v>5</v>
      </c>
      <c r="AH83" s="37">
        <v>3.1689249049643475</v>
      </c>
    </row>
    <row r="84" spans="14:34">
      <c r="N84">
        <v>1.7</v>
      </c>
      <c r="P84">
        <v>8</v>
      </c>
      <c r="AH84" s="3">
        <v>3.2415035926072551</v>
      </c>
    </row>
    <row r="85" spans="14:34">
      <c r="N85">
        <v>1.8</v>
      </c>
      <c r="P85" s="1">
        <v>10</v>
      </c>
      <c r="AH85" s="37">
        <v>2.9342095972524622</v>
      </c>
    </row>
    <row r="86" spans="14:34">
      <c r="N86">
        <v>1.9</v>
      </c>
      <c r="P86">
        <v>10</v>
      </c>
      <c r="AH86" s="3">
        <v>3.4950565462577483</v>
      </c>
    </row>
    <row r="87" spans="14:34">
      <c r="N87">
        <v>2</v>
      </c>
      <c r="P87">
        <v>10</v>
      </c>
      <c r="AH87" s="37">
        <v>3.3293528421346985</v>
      </c>
    </row>
    <row r="88" spans="14:34">
      <c r="N88">
        <v>2.1</v>
      </c>
      <c r="P88">
        <v>10</v>
      </c>
      <c r="AH88" s="3">
        <v>3.1001911109698974</v>
      </c>
    </row>
    <row r="89" spans="14:34">
      <c r="N89">
        <v>2.2999999999999998</v>
      </c>
      <c r="P89">
        <v>10</v>
      </c>
      <c r="AH89" s="37">
        <v>3.3949175541626517</v>
      </c>
    </row>
    <row r="90" spans="14:34">
      <c r="N90">
        <v>2.4</v>
      </c>
      <c r="P90">
        <v>10</v>
      </c>
      <c r="AH90" s="3">
        <v>3.1670787388916524</v>
      </c>
    </row>
    <row r="91" spans="14:34">
      <c r="N91">
        <v>2.5</v>
      </c>
      <c r="P91">
        <v>10</v>
      </c>
      <c r="AH91" s="37">
        <v>2.9100536316781471</v>
      </c>
    </row>
    <row r="92" spans="14:34">
      <c r="N92">
        <v>2.6</v>
      </c>
      <c r="P92">
        <v>10</v>
      </c>
      <c r="AH92" s="3">
        <v>2.9051367319337982</v>
      </c>
    </row>
    <row r="93" spans="14:34">
      <c r="N93">
        <v>2.7</v>
      </c>
      <c r="P93">
        <v>10</v>
      </c>
      <c r="AH93" s="37">
        <v>2.9848549047949233</v>
      </c>
    </row>
    <row r="94" spans="14:34">
      <c r="N94">
        <v>2.8</v>
      </c>
      <c r="P94">
        <v>10</v>
      </c>
      <c r="AH94" s="3">
        <v>3.3383075604438628</v>
      </c>
    </row>
    <row r="95" spans="14:34">
      <c r="N95">
        <v>2.9</v>
      </c>
      <c r="P95">
        <v>10</v>
      </c>
      <c r="AH95" s="37">
        <v>3.5489488706147934</v>
      </c>
    </row>
    <row r="96" spans="14:34">
      <c r="N96">
        <v>3</v>
      </c>
      <c r="P96">
        <v>15</v>
      </c>
      <c r="Q96" t="s">
        <v>127</v>
      </c>
    </row>
    <row r="97" spans="14:16">
      <c r="N97">
        <v>3.1</v>
      </c>
      <c r="P97">
        <v>15</v>
      </c>
    </row>
    <row r="98" spans="14:16">
      <c r="N98" s="1">
        <v>3.2</v>
      </c>
      <c r="O98" s="1"/>
      <c r="P98">
        <v>18</v>
      </c>
    </row>
    <row r="99" spans="14:16">
      <c r="N99">
        <v>3.3</v>
      </c>
      <c r="P99">
        <v>20</v>
      </c>
    </row>
    <row r="100" spans="14:16">
      <c r="N100">
        <v>3.4</v>
      </c>
      <c r="P100">
        <v>23</v>
      </c>
    </row>
    <row r="101" spans="14:16">
      <c r="N101">
        <v>3.5</v>
      </c>
      <c r="P101">
        <v>24</v>
      </c>
    </row>
    <row r="102" spans="14:16">
      <c r="N102">
        <v>3.6</v>
      </c>
      <c r="P102" s="1">
        <v>25</v>
      </c>
    </row>
    <row r="103" spans="14:16">
      <c r="N103">
        <v>3.7</v>
      </c>
      <c r="P103">
        <v>25</v>
      </c>
    </row>
    <row r="104" spans="14:16">
      <c r="N104">
        <v>3.8</v>
      </c>
      <c r="P104">
        <v>25</v>
      </c>
    </row>
    <row r="105" spans="14:16">
      <c r="N105">
        <v>3.9</v>
      </c>
      <c r="P105">
        <v>25</v>
      </c>
    </row>
    <row r="106" spans="14:16">
      <c r="N106">
        <v>4</v>
      </c>
      <c r="P106">
        <v>25</v>
      </c>
    </row>
    <row r="107" spans="14:16">
      <c r="N107">
        <v>4.0999999999999996</v>
      </c>
      <c r="P107">
        <v>25</v>
      </c>
    </row>
    <row r="108" spans="14:16">
      <c r="N108">
        <v>4.2</v>
      </c>
      <c r="P108">
        <v>25</v>
      </c>
    </row>
    <row r="109" spans="14:16">
      <c r="N109">
        <v>4.3</v>
      </c>
      <c r="P109">
        <v>25</v>
      </c>
    </row>
    <row r="110" spans="14:16">
      <c r="N110">
        <v>4.4000000000000004</v>
      </c>
      <c r="P110">
        <v>29</v>
      </c>
    </row>
    <row r="111" spans="14:16">
      <c r="N111">
        <v>4.5</v>
      </c>
      <c r="P111">
        <v>30</v>
      </c>
    </row>
    <row r="112" spans="14:16">
      <c r="N112">
        <v>4.5999999999999996</v>
      </c>
      <c r="P112">
        <v>32</v>
      </c>
    </row>
    <row r="113" spans="14:16">
      <c r="N113">
        <v>4.7</v>
      </c>
      <c r="P113">
        <v>34</v>
      </c>
    </row>
    <row r="114" spans="14:16">
      <c r="N114" s="1">
        <v>4.8</v>
      </c>
      <c r="O114" s="1"/>
      <c r="P114">
        <v>36</v>
      </c>
    </row>
    <row r="115" spans="14:16">
      <c r="N115">
        <v>4.9000000000000004</v>
      </c>
      <c r="P115">
        <v>39</v>
      </c>
    </row>
    <row r="116" spans="14:16">
      <c r="N116">
        <v>5</v>
      </c>
      <c r="P116" s="1">
        <v>40</v>
      </c>
    </row>
    <row r="117" spans="14:16">
      <c r="N117">
        <v>5.0999999999999996</v>
      </c>
      <c r="P117">
        <v>40</v>
      </c>
    </row>
    <row r="118" spans="14:16">
      <c r="N118">
        <v>5.2</v>
      </c>
      <c r="P118">
        <v>40</v>
      </c>
    </row>
    <row r="119" spans="14:16">
      <c r="N119">
        <v>5.3</v>
      </c>
      <c r="P119">
        <v>40</v>
      </c>
    </row>
    <row r="120" spans="14:16">
      <c r="N120">
        <v>5.4</v>
      </c>
      <c r="P120">
        <v>40</v>
      </c>
    </row>
    <row r="121" spans="14:16">
      <c r="N121">
        <v>5.5</v>
      </c>
      <c r="P121">
        <v>40</v>
      </c>
    </row>
    <row r="122" spans="14:16">
      <c r="N122">
        <v>5.6</v>
      </c>
      <c r="P122">
        <v>41</v>
      </c>
    </row>
    <row r="123" spans="14:16">
      <c r="N123">
        <v>5.7</v>
      </c>
      <c r="P123">
        <v>41</v>
      </c>
    </row>
    <row r="124" spans="14:16">
      <c r="N124">
        <v>5.8</v>
      </c>
      <c r="P124">
        <v>42</v>
      </c>
    </row>
    <row r="125" spans="14:16">
      <c r="N125">
        <v>5.9</v>
      </c>
      <c r="P125">
        <v>42</v>
      </c>
    </row>
    <row r="126" spans="14:16">
      <c r="N126">
        <v>6</v>
      </c>
      <c r="P126">
        <v>42</v>
      </c>
    </row>
    <row r="127" spans="14:16">
      <c r="N127">
        <v>6.1</v>
      </c>
      <c r="P127">
        <v>45</v>
      </c>
    </row>
    <row r="128" spans="14:16">
      <c r="N128">
        <v>6.2</v>
      </c>
      <c r="P128">
        <v>45</v>
      </c>
    </row>
    <row r="129" spans="14:16">
      <c r="N129">
        <v>6.3</v>
      </c>
      <c r="P129">
        <v>49</v>
      </c>
    </row>
    <row r="130" spans="14:16">
      <c r="N130" s="1">
        <v>6.4</v>
      </c>
      <c r="O130" s="1"/>
      <c r="P130">
        <v>52</v>
      </c>
    </row>
    <row r="131" spans="14:16">
      <c r="N131">
        <v>6.4999999999999902</v>
      </c>
      <c r="P131">
        <v>53</v>
      </c>
    </row>
    <row r="132" spans="14:16">
      <c r="N132">
        <v>6.6</v>
      </c>
      <c r="P132">
        <v>55</v>
      </c>
    </row>
    <row r="133" spans="14:16">
      <c r="N133">
        <v>6.7</v>
      </c>
      <c r="P133">
        <v>55</v>
      </c>
    </row>
    <row r="134" spans="14:16">
      <c r="N134">
        <v>6.8</v>
      </c>
      <c r="P134">
        <v>56</v>
      </c>
    </row>
    <row r="135" spans="14:16">
      <c r="N135">
        <v>6.9000000000000297</v>
      </c>
      <c r="P135">
        <v>57</v>
      </c>
    </row>
    <row r="136" spans="14:16">
      <c r="N136">
        <v>7.00000000000004</v>
      </c>
      <c r="P136">
        <v>57</v>
      </c>
    </row>
    <row r="137" spans="14:16">
      <c r="N137">
        <v>7.1000000000000503</v>
      </c>
      <c r="P137">
        <v>58</v>
      </c>
    </row>
    <row r="138" spans="14:16">
      <c r="N138">
        <v>7.2000000000000597</v>
      </c>
      <c r="P138">
        <v>58</v>
      </c>
    </row>
    <row r="139" spans="14:16">
      <c r="N139">
        <v>7.30000000000007</v>
      </c>
      <c r="P139">
        <v>59</v>
      </c>
    </row>
    <row r="140" spans="14:16">
      <c r="N140">
        <v>7.4000000000000696</v>
      </c>
      <c r="P140">
        <v>59</v>
      </c>
    </row>
    <row r="141" spans="14:16">
      <c r="N141">
        <v>7.5000000000000799</v>
      </c>
      <c r="P141">
        <v>59</v>
      </c>
    </row>
    <row r="142" spans="14:16">
      <c r="N142">
        <v>7.6000000000000902</v>
      </c>
      <c r="P142">
        <v>59</v>
      </c>
    </row>
    <row r="143" spans="14:16">
      <c r="N143">
        <v>7.7000000000000997</v>
      </c>
      <c r="P143">
        <v>59</v>
      </c>
    </row>
    <row r="144" spans="14:16">
      <c r="N144">
        <v>7.80000000000011</v>
      </c>
      <c r="P144">
        <v>59</v>
      </c>
    </row>
    <row r="145" spans="14:16">
      <c r="N145">
        <v>7.9000000000001203</v>
      </c>
      <c r="P145">
        <v>60</v>
      </c>
    </row>
    <row r="146" spans="14:16">
      <c r="N146" s="1">
        <v>8.0000000000001297</v>
      </c>
      <c r="O146" s="1"/>
      <c r="P146">
        <v>60</v>
      </c>
    </row>
    <row r="147" spans="14:16">
      <c r="N147">
        <v>8.10000000000014</v>
      </c>
      <c r="P147">
        <v>60</v>
      </c>
    </row>
    <row r="148" spans="14:16">
      <c r="N148">
        <v>8.2000000000001503</v>
      </c>
      <c r="P148">
        <v>60</v>
      </c>
    </row>
    <row r="149" spans="14:16">
      <c r="N149">
        <v>8.3000000000001606</v>
      </c>
      <c r="P149">
        <v>60</v>
      </c>
    </row>
    <row r="150" spans="14:16">
      <c r="N150">
        <v>8.4000000000001709</v>
      </c>
      <c r="P150">
        <v>60</v>
      </c>
    </row>
    <row r="151" spans="14:16">
      <c r="N151">
        <v>8.5000000000001794</v>
      </c>
      <c r="P151">
        <v>60</v>
      </c>
    </row>
    <row r="152" spans="14:16">
      <c r="N152">
        <v>8.6000000000001897</v>
      </c>
      <c r="P152">
        <v>60</v>
      </c>
    </row>
    <row r="153" spans="14:16">
      <c r="N153">
        <v>8.7000000000002</v>
      </c>
      <c r="P153">
        <v>60</v>
      </c>
    </row>
    <row r="154" spans="14:16">
      <c r="N154">
        <v>8.8000000000002103</v>
      </c>
      <c r="P154">
        <v>60</v>
      </c>
    </row>
    <row r="155" spans="14:16">
      <c r="N155">
        <v>8.9000000000002206</v>
      </c>
      <c r="P155">
        <v>61</v>
      </c>
    </row>
    <row r="156" spans="14:16">
      <c r="N156">
        <v>9.0000000000002292</v>
      </c>
      <c r="P156">
        <v>61</v>
      </c>
    </row>
    <row r="157" spans="14:16">
      <c r="N157">
        <v>9.1000000000002395</v>
      </c>
      <c r="P157">
        <v>61</v>
      </c>
    </row>
    <row r="158" spans="14:16">
      <c r="N158">
        <v>9.2000000000002498</v>
      </c>
      <c r="P158">
        <v>61</v>
      </c>
    </row>
    <row r="159" spans="14:16">
      <c r="N159">
        <v>9.3000000000002601</v>
      </c>
      <c r="P159">
        <v>61</v>
      </c>
    </row>
    <row r="160" spans="14:16">
      <c r="N160">
        <v>9.4000000000002704</v>
      </c>
      <c r="P160">
        <v>62</v>
      </c>
    </row>
    <row r="161" spans="14:16">
      <c r="N161">
        <v>9.5000000000002807</v>
      </c>
      <c r="P161">
        <v>64</v>
      </c>
    </row>
    <row r="162" spans="14:16">
      <c r="N162" s="1">
        <v>9.6000000000002892</v>
      </c>
      <c r="O162" s="1"/>
      <c r="P162">
        <v>64</v>
      </c>
    </row>
    <row r="163" spans="14:16">
      <c r="N163">
        <v>9.7000000000002995</v>
      </c>
      <c r="P163">
        <v>64</v>
      </c>
    </row>
    <row r="164" spans="14:16">
      <c r="N164">
        <v>9.8000000000003098</v>
      </c>
      <c r="P164">
        <v>64</v>
      </c>
    </row>
    <row r="165" spans="14:16">
      <c r="N165">
        <v>9.9000000000003308</v>
      </c>
      <c r="P165">
        <v>65</v>
      </c>
    </row>
    <row r="166" spans="14:16">
      <c r="N166">
        <v>10.0000000000003</v>
      </c>
      <c r="P166">
        <v>65</v>
      </c>
    </row>
  </sheetData>
  <mergeCells count="4">
    <mergeCell ref="U1:X1"/>
    <mergeCell ref="U27:X27"/>
    <mergeCell ref="U40:X40"/>
    <mergeCell ref="U56:X56"/>
  </mergeCells>
  <phoneticPr fontId="27" type="noConversion"/>
  <printOptions gridLines="1"/>
  <pageMargins left="7.874015748031496E-2" right="7.874015748031496E-2" top="0.74803149606299213" bottom="0.74803149606299213" header="0.31496062992125984" footer="0"/>
  <pageSetup paperSize="9" scale="32" fitToHeight="0" orientation="landscape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9511-0AAD-4DE0-8A01-F903BAF3E397}">
  <dimension ref="B1:R25"/>
  <sheetViews>
    <sheetView zoomScaleNormal="100" workbookViewId="0">
      <selection activeCell="D66" sqref="D66"/>
    </sheetView>
  </sheetViews>
  <sheetFormatPr defaultRowHeight="12.75"/>
  <cols>
    <col min="2" max="2" width="18.7109375" bestFit="1" customWidth="1"/>
    <col min="3" max="3" width="21.42578125" bestFit="1" customWidth="1"/>
    <col min="5" max="5" width="16.85546875" bestFit="1" customWidth="1"/>
  </cols>
  <sheetData>
    <row r="1" spans="2:6">
      <c r="B1" t="s">
        <v>128</v>
      </c>
      <c r="C1" t="s">
        <v>130</v>
      </c>
      <c r="E1" t="s">
        <v>129</v>
      </c>
    </row>
    <row r="2" spans="2:6">
      <c r="B2" s="37">
        <v>1.5144539662791172</v>
      </c>
      <c r="C2" cm="1">
        <f t="array" ref="C2">SQRT(1/(COUNT($B$2:$B$11)-1) * SUM(($B$2:$B$11 - $B$19)^2))</f>
        <v>0.11880337707265934</v>
      </c>
      <c r="E2" s="37">
        <v>3.2841508019791945</v>
      </c>
      <c r="F2" cm="1">
        <f t="array" ref="F2">SQRT(1/(COUNT($E$2:$E$16)-1) * SUM(($E$2:$E$16 - $E$19)^2))</f>
        <v>0.21376027879305068</v>
      </c>
    </row>
    <row r="3" spans="2:6">
      <c r="B3" s="3">
        <v>1.6113890583409496</v>
      </c>
      <c r="E3" s="3">
        <v>2.9727743386350727</v>
      </c>
    </row>
    <row r="4" spans="2:6">
      <c r="B4" s="37">
        <v>1.5472610752991776</v>
      </c>
      <c r="E4" s="37">
        <v>3.1689249049643475</v>
      </c>
    </row>
    <row r="5" spans="2:6">
      <c r="B5" s="3">
        <v>1.3671071852035903</v>
      </c>
      <c r="E5" s="3">
        <v>3.2415035926072551</v>
      </c>
    </row>
    <row r="6" spans="2:6">
      <c r="B6" s="37">
        <v>1.511607819729063</v>
      </c>
      <c r="E6" s="37">
        <v>2.9342095972524622</v>
      </c>
    </row>
    <row r="7" spans="2:6">
      <c r="B7" s="3">
        <v>1.6062674672108808</v>
      </c>
      <c r="E7" s="3">
        <v>3.4950565462577483</v>
      </c>
    </row>
    <row r="8" spans="2:6">
      <c r="B8" s="37">
        <v>1.5062804648242198</v>
      </c>
      <c r="E8" s="37">
        <v>3.3293528421346985</v>
      </c>
    </row>
    <row r="9" spans="2:6">
      <c r="B9" s="3">
        <v>1.6058059101901399</v>
      </c>
      <c r="E9" s="3">
        <v>3.1001911109698974</v>
      </c>
    </row>
    <row r="10" spans="2:6">
      <c r="B10" s="37">
        <v>1.7363806062336444</v>
      </c>
      <c r="E10" s="37">
        <v>3.3949175541626517</v>
      </c>
    </row>
    <row r="11" spans="2:6">
      <c r="B11" s="3">
        <v>1.7786215923151323</v>
      </c>
      <c r="E11" s="3">
        <v>3.1670787388916524</v>
      </c>
    </row>
    <row r="12" spans="2:6">
      <c r="E12" s="37">
        <v>2.9100536316781471</v>
      </c>
    </row>
    <row r="13" spans="2:6">
      <c r="E13" s="3">
        <v>2.9051367319337982</v>
      </c>
    </row>
    <row r="14" spans="2:6">
      <c r="E14" s="37">
        <v>2.9848549047949233</v>
      </c>
    </row>
    <row r="15" spans="2:6">
      <c r="E15" s="3">
        <v>3.3383075604438628</v>
      </c>
    </row>
    <row r="16" spans="2:6">
      <c r="E16" s="37">
        <v>3.5489488706147934</v>
      </c>
    </row>
    <row r="18" spans="2:18">
      <c r="B18" t="s">
        <v>131</v>
      </c>
    </row>
    <row r="19" spans="2:18">
      <c r="B19" s="2">
        <f>AVERAGE(B2:B11)</f>
        <v>1.5785175145625918</v>
      </c>
      <c r="E19" s="2">
        <f>AVERAGE(E2:E16)</f>
        <v>3.1850307818213675</v>
      </c>
    </row>
    <row r="20" spans="2:18">
      <c r="B20" t="s">
        <v>132</v>
      </c>
    </row>
    <row r="21" spans="2:18">
      <c r="B21" cm="1">
        <f t="array" ref="B21">SQRT(1/(COUNT(B2:B11)*(COUNT(B2:B11)-1))*SUM((B2:B11-$B$19)^2))</f>
        <v>3.7568926526943089E-2</v>
      </c>
      <c r="E21" cm="1">
        <f t="array" ref="E21">SQRT(1/(COUNT(E2:E16)*(COUNT(E2:E16)-1))*SUM((E2:E16-$E$19)^2))</f>
        <v>5.5192666656409317E-2</v>
      </c>
      <c r="R21" s="54"/>
    </row>
    <row r="22" spans="2:18">
      <c r="R22" s="55"/>
    </row>
    <row r="23" spans="2:18">
      <c r="R23" s="54"/>
    </row>
    <row r="24" spans="2:18">
      <c r="R24" s="55"/>
    </row>
    <row r="25" spans="2:18">
      <c r="R25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CA79-7707-433C-B776-E673C837166D}">
  <sheetPr>
    <pageSetUpPr fitToPage="1"/>
  </sheetPr>
  <dimension ref="A1:Q128"/>
  <sheetViews>
    <sheetView zoomScale="40" zoomScaleNormal="40" workbookViewId="0">
      <selection sqref="A1:Q92"/>
    </sheetView>
  </sheetViews>
  <sheetFormatPr defaultColWidth="11.7109375" defaultRowHeight="12.75"/>
  <cols>
    <col min="1" max="1" width="4.5703125" customWidth="1"/>
    <col min="2" max="2" width="20.42578125" customWidth="1"/>
    <col min="3" max="3" width="19.7109375" style="3" customWidth="1"/>
    <col min="4" max="4" width="20.42578125" customWidth="1"/>
    <col min="5" max="5" width="9.140625" style="3" customWidth="1"/>
    <col min="6" max="6" width="21.28515625" customWidth="1"/>
    <col min="7" max="7" width="23.7109375" customWidth="1"/>
    <col min="8" max="8" width="24.7109375" customWidth="1"/>
    <col min="9" max="9" width="15.85546875" customWidth="1"/>
    <col min="10" max="10" width="14.5703125" customWidth="1"/>
    <col min="11" max="11" width="27.85546875" customWidth="1"/>
    <col min="12" max="12" width="29.5703125" customWidth="1"/>
    <col min="13" max="13" width="8.5703125" customWidth="1"/>
    <col min="14" max="14" width="10.42578125" customWidth="1"/>
    <col min="15" max="15" width="14.5703125" customWidth="1"/>
    <col min="16" max="16" width="6.140625" customWidth="1"/>
    <col min="17" max="17" width="2.42578125" customWidth="1"/>
    <col min="18" max="18" width="11.7109375" customWidth="1"/>
  </cols>
  <sheetData>
    <row r="1" spans="1:17" ht="24.6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>
      <c r="A2" s="57"/>
      <c r="B2" s="58" t="s">
        <v>1</v>
      </c>
      <c r="C2" s="59" t="s">
        <v>2</v>
      </c>
      <c r="D2" s="58" t="s">
        <v>3</v>
      </c>
      <c r="E2" s="60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25.5">
      <c r="A3" s="57"/>
      <c r="B3" s="61" t="s">
        <v>4</v>
      </c>
      <c r="C3" s="60"/>
      <c r="D3" s="62" t="s">
        <v>5</v>
      </c>
      <c r="E3" s="60"/>
      <c r="F3" s="57"/>
      <c r="G3" s="57"/>
      <c r="H3" s="58" t="s">
        <v>6</v>
      </c>
      <c r="I3" s="63" t="s">
        <v>7</v>
      </c>
      <c r="J3" s="57"/>
      <c r="K3" s="57"/>
      <c r="L3" s="57"/>
      <c r="M3" s="57"/>
      <c r="N3" s="57"/>
      <c r="O3" s="57"/>
      <c r="P3" s="57"/>
      <c r="Q3" s="57"/>
    </row>
    <row r="4" spans="1:17" ht="25.5">
      <c r="A4" s="57"/>
      <c r="B4" s="64">
        <v>500</v>
      </c>
      <c r="C4" s="60" t="s">
        <v>8</v>
      </c>
      <c r="D4" s="62" t="s">
        <v>9</v>
      </c>
      <c r="E4" s="60"/>
      <c r="F4" s="57"/>
      <c r="G4" s="57"/>
      <c r="H4" s="57"/>
      <c r="I4" s="57"/>
      <c r="J4" s="57"/>
      <c r="K4" s="64"/>
      <c r="L4" s="57"/>
      <c r="M4" s="57"/>
      <c r="N4" s="57"/>
      <c r="O4" s="57"/>
      <c r="P4" s="57"/>
      <c r="Q4" s="57"/>
    </row>
    <row r="5" spans="1:17" ht="25.5">
      <c r="A5" s="57"/>
      <c r="B5" s="65">
        <v>100710</v>
      </c>
      <c r="C5" s="60" t="s">
        <v>10</v>
      </c>
      <c r="D5" s="62" t="s">
        <v>11</v>
      </c>
      <c r="E5" s="60"/>
      <c r="F5" s="57"/>
      <c r="G5" s="57"/>
      <c r="H5" s="57"/>
      <c r="I5" s="57"/>
      <c r="J5" s="57"/>
      <c r="K5" s="64"/>
      <c r="L5" s="66" t="s">
        <v>12</v>
      </c>
      <c r="M5" s="57"/>
      <c r="N5" s="57"/>
      <c r="O5" s="57"/>
      <c r="P5" s="57"/>
      <c r="Q5" s="57"/>
    </row>
    <row r="6" spans="1:17">
      <c r="A6" s="57"/>
      <c r="B6" s="67">
        <v>23</v>
      </c>
      <c r="C6" s="68" t="s">
        <v>13</v>
      </c>
      <c r="D6" s="62" t="s">
        <v>14</v>
      </c>
      <c r="E6" s="60"/>
      <c r="F6" s="57"/>
      <c r="G6" s="57"/>
      <c r="H6" s="57"/>
      <c r="I6" s="57" t="s">
        <v>15</v>
      </c>
      <c r="J6" s="57"/>
      <c r="K6" s="57"/>
      <c r="L6" s="69"/>
      <c r="M6" s="57"/>
      <c r="N6" s="57"/>
      <c r="O6" s="57"/>
      <c r="P6" s="57"/>
      <c r="Q6" s="57"/>
    </row>
    <row r="7" spans="1:17" ht="25.5">
      <c r="A7" s="57"/>
      <c r="B7" s="70">
        <v>6.0000000000000001E-3</v>
      </c>
      <c r="C7" s="60" t="s">
        <v>16</v>
      </c>
      <c r="D7" s="62" t="s">
        <v>17</v>
      </c>
      <c r="E7" s="60"/>
      <c r="F7" s="57"/>
      <c r="G7" s="57"/>
      <c r="H7" s="57"/>
      <c r="I7" s="57"/>
      <c r="J7" s="57"/>
      <c r="K7" s="57"/>
      <c r="L7" s="57"/>
      <c r="M7" s="71"/>
      <c r="N7" s="57"/>
      <c r="O7" s="57"/>
      <c r="P7" s="57"/>
      <c r="Q7" s="57"/>
    </row>
    <row r="8" spans="1:17">
      <c r="A8" s="57"/>
      <c r="B8" s="70">
        <v>5.0000000000000002E-5</v>
      </c>
      <c r="C8" s="60" t="s">
        <v>16</v>
      </c>
      <c r="D8" s="62" t="s">
        <v>18</v>
      </c>
      <c r="E8" s="60"/>
      <c r="F8" s="57"/>
      <c r="G8" s="57"/>
      <c r="H8" s="72" t="s">
        <v>19</v>
      </c>
      <c r="I8" s="73">
        <f>SQRT(B11)*B11*6*B9*B7*SQRT(9/(2*I10*B14))</f>
        <v>1.9987356090762578E-10</v>
      </c>
      <c r="J8" s="57" t="s">
        <v>20</v>
      </c>
      <c r="K8" s="57"/>
      <c r="L8" s="57"/>
      <c r="M8" s="57"/>
      <c r="N8" s="57"/>
      <c r="O8" s="57"/>
      <c r="P8" s="57"/>
      <c r="Q8" s="57"/>
    </row>
    <row r="9" spans="1:17">
      <c r="A9" s="57"/>
      <c r="B9" s="74">
        <v>3.1415926500000002</v>
      </c>
      <c r="C9" s="60"/>
      <c r="D9" s="62" t="s">
        <v>21</v>
      </c>
      <c r="E9" s="60"/>
      <c r="F9" s="57"/>
      <c r="G9" s="57"/>
      <c r="H9" s="72" t="s">
        <v>22</v>
      </c>
      <c r="I9" s="73">
        <f>9*B11/(2*I10*B14)</f>
        <v>9.5334217009541517E-9</v>
      </c>
      <c r="J9" s="57" t="s">
        <v>23</v>
      </c>
      <c r="K9" s="57"/>
      <c r="L9" s="57"/>
      <c r="M9" s="57"/>
      <c r="N9" s="57"/>
      <c r="O9" s="57"/>
      <c r="P9" s="57"/>
      <c r="Q9" s="57"/>
    </row>
    <row r="10" spans="1:17" ht="25.5">
      <c r="A10" s="57"/>
      <c r="B10" s="70">
        <v>9.9999999999999998E-20</v>
      </c>
      <c r="C10" s="60" t="s">
        <v>24</v>
      </c>
      <c r="D10" s="62" t="s">
        <v>25</v>
      </c>
      <c r="E10" s="60"/>
      <c r="F10" s="57"/>
      <c r="G10" s="57"/>
      <c r="H10" s="75" t="s">
        <v>26</v>
      </c>
      <c r="I10" s="73">
        <f>B12-B13</f>
        <v>870.91000000000008</v>
      </c>
      <c r="J10" s="57" t="s">
        <v>27</v>
      </c>
      <c r="K10" s="57"/>
      <c r="L10" s="57"/>
      <c r="M10" s="57"/>
      <c r="N10" s="57"/>
      <c r="O10" s="57"/>
      <c r="P10" s="57"/>
      <c r="Q10" s="57"/>
    </row>
    <row r="11" spans="1:17" ht="25.5">
      <c r="A11" s="57"/>
      <c r="B11" s="70">
        <v>1.8099999999999999E-5</v>
      </c>
      <c r="C11" s="60" t="s">
        <v>28</v>
      </c>
      <c r="D11" s="62" t="s">
        <v>29</v>
      </c>
      <c r="E11" s="60"/>
      <c r="F11" s="57"/>
      <c r="G11" s="57"/>
      <c r="H11" s="76" t="s">
        <v>30</v>
      </c>
      <c r="I11" s="77">
        <v>7.7799999999999996E-3</v>
      </c>
      <c r="J11" s="57" t="s">
        <v>31</v>
      </c>
      <c r="K11" s="57"/>
      <c r="L11" s="57"/>
      <c r="M11" s="57"/>
      <c r="N11" s="57"/>
      <c r="O11" s="57"/>
      <c r="P11" s="57"/>
      <c r="Q11" s="57"/>
    </row>
    <row r="12" spans="1:17">
      <c r="A12" s="57"/>
      <c r="B12" s="78">
        <f>877-0.6*(B6-15)</f>
        <v>872.2</v>
      </c>
      <c r="C12" s="60" t="s">
        <v>27</v>
      </c>
      <c r="D12" s="62" t="s">
        <v>32</v>
      </c>
      <c r="E12" s="79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 spans="1:17">
      <c r="A13" s="57"/>
      <c r="B13" s="70">
        <v>1.29</v>
      </c>
      <c r="C13" s="60" t="s">
        <v>27</v>
      </c>
      <c r="D13" s="62" t="s">
        <v>33</v>
      </c>
      <c r="E13" s="60"/>
      <c r="F13" s="57"/>
      <c r="G13" s="57"/>
      <c r="H13" s="57"/>
      <c r="I13" s="57"/>
      <c r="J13" s="57"/>
      <c r="K13" s="57"/>
      <c r="L13" s="80"/>
      <c r="M13" s="57"/>
      <c r="N13" s="57"/>
      <c r="O13" s="57"/>
      <c r="P13" s="57"/>
      <c r="Q13" s="57"/>
    </row>
    <row r="14" spans="1:17">
      <c r="A14" s="57"/>
      <c r="B14" s="57">
        <v>9.81</v>
      </c>
      <c r="C14" s="60" t="s">
        <v>34</v>
      </c>
      <c r="D14" s="62" t="s">
        <v>35</v>
      </c>
      <c r="E14" s="60"/>
      <c r="F14" s="57"/>
      <c r="G14" s="57"/>
      <c r="H14" s="57"/>
      <c r="I14" s="81"/>
      <c r="J14" s="57"/>
      <c r="K14" s="57"/>
      <c r="L14" s="57"/>
      <c r="M14" s="82"/>
      <c r="N14" s="57"/>
      <c r="O14" s="57"/>
      <c r="P14" s="57"/>
      <c r="Q14" s="57"/>
    </row>
    <row r="15" spans="1:17">
      <c r="A15" s="57"/>
      <c r="B15" s="57"/>
      <c r="C15" s="60"/>
      <c r="D15" s="62"/>
      <c r="E15" s="60"/>
      <c r="F15" s="57"/>
      <c r="G15" s="57"/>
      <c r="H15" s="57"/>
      <c r="I15" s="57"/>
      <c r="J15" s="57"/>
      <c r="K15" s="57"/>
      <c r="L15" s="57"/>
      <c r="M15" s="82"/>
      <c r="N15" s="57"/>
      <c r="O15" s="57"/>
      <c r="P15" s="57"/>
      <c r="Q15" s="57"/>
    </row>
    <row r="16" spans="1:17" ht="41.25" customHeight="1">
      <c r="A16" s="57"/>
      <c r="B16" s="60">
        <v>2.4</v>
      </c>
      <c r="C16" s="60"/>
      <c r="D16" s="62" t="s">
        <v>36</v>
      </c>
      <c r="E16" s="60"/>
      <c r="F16" s="57"/>
      <c r="G16" s="57"/>
      <c r="H16" s="57"/>
      <c r="I16" s="57"/>
      <c r="J16" s="76" t="s">
        <v>37</v>
      </c>
      <c r="K16" s="62" t="s">
        <v>38</v>
      </c>
      <c r="L16" s="57"/>
      <c r="M16" s="82"/>
      <c r="N16" s="57"/>
      <c r="O16" s="57"/>
      <c r="P16" s="57"/>
      <c r="Q16" s="57"/>
    </row>
    <row r="17" spans="1:17" ht="38.25">
      <c r="A17" s="57"/>
      <c r="B17" s="60">
        <f>IF(ISERROR(AVERAGE(L28:L127))," ",AVERAGE(L28:L127))</f>
        <v>1.5772453210589414</v>
      </c>
      <c r="C17" s="60"/>
      <c r="D17" s="62" t="s">
        <v>39</v>
      </c>
      <c r="E17" s="60"/>
      <c r="F17" s="57"/>
      <c r="G17" s="57"/>
      <c r="H17" s="57"/>
      <c r="I17" s="57"/>
      <c r="J17" s="76" t="s">
        <v>40</v>
      </c>
      <c r="K17" s="62" t="s">
        <v>41</v>
      </c>
      <c r="L17" s="57"/>
      <c r="M17" s="82"/>
      <c r="N17" s="57"/>
      <c r="O17" s="57"/>
      <c r="P17" s="57"/>
      <c r="Q17" s="57"/>
    </row>
    <row r="18" spans="1:17" ht="25.5">
      <c r="A18" s="57"/>
      <c r="B18" s="60"/>
      <c r="C18" s="60"/>
      <c r="D18" s="62"/>
      <c r="E18" s="60"/>
      <c r="F18" s="57"/>
      <c r="G18" s="57"/>
      <c r="H18" s="57"/>
      <c r="I18" s="57"/>
      <c r="J18" s="76" t="s">
        <v>42</v>
      </c>
      <c r="K18" s="62" t="s">
        <v>43</v>
      </c>
      <c r="L18" s="57"/>
      <c r="M18" s="82"/>
      <c r="N18" s="57"/>
      <c r="O18" s="57"/>
      <c r="P18" s="57"/>
      <c r="Q18" s="57"/>
    </row>
    <row r="19" spans="1:17" ht="25.5">
      <c r="A19" s="57"/>
      <c r="B19" s="60">
        <f>IF(ISERROR(AVERAGE(O28:O127))," ",AVERAGE(O28:O127))</f>
        <v>1.5677827371509878</v>
      </c>
      <c r="C19" s="60"/>
      <c r="D19" s="62" t="s">
        <v>44</v>
      </c>
      <c r="E19" s="60"/>
      <c r="F19" s="57"/>
      <c r="G19" s="57"/>
      <c r="H19" s="57"/>
      <c r="I19" s="57"/>
      <c r="J19" s="76" t="s">
        <v>45</v>
      </c>
      <c r="K19" s="62" t="s">
        <v>46</v>
      </c>
      <c r="L19" s="57"/>
      <c r="M19" s="82"/>
      <c r="N19" s="57"/>
      <c r="O19" s="57"/>
      <c r="P19" s="57"/>
      <c r="Q19" s="57"/>
    </row>
    <row r="20" spans="1:17" ht="25.5">
      <c r="A20" s="57"/>
      <c r="B20" s="83">
        <f>SUM(Q28:Q127)</f>
        <v>60</v>
      </c>
      <c r="C20" s="60"/>
      <c r="D20" s="62" t="s">
        <v>47</v>
      </c>
      <c r="E20" s="60"/>
      <c r="F20" s="57"/>
      <c r="G20" s="57"/>
      <c r="H20" s="57"/>
      <c r="I20" s="57"/>
      <c r="J20" s="76"/>
      <c r="K20" s="57"/>
      <c r="L20" s="57"/>
      <c r="M20" s="82"/>
      <c r="N20" s="57"/>
      <c r="O20" s="57"/>
      <c r="P20" s="57"/>
      <c r="Q20" s="57"/>
    </row>
    <row r="21" spans="1:17" ht="25.5">
      <c r="A21" s="57"/>
      <c r="B21" s="60">
        <f>IF(ISERROR(_xlfn.STDEV.S(O28:O92))," ",_xlfn.STDEV.S(O28:O127))</f>
        <v>9.6820015149712849E-2</v>
      </c>
      <c r="C21" s="60"/>
      <c r="D21" s="62" t="s">
        <v>48</v>
      </c>
      <c r="E21" s="60"/>
      <c r="F21" s="57"/>
      <c r="G21" s="57"/>
      <c r="H21" s="57"/>
      <c r="I21" s="57"/>
      <c r="J21" s="76"/>
      <c r="K21" s="57"/>
      <c r="L21" s="57"/>
      <c r="M21" s="57"/>
      <c r="N21" s="57"/>
      <c r="O21" s="57"/>
      <c r="P21" s="57"/>
      <c r="Q21" s="57"/>
    </row>
    <row r="22" spans="1:17" ht="25.5">
      <c r="A22" s="57"/>
      <c r="B22" s="60">
        <f>IF(ISERROR(B21/SQRT(B20))," ",B21/SQRT(B20))</f>
        <v>1.2499410208479588E-2</v>
      </c>
      <c r="C22" s="60"/>
      <c r="D22" s="62" t="s">
        <v>49</v>
      </c>
      <c r="E22" s="60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</row>
    <row r="23" spans="1:17" ht="25.5">
      <c r="A23" s="57"/>
      <c r="B23" s="84">
        <f>IF(ISERROR(AVERAGE(P28:P127))," ",AVERAGE(P28:P127))</f>
        <v>0.90909956190521912</v>
      </c>
      <c r="C23" s="60"/>
      <c r="D23" s="62" t="s">
        <v>50</v>
      </c>
      <c r="E23" s="60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7">
      <c r="A24" s="57"/>
      <c r="B24" s="57"/>
      <c r="C24" s="60"/>
      <c r="D24" s="57"/>
      <c r="E24" s="60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spans="1:17">
      <c r="A25" s="76" t="s">
        <v>51</v>
      </c>
      <c r="B25" s="85" t="s">
        <v>52</v>
      </c>
      <c r="C25" s="86" t="s">
        <v>53</v>
      </c>
      <c r="D25" s="85" t="s">
        <v>54</v>
      </c>
      <c r="E25" s="86" t="s">
        <v>55</v>
      </c>
      <c r="F25" s="85" t="s">
        <v>56</v>
      </c>
      <c r="G25" s="85" t="s">
        <v>57</v>
      </c>
      <c r="H25" s="85" t="s">
        <v>58</v>
      </c>
      <c r="I25" s="85" t="s">
        <v>59</v>
      </c>
      <c r="J25" s="85" t="s">
        <v>37</v>
      </c>
      <c r="K25" s="85" t="s">
        <v>40</v>
      </c>
      <c r="L25" s="85" t="s">
        <v>42</v>
      </c>
      <c r="M25" s="85" t="s">
        <v>60</v>
      </c>
      <c r="N25" s="85" t="s">
        <v>45</v>
      </c>
      <c r="O25" s="85" t="s">
        <v>61</v>
      </c>
      <c r="P25" s="85" t="s">
        <v>37</v>
      </c>
      <c r="Q25" s="87"/>
    </row>
    <row r="26" spans="1:17">
      <c r="A26" s="87"/>
      <c r="B26" s="88" t="s">
        <v>62</v>
      </c>
      <c r="C26" s="89" t="s">
        <v>63</v>
      </c>
      <c r="D26" s="88" t="s">
        <v>62</v>
      </c>
      <c r="E26" s="89" t="s">
        <v>63</v>
      </c>
      <c r="F26" s="88" t="s">
        <v>64</v>
      </c>
      <c r="G26" s="88" t="s">
        <v>64</v>
      </c>
      <c r="H26" s="88" t="s">
        <v>64</v>
      </c>
      <c r="I26" s="88" t="s">
        <v>65</v>
      </c>
      <c r="J26" s="90"/>
      <c r="K26" s="88"/>
      <c r="L26" s="88"/>
      <c r="M26" s="88"/>
      <c r="N26" s="88"/>
      <c r="O26" s="88" t="s">
        <v>66</v>
      </c>
      <c r="P26" s="88" t="s">
        <v>66</v>
      </c>
      <c r="Q26" s="87"/>
    </row>
    <row r="27" spans="1:17">
      <c r="A27" s="8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 spans="1:17">
      <c r="A28" s="91">
        <v>1</v>
      </c>
      <c r="B28" s="57">
        <f>Tabelle2!B5</f>
        <v>10</v>
      </c>
      <c r="C28" s="57">
        <f>Tabelle2!E5</f>
        <v>4.62</v>
      </c>
      <c r="D28" s="57">
        <f>Tabelle2!B5</f>
        <v>10</v>
      </c>
      <c r="E28" s="57">
        <f>Tabelle2!H5</f>
        <v>3.42</v>
      </c>
      <c r="F28" s="57">
        <f>IF(E28=""," ",B28*$B$8/C28)</f>
        <v>1.0822510822510823E-4</v>
      </c>
      <c r="G28" s="57">
        <f t="shared" ref="G28:G59" si="0">IF(E28=""," ",D28*$B$8/E28)</f>
        <v>1.4619883040935673E-4</v>
      </c>
      <c r="H28" s="57">
        <f>IF(E28=""," ",F28+G28)</f>
        <v>2.5442393863446495E-4</v>
      </c>
      <c r="I28" s="57">
        <f>IF(E28=""," ",SQRT($I$9)*SQRT(F28))</f>
        <v>1.0157537080126061E-6</v>
      </c>
      <c r="J28" s="57">
        <f>IF(E28=""," ",1/(1+($I$11/(I28*$B$5))))</f>
        <v>0.92932191660621799</v>
      </c>
      <c r="K28" s="57">
        <f>IF(E28=""," ",H28*SQRT(F28)*J28*SQRT(J28)*$I$8/$B$4/$B$10)</f>
        <v>9.4788707295107475</v>
      </c>
      <c r="L28" s="57" t="str">
        <f t="shared" ref="L28:L59" si="1">IF(K28&lt;$B$16,K28," ")</f>
        <v xml:space="preserve"> </v>
      </c>
      <c r="M28" s="57">
        <f>IF(ISERROR(K28/$B$17)," ",K28/$B$17)</f>
        <v>6.0097630995961744</v>
      </c>
      <c r="N28" s="57">
        <f>IF(M28=" "," ",INT(M28+0.5))</f>
        <v>6</v>
      </c>
      <c r="O28" s="57" t="str">
        <f t="shared" ref="O28:O59" si="2">IF(N28&lt;6,K28/N28," ")</f>
        <v xml:space="preserve"> </v>
      </c>
      <c r="P28" s="57" t="str">
        <f t="shared" ref="P28:P59" si="3">IF(N28&lt;6,J28," ")</f>
        <v xml:space="preserve"> </v>
      </c>
      <c r="Q28" s="57" t="str">
        <f t="shared" ref="Q28:Q59" si="4">IF(N28&lt;6,1," ")</f>
        <v xml:space="preserve"> </v>
      </c>
    </row>
    <row r="29" spans="1:17">
      <c r="A29" s="91">
        <v>2</v>
      </c>
      <c r="B29" s="57">
        <f>Tabelle2!B6</f>
        <v>10</v>
      </c>
      <c r="C29" s="57">
        <f>Tabelle2!E6</f>
        <v>4.4109999999999996</v>
      </c>
      <c r="D29" s="57">
        <f>Tabelle2!B6</f>
        <v>10</v>
      </c>
      <c r="E29" s="57">
        <f>Tabelle2!H6</f>
        <v>3.46</v>
      </c>
      <c r="F29" s="57">
        <f t="shared" ref="F29:F59" si="5">IF(E29=""," ",B29*$B$8/C29)</f>
        <v>1.1335298118340514E-4</v>
      </c>
      <c r="G29" s="57">
        <f t="shared" si="0"/>
        <v>1.4450867052023122E-4</v>
      </c>
      <c r="H29" s="57">
        <f t="shared" ref="H29:H59" si="6">IF(E29=""," ",F29+G29)</f>
        <v>2.5786165170363633E-4</v>
      </c>
      <c r="I29" s="57">
        <f>IF(E29=""," ",SQRT($I$9)*SQRT(F29))</f>
        <v>1.0395392107475899E-6</v>
      </c>
      <c r="J29" s="57">
        <f t="shared" ref="J29:J59" si="7">IF(E29=""," ",1/(1+($I$11/(I29*$B$5))))</f>
        <v>0.93082722436732213</v>
      </c>
      <c r="K29" s="57">
        <f>IF(E29=""," ",H29*SQRT(F29)*J29*SQRT(J29)*$I$8/$B$4/$B$10)</f>
        <v>9.8558070860844893</v>
      </c>
      <c r="L29" s="57" t="str">
        <f t="shared" si="1"/>
        <v xml:space="preserve"> </v>
      </c>
      <c r="M29" s="57">
        <f>IF(ISERROR(K29/$B$17)," ",K29/$B$17)</f>
        <v>6.2487470747210283</v>
      </c>
      <c r="N29" s="57">
        <f t="shared" ref="N29:N59" si="8">IF(M29=" "," ",INT(M29+0.5))</f>
        <v>6</v>
      </c>
      <c r="O29" s="57" t="str">
        <f t="shared" si="2"/>
        <v xml:space="preserve"> </v>
      </c>
      <c r="P29" s="57" t="str">
        <f t="shared" si="3"/>
        <v xml:space="preserve"> </v>
      </c>
      <c r="Q29" s="57" t="str">
        <f t="shared" si="4"/>
        <v xml:space="preserve"> </v>
      </c>
    </row>
    <row r="30" spans="1:17">
      <c r="A30" s="91">
        <v>3</v>
      </c>
      <c r="B30" s="57">
        <f>Tabelle2!B7</f>
        <v>10</v>
      </c>
      <c r="C30" s="57">
        <f>Tabelle2!E7</f>
        <v>4.5570000000000004</v>
      </c>
      <c r="D30" s="57">
        <f>Tabelle2!B7</f>
        <v>10</v>
      </c>
      <c r="E30" s="57">
        <f>Tabelle2!H7</f>
        <v>3.52</v>
      </c>
      <c r="F30" s="57">
        <f t="shared" si="5"/>
        <v>1.097213078779899E-4</v>
      </c>
      <c r="G30" s="57">
        <f t="shared" si="0"/>
        <v>1.4204545454545454E-4</v>
      </c>
      <c r="H30" s="57">
        <f t="shared" si="6"/>
        <v>2.5176676242344442E-4</v>
      </c>
      <c r="I30" s="57">
        <f t="shared" ref="I30:I59" si="9">IF(E30=""," ",SQRT($I$9)*SQRT(F30))</f>
        <v>1.0227509460181891E-6</v>
      </c>
      <c r="J30" s="57">
        <f>IF(E30=""," ",1/(1+($I$11/(I30*$B$5))))</f>
        <v>0.92977150775637296</v>
      </c>
      <c r="K30" s="57">
        <f>IF(E30=""," ",H30*SQRT(F30)*J30*SQRT(J30)*$I$8/$B$4/$B$10)</f>
        <v>9.4513441776120519</v>
      </c>
      <c r="L30" s="57" t="str">
        <f t="shared" si="1"/>
        <v xml:space="preserve"> </v>
      </c>
      <c r="M30" s="57">
        <f t="shared" ref="M30:M59" si="10">IF(ISERROR(K30/$B$17)," ",K30/$B$17)</f>
        <v>5.9923108037921109</v>
      </c>
      <c r="N30" s="57">
        <f t="shared" si="8"/>
        <v>6</v>
      </c>
      <c r="O30" s="57" t="str">
        <f t="shared" si="2"/>
        <v xml:space="preserve"> </v>
      </c>
      <c r="P30" s="57" t="str">
        <f t="shared" si="3"/>
        <v xml:space="preserve"> </v>
      </c>
      <c r="Q30" s="57" t="str">
        <f t="shared" si="4"/>
        <v xml:space="preserve"> </v>
      </c>
    </row>
    <row r="31" spans="1:17">
      <c r="A31" s="91">
        <v>4</v>
      </c>
      <c r="B31" s="57">
        <f>Tabelle2!B8</f>
        <v>10</v>
      </c>
      <c r="C31" s="57">
        <f>Tabelle2!E8</f>
        <v>4.5069999999999997</v>
      </c>
      <c r="D31" s="57">
        <f>Tabelle2!B8</f>
        <v>10</v>
      </c>
      <c r="E31" s="57">
        <f>Tabelle2!H8</f>
        <v>3.6869999999999998</v>
      </c>
      <c r="F31" s="57">
        <f t="shared" si="5"/>
        <v>1.1093854004881296E-4</v>
      </c>
      <c r="G31" s="57">
        <f t="shared" si="0"/>
        <v>1.3561160835367508E-4</v>
      </c>
      <c r="H31" s="57">
        <f t="shared" si="6"/>
        <v>2.4655014840248805E-4</v>
      </c>
      <c r="I31" s="57">
        <f t="shared" si="9"/>
        <v>1.0284084233287497E-6</v>
      </c>
      <c r="J31" s="57">
        <f t="shared" si="7"/>
        <v>0.93013085522653061</v>
      </c>
      <c r="K31" s="57">
        <f t="shared" ref="K31:K59" si="11">IF(E31=""," ",H31*SQRT(F31)*J31*SQRT(J31)*$I$8/$B$4/$B$10)</f>
        <v>9.3121060682693955</v>
      </c>
      <c r="L31" s="57" t="str">
        <f t="shared" si="1"/>
        <v xml:space="preserve"> </v>
      </c>
      <c r="M31" s="57">
        <f t="shared" si="10"/>
        <v>5.9040315060293675</v>
      </c>
      <c r="N31" s="57">
        <f t="shared" si="8"/>
        <v>6</v>
      </c>
      <c r="O31" s="57" t="str">
        <f t="shared" si="2"/>
        <v xml:space="preserve"> </v>
      </c>
      <c r="P31" s="57" t="str">
        <f t="shared" si="3"/>
        <v xml:space="preserve"> </v>
      </c>
      <c r="Q31" s="57" t="str">
        <f t="shared" si="4"/>
        <v xml:space="preserve"> </v>
      </c>
    </row>
    <row r="32" spans="1:17">
      <c r="A32" s="91">
        <v>5</v>
      </c>
      <c r="B32" s="57">
        <f>Tabelle2!B9</f>
        <v>10</v>
      </c>
      <c r="C32" s="57">
        <f>Tabelle2!E9</f>
        <v>4.6230000000000002</v>
      </c>
      <c r="D32" s="57">
        <f>Tabelle2!B9</f>
        <v>10</v>
      </c>
      <c r="E32" s="57">
        <f>Tabelle2!H9</f>
        <v>3.8650000000000002</v>
      </c>
      <c r="F32" s="57">
        <f t="shared" si="5"/>
        <v>1.081548777849881E-4</v>
      </c>
      <c r="G32" s="57">
        <f t="shared" si="0"/>
        <v>1.2936610608020699E-4</v>
      </c>
      <c r="H32" s="57">
        <f t="shared" si="6"/>
        <v>2.3752098386519509E-4</v>
      </c>
      <c r="I32" s="57">
        <f t="shared" si="9"/>
        <v>1.0154240783728981E-6</v>
      </c>
      <c r="J32" s="57">
        <f t="shared" si="7"/>
        <v>0.92930059500690554</v>
      </c>
      <c r="K32" s="57">
        <f t="shared" si="11"/>
        <v>8.8459546244643708</v>
      </c>
      <c r="L32" s="57" t="str">
        <f t="shared" si="1"/>
        <v xml:space="preserve"> </v>
      </c>
      <c r="M32" s="57">
        <f t="shared" si="10"/>
        <v>5.6084836685553237</v>
      </c>
      <c r="N32" s="57">
        <f t="shared" si="8"/>
        <v>6</v>
      </c>
      <c r="O32" s="57" t="str">
        <f t="shared" si="2"/>
        <v xml:space="preserve"> </v>
      </c>
      <c r="P32" s="57" t="str">
        <f t="shared" si="3"/>
        <v xml:space="preserve"> </v>
      </c>
      <c r="Q32" s="57" t="str">
        <f t="shared" si="4"/>
        <v xml:space="preserve"> </v>
      </c>
    </row>
    <row r="33" spans="1:17">
      <c r="A33" s="91">
        <v>6</v>
      </c>
      <c r="B33" s="57">
        <f>Tabelle2!B10</f>
        <v>10</v>
      </c>
      <c r="C33" s="57">
        <f>Tabelle2!E10</f>
        <v>8.2769999999999992</v>
      </c>
      <c r="D33" s="57">
        <f>Tabelle2!B10</f>
        <v>10</v>
      </c>
      <c r="E33" s="57">
        <f>Tabelle2!H10</f>
        <v>8.0980000000000008</v>
      </c>
      <c r="F33" s="57">
        <f t="shared" si="5"/>
        <v>6.0408360517095576E-5</v>
      </c>
      <c r="G33" s="57">
        <f t="shared" si="0"/>
        <v>6.1743640405038279E-5</v>
      </c>
      <c r="H33" s="57">
        <f t="shared" si="6"/>
        <v>1.2215200092213386E-4</v>
      </c>
      <c r="I33" s="57">
        <f t="shared" si="9"/>
        <v>7.588796841876458E-7</v>
      </c>
      <c r="J33" s="57">
        <f t="shared" si="7"/>
        <v>0.9076083820418499</v>
      </c>
      <c r="K33" s="57">
        <f t="shared" si="11"/>
        <v>3.2815740033311318</v>
      </c>
      <c r="L33" s="57" t="str">
        <f t="shared" si="1"/>
        <v xml:space="preserve"> </v>
      </c>
      <c r="M33" s="57">
        <f t="shared" si="10"/>
        <v>2.0805729834899283</v>
      </c>
      <c r="N33" s="57">
        <f t="shared" si="8"/>
        <v>2</v>
      </c>
      <c r="O33" s="57">
        <f t="shared" si="2"/>
        <v>1.6407870016655659</v>
      </c>
      <c r="P33" s="57">
        <f t="shared" si="3"/>
        <v>0.9076083820418499</v>
      </c>
      <c r="Q33" s="57">
        <f t="shared" si="4"/>
        <v>1</v>
      </c>
    </row>
    <row r="34" spans="1:17">
      <c r="A34" s="91">
        <v>7</v>
      </c>
      <c r="B34" s="57">
        <f>Tabelle2!B11</f>
        <v>10</v>
      </c>
      <c r="C34" s="57">
        <f>Tabelle2!E11</f>
        <v>8.8829999999999991</v>
      </c>
      <c r="D34" s="57">
        <f>Tabelle2!B11</f>
        <v>10</v>
      </c>
      <c r="E34" s="57">
        <f>Tabelle2!H11</f>
        <v>8.4990000000000006</v>
      </c>
      <c r="F34" s="57">
        <f t="shared" si="5"/>
        <v>5.6287290329843525E-5</v>
      </c>
      <c r="G34" s="57">
        <f t="shared" si="0"/>
        <v>5.8830450641251912E-5</v>
      </c>
      <c r="H34" s="57">
        <f t="shared" si="6"/>
        <v>1.1511774097109544E-4</v>
      </c>
      <c r="I34" s="57">
        <f t="shared" si="9"/>
        <v>7.32537012797604E-7</v>
      </c>
      <c r="J34" s="57">
        <f t="shared" si="7"/>
        <v>0.90460285411724117</v>
      </c>
      <c r="K34" s="57">
        <f t="shared" si="11"/>
        <v>2.9704326213609935</v>
      </c>
      <c r="L34" s="57" t="str">
        <f t="shared" si="1"/>
        <v xml:space="preserve"> </v>
      </c>
      <c r="M34" s="57">
        <f t="shared" si="10"/>
        <v>1.8833041263147858</v>
      </c>
      <c r="N34" s="57">
        <f t="shared" si="8"/>
        <v>2</v>
      </c>
      <c r="O34" s="57">
        <f t="shared" si="2"/>
        <v>1.4852163106804968</v>
      </c>
      <c r="P34" s="57">
        <f>IF(N34&lt;6,J34," ")</f>
        <v>0.90460285411724117</v>
      </c>
      <c r="Q34" s="57">
        <f t="shared" si="4"/>
        <v>1</v>
      </c>
    </row>
    <row r="35" spans="1:17">
      <c r="A35" s="91">
        <v>8</v>
      </c>
      <c r="B35" s="57">
        <f>Tabelle2!B12</f>
        <v>10</v>
      </c>
      <c r="C35" s="57">
        <f>Tabelle2!E12</f>
        <v>8.5060000000000002</v>
      </c>
      <c r="D35" s="57">
        <f>Tabelle2!B12</f>
        <v>10</v>
      </c>
      <c r="E35" s="57">
        <f>Tabelle2!H12</f>
        <v>8.2059999999999995</v>
      </c>
      <c r="F35" s="57">
        <f t="shared" si="5"/>
        <v>5.8782036209734302E-5</v>
      </c>
      <c r="G35" s="57">
        <f t="shared" si="0"/>
        <v>6.0931026078479169E-5</v>
      </c>
      <c r="H35" s="57">
        <f t="shared" si="6"/>
        <v>1.1971306228821347E-4</v>
      </c>
      <c r="I35" s="57">
        <f t="shared" si="9"/>
        <v>7.4859464306669587E-7</v>
      </c>
      <c r="J35" s="57">
        <f t="shared" si="7"/>
        <v>0.90645774208123131</v>
      </c>
      <c r="K35" s="57">
        <f t="shared" si="11"/>
        <v>3.1664347477822599</v>
      </c>
      <c r="L35" s="57" t="str">
        <f t="shared" si="1"/>
        <v xml:space="preserve"> </v>
      </c>
      <c r="M35" s="57">
        <f t="shared" si="10"/>
        <v>2.0075727634153688</v>
      </c>
      <c r="N35" s="57">
        <f t="shared" si="8"/>
        <v>2</v>
      </c>
      <c r="O35" s="57">
        <f>IF(N35&lt;6,K35/N35," ")</f>
        <v>1.5832173738911299</v>
      </c>
      <c r="P35" s="57">
        <f t="shared" si="3"/>
        <v>0.90645774208123131</v>
      </c>
      <c r="Q35" s="57">
        <f t="shared" si="4"/>
        <v>1</v>
      </c>
    </row>
    <row r="36" spans="1:17">
      <c r="A36" s="91">
        <v>9</v>
      </c>
      <c r="B36" s="57">
        <f>Tabelle2!B13</f>
        <v>10</v>
      </c>
      <c r="C36" s="57">
        <f>Tabelle2!E13</f>
        <v>8.452</v>
      </c>
      <c r="D36" s="57">
        <f>Tabelle2!B13</f>
        <v>10</v>
      </c>
      <c r="E36" s="57">
        <f>Tabelle2!H13</f>
        <v>7.9550000000000001</v>
      </c>
      <c r="F36" s="57">
        <f t="shared" si="5"/>
        <v>5.9157595835305252E-5</v>
      </c>
      <c r="G36" s="57">
        <f t="shared" si="0"/>
        <v>6.2853551225644248E-5</v>
      </c>
      <c r="H36" s="57">
        <f t="shared" si="6"/>
        <v>1.220111470609495E-4</v>
      </c>
      <c r="I36" s="57">
        <f t="shared" si="9"/>
        <v>7.5098222875949199E-7</v>
      </c>
      <c r="J36" s="57">
        <f t="shared" si="7"/>
        <v>0.90672740044587063</v>
      </c>
      <c r="K36" s="57">
        <f t="shared" si="11"/>
        <v>3.2389573056807803</v>
      </c>
      <c r="L36" s="57" t="str">
        <f t="shared" si="1"/>
        <v xml:space="preserve"> </v>
      </c>
      <c r="M36" s="57">
        <f t="shared" si="10"/>
        <v>2.0535532820640658</v>
      </c>
      <c r="N36" s="57">
        <f t="shared" si="8"/>
        <v>2</v>
      </c>
      <c r="O36" s="57">
        <f t="shared" si="2"/>
        <v>1.6194786528403902</v>
      </c>
      <c r="P36" s="57">
        <f t="shared" si="3"/>
        <v>0.90672740044587063</v>
      </c>
      <c r="Q36" s="57">
        <f t="shared" si="4"/>
        <v>1</v>
      </c>
    </row>
    <row r="37" spans="1:17">
      <c r="A37" s="91">
        <v>10</v>
      </c>
      <c r="B37" s="57">
        <f>Tabelle2!B14</f>
        <v>10</v>
      </c>
      <c r="C37" s="57">
        <f>Tabelle2!E14</f>
        <v>8.8879999999999999</v>
      </c>
      <c r="D37" s="57">
        <f>Tabelle2!B14</f>
        <v>10</v>
      </c>
      <c r="E37" s="57">
        <f>Tabelle2!H14</f>
        <v>8.7100000000000009</v>
      </c>
      <c r="F37" s="57">
        <f t="shared" si="5"/>
        <v>5.625562556255626E-5</v>
      </c>
      <c r="G37" s="57">
        <f t="shared" si="0"/>
        <v>5.7405281285878294E-5</v>
      </c>
      <c r="H37" s="57">
        <f t="shared" si="6"/>
        <v>1.1366090684843455E-4</v>
      </c>
      <c r="I37" s="57">
        <f t="shared" si="9"/>
        <v>7.3233093717173048E-7</v>
      </c>
      <c r="J37" s="57">
        <f>IF(E37=""," ",1/(1+($I$11/(I37*$B$5))))</f>
        <v>0.90457857119644691</v>
      </c>
      <c r="K37" s="57">
        <f t="shared" si="11"/>
        <v>2.9318981846382077</v>
      </c>
      <c r="L37" s="57" t="str">
        <f t="shared" si="1"/>
        <v xml:space="preserve"> </v>
      </c>
      <c r="M37" s="57">
        <f t="shared" si="10"/>
        <v>1.8588726468180425</v>
      </c>
      <c r="N37" s="57">
        <f t="shared" si="8"/>
        <v>2</v>
      </c>
      <c r="O37" s="57">
        <f t="shared" si="2"/>
        <v>1.4659490923191039</v>
      </c>
      <c r="P37" s="57">
        <f t="shared" si="3"/>
        <v>0.90457857119644691</v>
      </c>
      <c r="Q37" s="57">
        <f t="shared" si="4"/>
        <v>1</v>
      </c>
    </row>
    <row r="38" spans="1:17">
      <c r="A38" s="91">
        <v>11</v>
      </c>
      <c r="B38" s="57">
        <f>Tabelle2!B15</f>
        <v>10</v>
      </c>
      <c r="C38" s="57">
        <f>Tabelle2!E15</f>
        <v>5.5309999999999997</v>
      </c>
      <c r="D38" s="57">
        <f>Tabelle2!B15</f>
        <v>10</v>
      </c>
      <c r="E38" s="57">
        <f>Tabelle2!H15</f>
        <v>4.9969999999999999</v>
      </c>
      <c r="F38" s="57">
        <f t="shared" si="5"/>
        <v>9.0399566082082806E-5</v>
      </c>
      <c r="G38" s="57">
        <f t="shared" si="0"/>
        <v>1.0006003602161297E-4</v>
      </c>
      <c r="H38" s="57">
        <f t="shared" si="6"/>
        <v>1.9045960210369576E-4</v>
      </c>
      <c r="I38" s="57">
        <f t="shared" si="9"/>
        <v>9.2834109304919118E-7</v>
      </c>
      <c r="J38" s="57">
        <f t="shared" si="7"/>
        <v>0.92317812035591229</v>
      </c>
      <c r="K38" s="57">
        <f t="shared" si="11"/>
        <v>6.4209552864570814</v>
      </c>
      <c r="L38" s="57" t="str">
        <f t="shared" si="1"/>
        <v xml:space="preserve"> </v>
      </c>
      <c r="M38" s="57">
        <f t="shared" si="10"/>
        <v>4.0709933963513913</v>
      </c>
      <c r="N38" s="57">
        <f t="shared" si="8"/>
        <v>4</v>
      </c>
      <c r="O38" s="57">
        <f t="shared" si="2"/>
        <v>1.6052388216142703</v>
      </c>
      <c r="P38" s="57">
        <f t="shared" si="3"/>
        <v>0.92317812035591229</v>
      </c>
      <c r="Q38" s="57">
        <f t="shared" si="4"/>
        <v>1</v>
      </c>
    </row>
    <row r="39" spans="1:17">
      <c r="A39" s="91">
        <v>12</v>
      </c>
      <c r="B39" s="57">
        <f>Tabelle2!B16</f>
        <v>10</v>
      </c>
      <c r="C39" s="57">
        <f>Tabelle2!E16</f>
        <v>5.3780000000000001</v>
      </c>
      <c r="D39" s="57">
        <f>Tabelle2!B16</f>
        <v>10</v>
      </c>
      <c r="E39" s="57">
        <f>Tabelle2!H16</f>
        <v>5.1219999999999999</v>
      </c>
      <c r="F39" s="57">
        <f t="shared" si="5"/>
        <v>9.2971364819635548E-5</v>
      </c>
      <c r="G39" s="57">
        <f t="shared" si="0"/>
        <v>9.7618117922686453E-5</v>
      </c>
      <c r="H39" s="57">
        <f t="shared" si="6"/>
        <v>1.9058948274232199E-4</v>
      </c>
      <c r="I39" s="57">
        <f t="shared" si="9"/>
        <v>9.4145378375087476E-7</v>
      </c>
      <c r="J39" s="57">
        <f t="shared" si="7"/>
        <v>0.92416696526412345</v>
      </c>
      <c r="K39" s="57">
        <f t="shared" si="11"/>
        <v>6.526563093082336</v>
      </c>
      <c r="L39" s="57" t="str">
        <f t="shared" si="1"/>
        <v xml:space="preserve"> </v>
      </c>
      <c r="M39" s="57">
        <f t="shared" si="10"/>
        <v>4.1379505178690206</v>
      </c>
      <c r="N39" s="57">
        <f t="shared" si="8"/>
        <v>4</v>
      </c>
      <c r="O39" s="57">
        <f t="shared" si="2"/>
        <v>1.631640773270584</v>
      </c>
      <c r="P39" s="57">
        <f t="shared" si="3"/>
        <v>0.92416696526412345</v>
      </c>
      <c r="Q39" s="57">
        <f t="shared" si="4"/>
        <v>1</v>
      </c>
    </row>
    <row r="40" spans="1:17">
      <c r="A40" s="91">
        <v>13</v>
      </c>
      <c r="B40" s="57">
        <f>Tabelle2!B17</f>
        <v>10</v>
      </c>
      <c r="C40" s="57">
        <f>Tabelle2!E17</f>
        <v>5.2160000000000002</v>
      </c>
      <c r="D40" s="57">
        <f>Tabelle2!B17</f>
        <v>10</v>
      </c>
      <c r="E40" s="57">
        <f>Tabelle2!H17</f>
        <v>4.9930000000000003</v>
      </c>
      <c r="F40" s="57">
        <f t="shared" si="5"/>
        <v>9.5858895705521475E-5</v>
      </c>
      <c r="G40" s="57">
        <f t="shared" si="0"/>
        <v>1.0014019627478469E-4</v>
      </c>
      <c r="H40" s="57">
        <f t="shared" si="6"/>
        <v>1.9599909198030616E-4</v>
      </c>
      <c r="I40" s="57">
        <f t="shared" si="9"/>
        <v>9.559619639653658E-7</v>
      </c>
      <c r="J40" s="57">
        <f t="shared" si="7"/>
        <v>0.92523179780585674</v>
      </c>
      <c r="K40" s="57">
        <f t="shared" si="11"/>
        <v>6.8270241725714484</v>
      </c>
      <c r="L40" s="57" t="str">
        <f t="shared" si="1"/>
        <v xml:space="preserve"> </v>
      </c>
      <c r="M40" s="57">
        <f t="shared" si="10"/>
        <v>4.3284478840538743</v>
      </c>
      <c r="N40" s="57">
        <f t="shared" si="8"/>
        <v>4</v>
      </c>
      <c r="O40" s="57">
        <f t="shared" si="2"/>
        <v>1.7067560431428621</v>
      </c>
      <c r="P40" s="57">
        <f t="shared" si="3"/>
        <v>0.92523179780585674</v>
      </c>
      <c r="Q40" s="57">
        <f t="shared" si="4"/>
        <v>1</v>
      </c>
    </row>
    <row r="41" spans="1:17">
      <c r="A41" s="91">
        <v>14</v>
      </c>
      <c r="B41" s="57">
        <f>Tabelle2!B18</f>
        <v>10</v>
      </c>
      <c r="C41" s="57">
        <f>Tabelle2!E18</f>
        <v>5.8220000000000001</v>
      </c>
      <c r="D41" s="57">
        <f>Tabelle2!B18</f>
        <v>10</v>
      </c>
      <c r="E41" s="57">
        <f>Tabelle2!H18</f>
        <v>5.0990000000000002</v>
      </c>
      <c r="F41" s="57">
        <f t="shared" si="5"/>
        <v>8.5881140501545863E-5</v>
      </c>
      <c r="G41" s="57">
        <f t="shared" si="0"/>
        <v>9.8058442831927827E-5</v>
      </c>
      <c r="H41" s="57">
        <f t="shared" si="6"/>
        <v>1.8393958333347369E-4</v>
      </c>
      <c r="I41" s="57">
        <f t="shared" si="9"/>
        <v>9.0484315135836115E-7</v>
      </c>
      <c r="J41" s="57">
        <f t="shared" si="7"/>
        <v>0.92134005309857647</v>
      </c>
      <c r="K41" s="57">
        <f t="shared" si="11"/>
        <v>6.026142160670716</v>
      </c>
      <c r="L41" s="57" t="str">
        <f t="shared" si="1"/>
        <v xml:space="preserve"> </v>
      </c>
      <c r="M41" s="57">
        <f t="shared" si="10"/>
        <v>3.820675249570463</v>
      </c>
      <c r="N41" s="57">
        <f t="shared" si="8"/>
        <v>4</v>
      </c>
      <c r="O41" s="57">
        <f t="shared" si="2"/>
        <v>1.506535540167679</v>
      </c>
      <c r="P41" s="57">
        <f t="shared" si="3"/>
        <v>0.92134005309857647</v>
      </c>
      <c r="Q41" s="57">
        <f t="shared" si="4"/>
        <v>1</v>
      </c>
    </row>
    <row r="42" spans="1:17">
      <c r="A42" s="91">
        <v>15</v>
      </c>
      <c r="B42" s="57">
        <f>Tabelle2!B19</f>
        <v>10</v>
      </c>
      <c r="C42" s="57">
        <f>Tabelle2!E19</f>
        <v>5.3090000000000002</v>
      </c>
      <c r="D42" s="57">
        <f>Tabelle2!B19</f>
        <v>10</v>
      </c>
      <c r="E42" s="57">
        <f>Tabelle2!H19</f>
        <v>4.5199999999999996</v>
      </c>
      <c r="F42" s="57">
        <f t="shared" si="5"/>
        <v>9.4179694857788666E-5</v>
      </c>
      <c r="G42" s="57">
        <f t="shared" si="0"/>
        <v>1.1061946902654868E-4</v>
      </c>
      <c r="H42" s="57">
        <f t="shared" si="6"/>
        <v>2.0479916388433734E-4</v>
      </c>
      <c r="I42" s="57">
        <f t="shared" si="9"/>
        <v>9.4755197574934263E-7</v>
      </c>
      <c r="J42" s="57">
        <f t="shared" si="7"/>
        <v>0.92461821705059677</v>
      </c>
      <c r="K42" s="57">
        <f t="shared" si="11"/>
        <v>7.0637583371762984</v>
      </c>
      <c r="L42" s="57" t="str">
        <f t="shared" si="1"/>
        <v xml:space="preserve"> </v>
      </c>
      <c r="M42" s="57">
        <f t="shared" si="10"/>
        <v>4.4785413168534784</v>
      </c>
      <c r="N42" s="57">
        <f t="shared" si="8"/>
        <v>4</v>
      </c>
      <c r="O42" s="57">
        <f t="shared" si="2"/>
        <v>1.7659395842940746</v>
      </c>
      <c r="P42" s="57">
        <f t="shared" si="3"/>
        <v>0.92461821705059677</v>
      </c>
      <c r="Q42" s="57">
        <f t="shared" si="4"/>
        <v>1</v>
      </c>
    </row>
    <row r="43" spans="1:17">
      <c r="A43" s="91">
        <v>16</v>
      </c>
      <c r="B43" s="57">
        <f>Tabelle2!B20</f>
        <v>10</v>
      </c>
      <c r="C43" s="57">
        <f>Tabelle2!E20</f>
        <v>4.9189999999999996</v>
      </c>
      <c r="D43" s="57">
        <f>Tabelle2!B20</f>
        <v>10</v>
      </c>
      <c r="E43" s="57">
        <f>Tabelle2!H20</f>
        <v>14.757999999999999</v>
      </c>
      <c r="F43" s="57">
        <f t="shared" si="5"/>
        <v>1.0164667615368978E-4</v>
      </c>
      <c r="G43" s="57">
        <f t="shared" si="0"/>
        <v>3.3879929529746582E-5</v>
      </c>
      <c r="H43" s="57">
        <f t="shared" si="6"/>
        <v>1.3552660568343636E-4</v>
      </c>
      <c r="I43" s="57">
        <f t="shared" si="9"/>
        <v>9.8439861249061365E-7</v>
      </c>
      <c r="J43" s="57">
        <f t="shared" si="7"/>
        <v>0.92723448874245495</v>
      </c>
      <c r="K43" s="57">
        <f t="shared" si="11"/>
        <v>4.8768664539692912</v>
      </c>
      <c r="L43" s="57" t="str">
        <f t="shared" si="1"/>
        <v xml:space="preserve"> </v>
      </c>
      <c r="M43" s="57">
        <f t="shared" si="10"/>
        <v>3.092015166477101</v>
      </c>
      <c r="N43" s="57">
        <f t="shared" si="8"/>
        <v>3</v>
      </c>
      <c r="O43" s="57">
        <f t="shared" si="2"/>
        <v>1.6256221513230971</v>
      </c>
      <c r="P43" s="57">
        <f t="shared" si="3"/>
        <v>0.92723448874245495</v>
      </c>
      <c r="Q43" s="57">
        <f t="shared" si="4"/>
        <v>1</v>
      </c>
    </row>
    <row r="44" spans="1:17">
      <c r="A44" s="91">
        <v>17</v>
      </c>
      <c r="B44" s="57">
        <f>Tabelle2!B21</f>
        <v>10</v>
      </c>
      <c r="C44" s="57">
        <f>Tabelle2!E21</f>
        <v>5.1669999999999998</v>
      </c>
      <c r="D44" s="57">
        <f>Tabelle2!B21</f>
        <v>10</v>
      </c>
      <c r="E44" s="57">
        <f>Tabelle2!H21</f>
        <v>14.795</v>
      </c>
      <c r="F44" s="57">
        <f t="shared" si="5"/>
        <v>9.676795045480937E-5</v>
      </c>
      <c r="G44" s="57">
        <f t="shared" si="0"/>
        <v>3.3795201081446433E-5</v>
      </c>
      <c r="H44" s="57">
        <f t="shared" si="6"/>
        <v>1.3056315153625581E-4</v>
      </c>
      <c r="I44" s="57">
        <f t="shared" si="9"/>
        <v>9.6048408566864646E-7</v>
      </c>
      <c r="J44" s="57">
        <f t="shared" si="7"/>
        <v>0.92555761385175928</v>
      </c>
      <c r="K44" s="57">
        <f t="shared" si="11"/>
        <v>4.5716916241799517</v>
      </c>
      <c r="L44" s="57" t="str">
        <f t="shared" si="1"/>
        <v xml:space="preserve"> </v>
      </c>
      <c r="M44" s="57">
        <f t="shared" si="10"/>
        <v>2.8985292035043599</v>
      </c>
      <c r="N44" s="57">
        <f t="shared" si="8"/>
        <v>3</v>
      </c>
      <c r="O44" s="57">
        <f t="shared" si="2"/>
        <v>1.523897208059984</v>
      </c>
      <c r="P44" s="57">
        <f t="shared" si="3"/>
        <v>0.92555761385175928</v>
      </c>
      <c r="Q44" s="57">
        <f t="shared" si="4"/>
        <v>1</v>
      </c>
    </row>
    <row r="45" spans="1:17">
      <c r="A45" s="91">
        <v>18</v>
      </c>
      <c r="B45" s="57">
        <f>Tabelle2!B22</f>
        <v>10</v>
      </c>
      <c r="C45" s="57">
        <f>Tabelle2!E22</f>
        <v>5.2560000000000002</v>
      </c>
      <c r="D45" s="57">
        <f>Tabelle2!B22</f>
        <v>10</v>
      </c>
      <c r="E45" s="57">
        <f>Tabelle2!H22</f>
        <v>15.53</v>
      </c>
      <c r="F45" s="57">
        <f t="shared" si="5"/>
        <v>9.5129375951293754E-5</v>
      </c>
      <c r="G45" s="57">
        <f t="shared" si="0"/>
        <v>3.2195750160978751E-5</v>
      </c>
      <c r="H45" s="57">
        <f t="shared" si="6"/>
        <v>1.273251261122725E-4</v>
      </c>
      <c r="I45" s="57">
        <f t="shared" si="9"/>
        <v>9.5231741404444036E-7</v>
      </c>
      <c r="J45" s="57">
        <f t="shared" si="7"/>
        <v>0.92496712738126829</v>
      </c>
      <c r="K45" s="57">
        <f t="shared" si="11"/>
        <v>4.4161745659237628</v>
      </c>
      <c r="L45" s="57" t="str">
        <f t="shared" si="1"/>
        <v xml:space="preserve"> </v>
      </c>
      <c r="M45" s="57">
        <f t="shared" si="10"/>
        <v>2.7999287789668648</v>
      </c>
      <c r="N45" s="57">
        <f t="shared" si="8"/>
        <v>3</v>
      </c>
      <c r="O45" s="57">
        <f t="shared" si="2"/>
        <v>1.4720581886412543</v>
      </c>
      <c r="P45" s="57">
        <f t="shared" si="3"/>
        <v>0.92496712738126829</v>
      </c>
      <c r="Q45" s="57">
        <f t="shared" si="4"/>
        <v>1</v>
      </c>
    </row>
    <row r="46" spans="1:17">
      <c r="A46" s="91">
        <v>19</v>
      </c>
      <c r="B46" s="57">
        <f>Tabelle2!B23</f>
        <v>10</v>
      </c>
      <c r="C46" s="57">
        <f>Tabelle2!E23</f>
        <v>5.08</v>
      </c>
      <c r="D46" s="57">
        <f>Tabelle2!B23</f>
        <v>10</v>
      </c>
      <c r="E46" s="57">
        <f>Tabelle2!H23</f>
        <v>15.749000000000001</v>
      </c>
      <c r="F46" s="57">
        <f t="shared" si="5"/>
        <v>9.8425196850393699E-5</v>
      </c>
      <c r="G46" s="57">
        <f t="shared" si="0"/>
        <v>3.1748047495079052E-5</v>
      </c>
      <c r="H46" s="57">
        <f t="shared" si="6"/>
        <v>1.3017324434547276E-4</v>
      </c>
      <c r="I46" s="57">
        <f t="shared" si="9"/>
        <v>9.6867378800823732E-7</v>
      </c>
      <c r="J46" s="57">
        <f t="shared" si="7"/>
        <v>0.92614050536675308</v>
      </c>
      <c r="K46" s="57">
        <f t="shared" si="11"/>
        <v>4.6012469091392454</v>
      </c>
      <c r="L46" s="57" t="str">
        <f t="shared" si="1"/>
        <v xml:space="preserve"> </v>
      </c>
      <c r="M46" s="57">
        <f t="shared" si="10"/>
        <v>2.9172677501113333</v>
      </c>
      <c r="N46" s="57">
        <f t="shared" si="8"/>
        <v>3</v>
      </c>
      <c r="O46" s="57">
        <f t="shared" si="2"/>
        <v>1.5337489697130817</v>
      </c>
      <c r="P46" s="57">
        <f t="shared" si="3"/>
        <v>0.92614050536675308</v>
      </c>
      <c r="Q46" s="57">
        <f t="shared" si="4"/>
        <v>1</v>
      </c>
    </row>
    <row r="47" spans="1:17">
      <c r="A47" s="91">
        <v>20</v>
      </c>
      <c r="B47" s="57">
        <f>Tabelle2!B24</f>
        <v>10</v>
      </c>
      <c r="C47" s="57">
        <f>Tabelle2!E24</f>
        <v>4.8769999999999998</v>
      </c>
      <c r="D47" s="57">
        <f>Tabelle2!B24</f>
        <v>10</v>
      </c>
      <c r="E47" s="57">
        <f>Tabelle2!H24</f>
        <v>14.061</v>
      </c>
      <c r="F47" s="57">
        <f t="shared" si="5"/>
        <v>1.0252204223908141E-4</v>
      </c>
      <c r="G47" s="57">
        <f t="shared" si="0"/>
        <v>3.5559348552734516E-5</v>
      </c>
      <c r="H47" s="57">
        <f t="shared" si="6"/>
        <v>1.3808139079181592E-4</v>
      </c>
      <c r="I47" s="57">
        <f t="shared" si="9"/>
        <v>9.886282730673835E-7</v>
      </c>
      <c r="J47" s="57">
        <f t="shared" si="7"/>
        <v>0.9275232393295072</v>
      </c>
      <c r="K47" s="57">
        <f t="shared" si="11"/>
        <v>4.9924798679936453</v>
      </c>
      <c r="L47" s="57" t="str">
        <f t="shared" si="1"/>
        <v xml:space="preserve"> </v>
      </c>
      <c r="M47" s="57">
        <f t="shared" si="10"/>
        <v>3.1653160109815772</v>
      </c>
      <c r="N47" s="57">
        <f t="shared" si="8"/>
        <v>3</v>
      </c>
      <c r="O47" s="57">
        <f t="shared" si="2"/>
        <v>1.6641599559978817</v>
      </c>
      <c r="P47" s="57">
        <f t="shared" si="3"/>
        <v>0.9275232393295072</v>
      </c>
      <c r="Q47" s="57">
        <f>IF(N47&lt;6,1," ")</f>
        <v>1</v>
      </c>
    </row>
    <row r="48" spans="1:17">
      <c r="A48" s="91">
        <v>21</v>
      </c>
      <c r="B48" s="57">
        <f>Tabelle2!B25</f>
        <v>10</v>
      </c>
      <c r="C48" s="57">
        <f>Tabelle2!E25</f>
        <v>7.5060000000000002</v>
      </c>
      <c r="D48" s="57">
        <f>Tabelle2!B25</f>
        <v>10</v>
      </c>
      <c r="E48" s="57">
        <f>Tabelle2!H25</f>
        <v>8.8710000000000004</v>
      </c>
      <c r="F48" s="57">
        <f t="shared" si="5"/>
        <v>6.661337596589395E-5</v>
      </c>
      <c r="G48" s="57">
        <f t="shared" si="0"/>
        <v>5.6363431405703975E-5</v>
      </c>
      <c r="H48" s="57">
        <f t="shared" si="6"/>
        <v>1.2297680737159792E-4</v>
      </c>
      <c r="I48" s="57">
        <f t="shared" si="9"/>
        <v>7.9690238047521936E-7</v>
      </c>
      <c r="J48" s="57">
        <f t="shared" si="7"/>
        <v>0.91162710054249707</v>
      </c>
      <c r="K48" s="57">
        <f t="shared" si="11"/>
        <v>3.4923287768431708</v>
      </c>
      <c r="L48" s="57" t="str">
        <f t="shared" si="1"/>
        <v xml:space="preserve"> </v>
      </c>
      <c r="M48" s="57">
        <f t="shared" si="10"/>
        <v>2.2141950463980251</v>
      </c>
      <c r="N48" s="57">
        <f t="shared" si="8"/>
        <v>2</v>
      </c>
      <c r="O48" s="57">
        <f t="shared" si="2"/>
        <v>1.7461643884215854</v>
      </c>
      <c r="P48" s="57">
        <f t="shared" si="3"/>
        <v>0.91162710054249707</v>
      </c>
      <c r="Q48" s="57">
        <f t="shared" si="4"/>
        <v>1</v>
      </c>
    </row>
    <row r="49" spans="1:17">
      <c r="A49" s="91">
        <v>22</v>
      </c>
      <c r="B49" s="57">
        <f>Tabelle2!B26</f>
        <v>10</v>
      </c>
      <c r="C49" s="57">
        <f>Tabelle2!E26</f>
        <v>7.71</v>
      </c>
      <c r="D49" s="57">
        <f>Tabelle2!B26</f>
        <v>10</v>
      </c>
      <c r="E49" s="57">
        <f>Tabelle2!H26</f>
        <v>9.2439999999999998</v>
      </c>
      <c r="F49" s="57">
        <f t="shared" si="5"/>
        <v>6.4850843060959792E-5</v>
      </c>
      <c r="G49" s="57">
        <f t="shared" si="0"/>
        <v>5.4089138900908702E-5</v>
      </c>
      <c r="H49" s="57">
        <f t="shared" si="6"/>
        <v>1.1893998196186849E-4</v>
      </c>
      <c r="I49" s="57">
        <f t="shared" si="9"/>
        <v>7.8628902737004169E-7</v>
      </c>
      <c r="J49" s="57">
        <f t="shared" si="7"/>
        <v>0.91054095259498724</v>
      </c>
      <c r="K49" s="57">
        <f t="shared" si="11"/>
        <v>3.3267506631127599</v>
      </c>
      <c r="L49" s="57" t="str">
        <f t="shared" si="1"/>
        <v xml:space="preserve"> </v>
      </c>
      <c r="M49" s="57">
        <f t="shared" si="10"/>
        <v>2.1092157438636265</v>
      </c>
      <c r="N49" s="57">
        <f t="shared" si="8"/>
        <v>2</v>
      </c>
      <c r="O49" s="57">
        <f t="shared" si="2"/>
        <v>1.66337533155638</v>
      </c>
      <c r="P49" s="57">
        <f t="shared" si="3"/>
        <v>0.91054095259498724</v>
      </c>
      <c r="Q49" s="57">
        <f t="shared" si="4"/>
        <v>1</v>
      </c>
    </row>
    <row r="50" spans="1:17">
      <c r="A50" s="91">
        <v>23</v>
      </c>
      <c r="B50" s="57">
        <f>Tabelle2!B27</f>
        <v>10</v>
      </c>
      <c r="C50" s="57">
        <f>Tabelle2!E27</f>
        <v>7.931</v>
      </c>
      <c r="D50" s="57">
        <f>Tabelle2!B27</f>
        <v>10</v>
      </c>
      <c r="E50" s="57">
        <f>Tabelle2!H27</f>
        <v>10.101000000000001</v>
      </c>
      <c r="F50" s="57">
        <f t="shared" si="5"/>
        <v>6.3043752364140714E-5</v>
      </c>
      <c r="G50" s="57">
        <f t="shared" si="0"/>
        <v>4.9500049500049496E-5</v>
      </c>
      <c r="H50" s="57">
        <f t="shared" si="6"/>
        <v>1.1254380186419021E-4</v>
      </c>
      <c r="I50" s="57">
        <f t="shared" si="9"/>
        <v>7.7525652328624669E-7</v>
      </c>
      <c r="J50" s="57">
        <f t="shared" si="7"/>
        <v>0.9093832423302467</v>
      </c>
      <c r="K50" s="57">
        <f t="shared" si="11"/>
        <v>3.0977643341734913</v>
      </c>
      <c r="L50" s="57" t="str">
        <f t="shared" si="1"/>
        <v xml:space="preserve"> </v>
      </c>
      <c r="M50" s="57">
        <f t="shared" si="10"/>
        <v>1.9640345688860206</v>
      </c>
      <c r="N50" s="57">
        <f t="shared" si="8"/>
        <v>2</v>
      </c>
      <c r="O50" s="57">
        <f t="shared" si="2"/>
        <v>1.5488821670867456</v>
      </c>
      <c r="P50" s="57">
        <f t="shared" si="3"/>
        <v>0.9093832423302467</v>
      </c>
      <c r="Q50" s="57">
        <f t="shared" si="4"/>
        <v>1</v>
      </c>
    </row>
    <row r="51" spans="1:17">
      <c r="A51" s="91">
        <v>24</v>
      </c>
      <c r="B51" s="57">
        <f>Tabelle2!B28</f>
        <v>10</v>
      </c>
      <c r="C51" s="57">
        <f>Tabelle2!E28</f>
        <v>7.6849999999999996</v>
      </c>
      <c r="D51" s="57">
        <f>Tabelle2!B28</f>
        <v>10</v>
      </c>
      <c r="E51" s="57">
        <f>Tabelle2!H28</f>
        <v>8.9290000000000003</v>
      </c>
      <c r="F51" s="57">
        <f t="shared" si="5"/>
        <v>6.506180871828237E-5</v>
      </c>
      <c r="G51" s="57">
        <f t="shared" si="0"/>
        <v>5.5997312129017808E-5</v>
      </c>
      <c r="H51" s="57">
        <f t="shared" si="6"/>
        <v>1.2105912084730018E-4</v>
      </c>
      <c r="I51" s="57">
        <f t="shared" si="9"/>
        <v>7.8756692359329138E-7</v>
      </c>
      <c r="J51" s="57">
        <f t="shared" si="7"/>
        <v>0.91067314147280498</v>
      </c>
      <c r="K51" s="57">
        <f t="shared" si="11"/>
        <v>3.3922645941976848</v>
      </c>
      <c r="L51" s="57" t="str">
        <f t="shared" si="1"/>
        <v xml:space="preserve"> </v>
      </c>
      <c r="M51" s="57">
        <f t="shared" si="10"/>
        <v>2.1507526755065367</v>
      </c>
      <c r="N51" s="57">
        <f t="shared" si="8"/>
        <v>2</v>
      </c>
      <c r="O51" s="57">
        <f t="shared" si="2"/>
        <v>1.6961322970988424</v>
      </c>
      <c r="P51" s="57">
        <f t="shared" si="3"/>
        <v>0.91067314147280498</v>
      </c>
      <c r="Q51" s="57">
        <f t="shared" si="4"/>
        <v>1</v>
      </c>
    </row>
    <row r="52" spans="1:17">
      <c r="A52" s="91">
        <v>25</v>
      </c>
      <c r="B52" s="57">
        <f>Tabelle2!B29</f>
        <v>10</v>
      </c>
      <c r="C52" s="57">
        <f>Tabelle2!E29</f>
        <v>7.9480000000000004</v>
      </c>
      <c r="D52" s="57">
        <f>Tabelle2!B29</f>
        <v>10</v>
      </c>
      <c r="E52" s="57">
        <f>Tabelle2!H29</f>
        <v>9.5779999999999994</v>
      </c>
      <c r="F52" s="57">
        <f t="shared" si="5"/>
        <v>6.2908907901358831E-5</v>
      </c>
      <c r="G52" s="57">
        <f t="shared" si="0"/>
        <v>5.2202965128419301E-5</v>
      </c>
      <c r="H52" s="57">
        <f t="shared" si="6"/>
        <v>1.1511187302977813E-4</v>
      </c>
      <c r="I52" s="57">
        <f t="shared" si="9"/>
        <v>7.7442698027001905E-7</v>
      </c>
      <c r="J52" s="57">
        <f t="shared" si="7"/>
        <v>0.90929498073979698</v>
      </c>
      <c r="K52" s="57">
        <f t="shared" si="11"/>
        <v>3.1645993148397262</v>
      </c>
      <c r="L52" s="57" t="str">
        <f t="shared" si="1"/>
        <v xml:space="preserve"> </v>
      </c>
      <c r="M52" s="57">
        <f t="shared" si="10"/>
        <v>2.006409068130921</v>
      </c>
      <c r="N52" s="57">
        <f t="shared" si="8"/>
        <v>2</v>
      </c>
      <c r="O52" s="57">
        <f t="shared" si="2"/>
        <v>1.5822996574198631</v>
      </c>
      <c r="P52" s="57">
        <f t="shared" si="3"/>
        <v>0.90929498073979698</v>
      </c>
      <c r="Q52" s="57">
        <f t="shared" si="4"/>
        <v>1</v>
      </c>
    </row>
    <row r="53" spans="1:17">
      <c r="A53" s="91">
        <v>26</v>
      </c>
      <c r="B53" s="57">
        <f>Tabelle2!B30</f>
        <v>10</v>
      </c>
      <c r="C53" s="57">
        <f>Tabelle2!E30</f>
        <v>6.6509999999999998</v>
      </c>
      <c r="D53" s="57">
        <f>Tabelle2!B30</f>
        <v>10</v>
      </c>
      <c r="E53" s="57">
        <f>Tabelle2!H30</f>
        <v>4.0060000000000002</v>
      </c>
      <c r="F53" s="57">
        <f t="shared" si="5"/>
        <v>7.5176665163133368E-5</v>
      </c>
      <c r="G53" s="57">
        <f t="shared" si="0"/>
        <v>1.2481278082875685E-4</v>
      </c>
      <c r="H53" s="57">
        <f t="shared" si="6"/>
        <v>1.999894459918902E-4</v>
      </c>
      <c r="I53" s="57">
        <f t="shared" si="9"/>
        <v>8.4657595705971942E-7</v>
      </c>
      <c r="J53" s="57">
        <f t="shared" si="7"/>
        <v>0.91637885141106412</v>
      </c>
      <c r="K53" s="57">
        <f t="shared" si="11"/>
        <v>6.0806014365759182</v>
      </c>
      <c r="L53" s="57" t="str">
        <f t="shared" si="1"/>
        <v xml:space="preserve"> </v>
      </c>
      <c r="M53" s="57">
        <f t="shared" si="10"/>
        <v>3.8552033443304072</v>
      </c>
      <c r="N53" s="57">
        <f t="shared" si="8"/>
        <v>4</v>
      </c>
      <c r="O53" s="57">
        <f t="shared" si="2"/>
        <v>1.5201503591439796</v>
      </c>
      <c r="P53" s="57">
        <f t="shared" si="3"/>
        <v>0.91637885141106412</v>
      </c>
      <c r="Q53" s="57">
        <f t="shared" si="4"/>
        <v>1</v>
      </c>
    </row>
    <row r="54" spans="1:17">
      <c r="A54" s="91">
        <v>27</v>
      </c>
      <c r="B54" s="57">
        <f>Tabelle2!B31</f>
        <v>10</v>
      </c>
      <c r="C54" s="57">
        <f>Tabelle2!E31</f>
        <v>6.2519999999999998</v>
      </c>
      <c r="D54" s="57">
        <f>Tabelle2!B31</f>
        <v>10</v>
      </c>
      <c r="E54" s="57">
        <f>Tabelle2!H31</f>
        <v>4.22</v>
      </c>
      <c r="F54" s="57">
        <f t="shared" si="5"/>
        <v>7.9974408189379409E-5</v>
      </c>
      <c r="G54" s="57">
        <f t="shared" si="0"/>
        <v>1.1848341232227489E-4</v>
      </c>
      <c r="H54" s="57">
        <f t="shared" si="6"/>
        <v>1.9845782051165431E-4</v>
      </c>
      <c r="I54" s="57">
        <f t="shared" si="9"/>
        <v>8.7317223876712624E-7</v>
      </c>
      <c r="J54" s="57">
        <f t="shared" si="7"/>
        <v>0.91871887249903772</v>
      </c>
      <c r="K54" s="57">
        <f t="shared" si="11"/>
        <v>6.2474535714384709</v>
      </c>
      <c r="L54" s="57" t="str">
        <f t="shared" si="1"/>
        <v xml:space="preserve"> </v>
      </c>
      <c r="M54" s="57">
        <f t="shared" si="10"/>
        <v>3.9609903976408782</v>
      </c>
      <c r="N54" s="57">
        <f t="shared" si="8"/>
        <v>4</v>
      </c>
      <c r="O54" s="57">
        <f t="shared" si="2"/>
        <v>1.5618633928596177</v>
      </c>
      <c r="P54" s="57">
        <f t="shared" si="3"/>
        <v>0.91871887249903772</v>
      </c>
      <c r="Q54" s="57">
        <f t="shared" si="4"/>
        <v>1</v>
      </c>
    </row>
    <row r="55" spans="1:17">
      <c r="A55" s="91">
        <v>28</v>
      </c>
      <c r="B55" s="57">
        <f>Tabelle2!B32</f>
        <v>10</v>
      </c>
      <c r="C55" s="57">
        <f>Tabelle2!E32</f>
        <v>6.2869999999999999</v>
      </c>
      <c r="D55" s="57">
        <f>Tabelle2!B32</f>
        <v>10</v>
      </c>
      <c r="E55" s="57">
        <f>Tabelle2!H32</f>
        <v>4.069</v>
      </c>
      <c r="F55" s="57">
        <f t="shared" si="5"/>
        <v>7.9529187211706698E-5</v>
      </c>
      <c r="G55" s="57">
        <f t="shared" si="0"/>
        <v>1.228803145736053E-4</v>
      </c>
      <c r="H55" s="57">
        <f t="shared" si="6"/>
        <v>2.02409501785312E-4</v>
      </c>
      <c r="I55" s="57">
        <f t="shared" si="9"/>
        <v>8.707383529070774E-7</v>
      </c>
      <c r="J55" s="57">
        <f t="shared" si="7"/>
        <v>0.91851018990255917</v>
      </c>
      <c r="K55" s="57">
        <f t="shared" si="11"/>
        <v>6.3519267538202246</v>
      </c>
      <c r="L55" s="57" t="str">
        <f t="shared" si="1"/>
        <v xml:space="preserve"> </v>
      </c>
      <c r="M55" s="57">
        <f t="shared" si="10"/>
        <v>4.0272281483489367</v>
      </c>
      <c r="N55" s="57">
        <f t="shared" si="8"/>
        <v>4</v>
      </c>
      <c r="O55" s="57">
        <f t="shared" si="2"/>
        <v>1.5879816884550562</v>
      </c>
      <c r="P55" s="57">
        <f t="shared" si="3"/>
        <v>0.91851018990255917</v>
      </c>
      <c r="Q55" s="57">
        <f t="shared" si="4"/>
        <v>1</v>
      </c>
    </row>
    <row r="56" spans="1:17">
      <c r="A56" s="91">
        <v>29</v>
      </c>
      <c r="B56" s="57">
        <f>Tabelle2!B33</f>
        <v>10</v>
      </c>
      <c r="C56" s="57">
        <f>Tabelle2!E33</f>
        <v>6.4189999999999996</v>
      </c>
      <c r="D56" s="57">
        <f>Tabelle2!B33</f>
        <v>10</v>
      </c>
      <c r="E56" s="57">
        <f>Tabelle2!H33</f>
        <v>4.0449999999999999</v>
      </c>
      <c r="F56" s="57">
        <f t="shared" si="5"/>
        <v>7.7893752921015744E-5</v>
      </c>
      <c r="G56" s="57">
        <f t="shared" si="0"/>
        <v>1.2360939431396787E-4</v>
      </c>
      <c r="H56" s="57">
        <f t="shared" si="6"/>
        <v>2.015031472349836E-4</v>
      </c>
      <c r="I56" s="57">
        <f t="shared" si="9"/>
        <v>8.6173893637572893E-7</v>
      </c>
      <c r="J56" s="57">
        <f t="shared" si="7"/>
        <v>0.91772918010247073</v>
      </c>
      <c r="K56" s="57">
        <f t="shared" si="11"/>
        <v>6.250148047689092</v>
      </c>
      <c r="L56" s="57" t="str">
        <f t="shared" si="1"/>
        <v xml:space="preserve"> </v>
      </c>
      <c r="M56" s="57">
        <f t="shared" si="10"/>
        <v>3.9626987407975482</v>
      </c>
      <c r="N56" s="57">
        <f t="shared" si="8"/>
        <v>4</v>
      </c>
      <c r="O56" s="57">
        <f t="shared" si="2"/>
        <v>1.562537011922273</v>
      </c>
      <c r="P56" s="57">
        <f t="shared" si="3"/>
        <v>0.91772918010247073</v>
      </c>
      <c r="Q56" s="57">
        <f t="shared" si="4"/>
        <v>1</v>
      </c>
    </row>
    <row r="57" spans="1:17">
      <c r="A57" s="91">
        <v>30</v>
      </c>
      <c r="B57" s="57">
        <f>Tabelle2!B34</f>
        <v>10</v>
      </c>
      <c r="C57" s="57">
        <f>Tabelle2!E34</f>
        <v>7.1509999999999998</v>
      </c>
      <c r="D57" s="57">
        <f>Tabelle2!B34</f>
        <v>10</v>
      </c>
      <c r="E57" s="57">
        <f>Tabelle2!H34</f>
        <v>4.1929999999999996</v>
      </c>
      <c r="F57" s="57">
        <f t="shared" si="5"/>
        <v>6.9920290868410014E-5</v>
      </c>
      <c r="G57" s="57">
        <f t="shared" si="0"/>
        <v>1.1924636298592894E-4</v>
      </c>
      <c r="H57" s="57">
        <f t="shared" si="6"/>
        <v>1.8916665385433894E-4</v>
      </c>
      <c r="I57" s="57">
        <f t="shared" si="9"/>
        <v>8.1644327316839744E-7</v>
      </c>
      <c r="J57" s="57">
        <f t="shared" si="7"/>
        <v>0.91355939932010866</v>
      </c>
      <c r="K57" s="57">
        <f t="shared" si="11"/>
        <v>5.5212412729803733</v>
      </c>
      <c r="L57" s="57" t="str">
        <f t="shared" si="1"/>
        <v xml:space="preserve"> </v>
      </c>
      <c r="M57" s="57">
        <f t="shared" si="10"/>
        <v>3.5005596144507729</v>
      </c>
      <c r="N57" s="57">
        <f t="shared" si="8"/>
        <v>4</v>
      </c>
      <c r="O57" s="57">
        <f t="shared" si="2"/>
        <v>1.3803103182450933</v>
      </c>
      <c r="P57" s="57">
        <f t="shared" si="3"/>
        <v>0.91355939932010866</v>
      </c>
      <c r="Q57" s="57">
        <f t="shared" si="4"/>
        <v>1</v>
      </c>
    </row>
    <row r="58" spans="1:17">
      <c r="A58" s="91">
        <v>31</v>
      </c>
      <c r="B58" s="57">
        <f>Tabelle2!B35</f>
        <v>10</v>
      </c>
      <c r="C58" s="57">
        <f>Tabelle2!E35</f>
        <v>4.5970000000000004</v>
      </c>
      <c r="D58" s="57">
        <f>Tabelle2!B35</f>
        <v>10</v>
      </c>
      <c r="E58" s="57">
        <f>Tabelle2!H35</f>
        <v>7.577</v>
      </c>
      <c r="F58" s="57">
        <f t="shared" si="5"/>
        <v>1.0876658690450292E-4</v>
      </c>
      <c r="G58" s="57">
        <f t="shared" si="0"/>
        <v>6.5989177774844929E-5</v>
      </c>
      <c r="H58" s="57">
        <f t="shared" si="6"/>
        <v>1.7475576467934785E-4</v>
      </c>
      <c r="I58" s="57">
        <f t="shared" si="9"/>
        <v>1.0182915790352507E-6</v>
      </c>
      <c r="J58" s="57">
        <f t="shared" si="7"/>
        <v>0.92948564531837963</v>
      </c>
      <c r="K58" s="57">
        <f t="shared" si="11"/>
        <v>6.528728928041776</v>
      </c>
      <c r="L58" s="57" t="str">
        <f t="shared" si="1"/>
        <v xml:space="preserve"> </v>
      </c>
      <c r="M58" s="57">
        <f t="shared" si="10"/>
        <v>4.1393236935763893</v>
      </c>
      <c r="N58" s="57">
        <f t="shared" si="8"/>
        <v>4</v>
      </c>
      <c r="O58" s="57">
        <f t="shared" si="2"/>
        <v>1.632182232010444</v>
      </c>
      <c r="P58" s="57">
        <f t="shared" si="3"/>
        <v>0.92948564531837963</v>
      </c>
      <c r="Q58" s="57">
        <f t="shared" si="4"/>
        <v>1</v>
      </c>
    </row>
    <row r="59" spans="1:17">
      <c r="A59" s="91">
        <v>32</v>
      </c>
      <c r="B59" s="57">
        <f>Tabelle2!B36</f>
        <v>10</v>
      </c>
      <c r="C59" s="57">
        <f>Tabelle2!E36</f>
        <v>4.6589999999999998</v>
      </c>
      <c r="D59" s="57">
        <f>Tabelle2!B36</f>
        <v>10</v>
      </c>
      <c r="E59" s="57">
        <f>Tabelle2!H36</f>
        <v>7.8550000000000004</v>
      </c>
      <c r="F59" s="57">
        <f t="shared" si="5"/>
        <v>1.0731916720326251E-4</v>
      </c>
      <c r="G59" s="57">
        <f t="shared" si="0"/>
        <v>6.3653723742838957E-5</v>
      </c>
      <c r="H59" s="57">
        <f t="shared" si="6"/>
        <v>1.7097289094610148E-4</v>
      </c>
      <c r="I59" s="57">
        <f t="shared" si="9"/>
        <v>1.011493389767778E-6</v>
      </c>
      <c r="J59" s="57">
        <f t="shared" si="7"/>
        <v>0.92904534940752792</v>
      </c>
      <c r="K59" s="57">
        <f t="shared" si="11"/>
        <v>6.3402534367843932</v>
      </c>
      <c r="L59" s="57" t="str">
        <f t="shared" si="1"/>
        <v xml:space="preserve"> </v>
      </c>
      <c r="M59" s="57">
        <f t="shared" si="10"/>
        <v>4.0198270694679454</v>
      </c>
      <c r="N59" s="57">
        <f t="shared" si="8"/>
        <v>4</v>
      </c>
      <c r="O59" s="57">
        <f t="shared" si="2"/>
        <v>1.5850633591960983</v>
      </c>
      <c r="P59" s="57">
        <f t="shared" si="3"/>
        <v>0.92904534940752792</v>
      </c>
      <c r="Q59" s="57">
        <f t="shared" si="4"/>
        <v>1</v>
      </c>
    </row>
    <row r="60" spans="1:17">
      <c r="A60" s="91">
        <v>33</v>
      </c>
      <c r="B60" s="57">
        <f>Tabelle2!B37</f>
        <v>10</v>
      </c>
      <c r="C60" s="57">
        <f>Tabelle2!E37</f>
        <v>4.7729999999999997</v>
      </c>
      <c r="D60" s="57">
        <f>Tabelle2!B37</f>
        <v>10</v>
      </c>
      <c r="E60" s="57">
        <f>Tabelle2!H37</f>
        <v>7.7190000000000003</v>
      </c>
      <c r="F60" s="57">
        <f t="shared" ref="F60:F91" si="12">IF(E60=""," ",B60*$B$8/C60)</f>
        <v>1.0475591870940709E-4</v>
      </c>
      <c r="G60" s="57">
        <f t="shared" ref="G60:G91" si="13">IF(E60=""," ",D60*$B$8/E60)</f>
        <v>6.4775229952066329E-5</v>
      </c>
      <c r="H60" s="57">
        <f t="shared" ref="H60:H91" si="14">IF(E60=""," ",F60+G60)</f>
        <v>1.6953114866147343E-4</v>
      </c>
      <c r="I60" s="57">
        <f t="shared" ref="I60:I91" si="15">IF(E60=""," ",SQRT($I$9)*SQRT(F60))</f>
        <v>9.9934095719511608E-7</v>
      </c>
      <c r="J60" s="57">
        <f t="shared" ref="J60:J91" si="16">IF(E60=""," ",1/(1+($I$11/(I60*$B$5))))</f>
        <v>0.92824442275244412</v>
      </c>
      <c r="K60" s="57">
        <f t="shared" ref="K60:K91" si="17">IF(E60=""," ",H60*SQRT(F60)*J60*SQRT(J60)*$I$8/$B$4/$B$10)</f>
        <v>6.2032267695839503</v>
      </c>
      <c r="L60" s="57" t="str">
        <f t="shared" ref="L60:L91" si="18">IF(K60&lt;$B$16,K60," ")</f>
        <v xml:space="preserve"> </v>
      </c>
      <c r="M60" s="57">
        <f t="shared" ref="M60:M91" si="19">IF(ISERROR(K60/$B$17)," ",K60/$B$17)</f>
        <v>3.9329498631317459</v>
      </c>
      <c r="N60" s="57">
        <f t="shared" ref="N60:N91" si="20">IF(M60=" "," ",INT(M60+0.5))</f>
        <v>4</v>
      </c>
      <c r="O60" s="57">
        <f t="shared" ref="O60:O91" si="21">IF(N60&lt;6,K60/N60," ")</f>
        <v>1.5508066923959876</v>
      </c>
      <c r="P60" s="57">
        <f t="shared" ref="P60:P91" si="22">IF(N60&lt;6,J60," ")</f>
        <v>0.92824442275244412</v>
      </c>
      <c r="Q60" s="57">
        <f t="shared" ref="Q60:Q91" si="23">IF(N60&lt;6,1," ")</f>
        <v>1</v>
      </c>
    </row>
    <row r="61" spans="1:17">
      <c r="A61" s="91">
        <v>34</v>
      </c>
      <c r="B61" s="57">
        <f>Tabelle2!B38</f>
        <v>10</v>
      </c>
      <c r="C61" s="57">
        <f>Tabelle2!E38</f>
        <v>4.6630000000000003</v>
      </c>
      <c r="D61" s="57">
        <f>Tabelle2!B38</f>
        <v>10</v>
      </c>
      <c r="E61" s="57">
        <f>Tabelle2!H38</f>
        <v>7.9160000000000004</v>
      </c>
      <c r="F61" s="57">
        <f t="shared" si="12"/>
        <v>1.0722710701265279E-4</v>
      </c>
      <c r="G61" s="57">
        <f t="shared" si="13"/>
        <v>6.3163213744315316E-5</v>
      </c>
      <c r="H61" s="57">
        <f t="shared" si="14"/>
        <v>1.7039032075696811E-4</v>
      </c>
      <c r="I61" s="57">
        <f t="shared" si="15"/>
        <v>1.0110594586496669E-6</v>
      </c>
      <c r="J61" s="57">
        <f t="shared" si="16"/>
        <v>0.92901705838443471</v>
      </c>
      <c r="K61" s="57">
        <f t="shared" si="17"/>
        <v>6.3156505643810696</v>
      </c>
      <c r="L61" s="57" t="str">
        <f t="shared" si="18"/>
        <v xml:space="preserve"> </v>
      </c>
      <c r="M61" s="57">
        <f t="shared" si="19"/>
        <v>4.0042284355237943</v>
      </c>
      <c r="N61" s="57">
        <f t="shared" si="20"/>
        <v>4</v>
      </c>
      <c r="O61" s="57">
        <f t="shared" si="21"/>
        <v>1.5789126410952674</v>
      </c>
      <c r="P61" s="57">
        <f t="shared" si="22"/>
        <v>0.92901705838443471</v>
      </c>
      <c r="Q61" s="57">
        <f t="shared" si="23"/>
        <v>1</v>
      </c>
    </row>
    <row r="62" spans="1:17">
      <c r="A62" s="91">
        <v>35</v>
      </c>
      <c r="B62" s="57">
        <f>Tabelle2!B39</f>
        <v>10</v>
      </c>
      <c r="C62" s="57">
        <f>Tabelle2!E39</f>
        <v>4.8550000000000004</v>
      </c>
      <c r="D62" s="57">
        <f>Tabelle2!B39</f>
        <v>10</v>
      </c>
      <c r="E62" s="57">
        <f>Tabelle2!H39</f>
        <v>7.9109999999999996</v>
      </c>
      <c r="F62" s="57">
        <f t="shared" si="12"/>
        <v>1.0298661174047373E-4</v>
      </c>
      <c r="G62" s="57">
        <f t="shared" si="13"/>
        <v>6.320313487548983E-5</v>
      </c>
      <c r="H62" s="57">
        <f t="shared" si="14"/>
        <v>1.6618974661596357E-4</v>
      </c>
      <c r="I62" s="57">
        <f t="shared" si="15"/>
        <v>9.9086568175226037E-7</v>
      </c>
      <c r="J62" s="57">
        <f t="shared" si="16"/>
        <v>0.92767505800107519</v>
      </c>
      <c r="K62" s="57">
        <f t="shared" si="17"/>
        <v>6.0238448314486348</v>
      </c>
      <c r="L62" s="57" t="str">
        <f t="shared" si="18"/>
        <v xml:space="preserve"> </v>
      </c>
      <c r="M62" s="57">
        <f t="shared" si="19"/>
        <v>3.8192187042940828</v>
      </c>
      <c r="N62" s="57">
        <f t="shared" si="20"/>
        <v>4</v>
      </c>
      <c r="O62" s="57">
        <f t="shared" si="21"/>
        <v>1.5059612078621587</v>
      </c>
      <c r="P62" s="57">
        <f t="shared" si="22"/>
        <v>0.92767505800107519</v>
      </c>
      <c r="Q62" s="57">
        <f t="shared" si="23"/>
        <v>1</v>
      </c>
    </row>
    <row r="63" spans="1:17">
      <c r="A63" s="91">
        <v>36</v>
      </c>
      <c r="B63" s="57">
        <f>Tabelle2!B40</f>
        <v>10</v>
      </c>
      <c r="C63" s="57">
        <f>Tabelle2!E40</f>
        <v>6.2270000000000003</v>
      </c>
      <c r="D63" s="57">
        <f>Tabelle2!B40</f>
        <v>10</v>
      </c>
      <c r="E63" s="57">
        <f>Tabelle2!H40</f>
        <v>7.93</v>
      </c>
      <c r="F63" s="57">
        <f t="shared" si="12"/>
        <v>8.0295487393608481E-5</v>
      </c>
      <c r="G63" s="57">
        <f t="shared" si="13"/>
        <v>6.3051702395964691E-5</v>
      </c>
      <c r="H63" s="57">
        <f t="shared" si="14"/>
        <v>1.4334718978957316E-4</v>
      </c>
      <c r="I63" s="57">
        <f t="shared" si="15"/>
        <v>8.7492327778321095E-7</v>
      </c>
      <c r="J63" s="57">
        <f t="shared" si="16"/>
        <v>0.91886834760247105</v>
      </c>
      <c r="K63" s="57">
        <f t="shared" si="17"/>
        <v>4.5227234779907226</v>
      </c>
      <c r="L63" s="57" t="str">
        <f t="shared" si="18"/>
        <v xml:space="preserve"> </v>
      </c>
      <c r="M63" s="57">
        <f t="shared" si="19"/>
        <v>2.8674825771264465</v>
      </c>
      <c r="N63" s="57">
        <f t="shared" si="20"/>
        <v>3</v>
      </c>
      <c r="O63" s="57">
        <f t="shared" si="21"/>
        <v>1.5075744926635741</v>
      </c>
      <c r="P63" s="57">
        <f t="shared" si="22"/>
        <v>0.91886834760247105</v>
      </c>
      <c r="Q63" s="57">
        <f t="shared" si="23"/>
        <v>1</v>
      </c>
    </row>
    <row r="64" spans="1:17">
      <c r="A64" s="91">
        <v>37</v>
      </c>
      <c r="B64" s="57">
        <f>Tabelle2!B41</f>
        <v>10</v>
      </c>
      <c r="C64" s="57">
        <f>Tabelle2!E41</f>
        <v>6.4649999999999999</v>
      </c>
      <c r="D64" s="57">
        <f>Tabelle2!B41</f>
        <v>10</v>
      </c>
      <c r="E64" s="57">
        <f>Tabelle2!H41</f>
        <v>8.0950000000000006</v>
      </c>
      <c r="F64" s="57">
        <f t="shared" si="12"/>
        <v>7.7339520494972941E-5</v>
      </c>
      <c r="G64" s="57">
        <f t="shared" si="13"/>
        <v>6.1766522544780725E-5</v>
      </c>
      <c r="H64" s="57">
        <f t="shared" si="14"/>
        <v>1.3910604303975368E-4</v>
      </c>
      <c r="I64" s="57">
        <f t="shared" si="15"/>
        <v>8.5866772562392474E-7</v>
      </c>
      <c r="J64" s="57">
        <f t="shared" si="16"/>
        <v>0.91745920913076218</v>
      </c>
      <c r="K64" s="57">
        <f t="shared" si="17"/>
        <v>4.2974637949419705</v>
      </c>
      <c r="L64" s="57" t="str">
        <f t="shared" si="18"/>
        <v xml:space="preserve"> </v>
      </c>
      <c r="M64" s="57">
        <f t="shared" si="19"/>
        <v>2.7246641581771889</v>
      </c>
      <c r="N64" s="57">
        <f t="shared" si="20"/>
        <v>3</v>
      </c>
      <c r="O64" s="57">
        <f t="shared" si="21"/>
        <v>1.4324879316473236</v>
      </c>
      <c r="P64" s="57">
        <f t="shared" si="22"/>
        <v>0.91745920913076218</v>
      </c>
      <c r="Q64" s="57">
        <f t="shared" si="23"/>
        <v>1</v>
      </c>
    </row>
    <row r="65" spans="1:17">
      <c r="A65" s="91">
        <v>38</v>
      </c>
      <c r="B65" s="57">
        <f>Tabelle2!B42</f>
        <v>10</v>
      </c>
      <c r="C65" s="57">
        <f>Tabelle2!E42</f>
        <v>6.1950000000000003</v>
      </c>
      <c r="D65" s="57">
        <f>Tabelle2!B42</f>
        <v>10</v>
      </c>
      <c r="E65" s="57">
        <f>Tabelle2!H42</f>
        <v>8.6980000000000004</v>
      </c>
      <c r="F65" s="57">
        <f t="shared" si="12"/>
        <v>8.0710250201775617E-5</v>
      </c>
      <c r="G65" s="57">
        <f t="shared" si="13"/>
        <v>5.7484479190618535E-5</v>
      </c>
      <c r="H65" s="57">
        <f t="shared" si="14"/>
        <v>1.3819472939239415E-4</v>
      </c>
      <c r="I65" s="57">
        <f t="shared" si="15"/>
        <v>8.7718005606776477E-7</v>
      </c>
      <c r="J65" s="57">
        <f t="shared" si="16"/>
        <v>0.91906018550580015</v>
      </c>
      <c r="K65" s="57">
        <f t="shared" si="17"/>
        <v>4.372774692351733</v>
      </c>
      <c r="L65" s="57" t="str">
        <f t="shared" si="18"/>
        <v xml:space="preserve"> </v>
      </c>
      <c r="M65" s="57">
        <f t="shared" si="19"/>
        <v>2.7724125308648313</v>
      </c>
      <c r="N65" s="57">
        <f t="shared" si="20"/>
        <v>3</v>
      </c>
      <c r="O65" s="57">
        <f t="shared" si="21"/>
        <v>1.4575915641172443</v>
      </c>
      <c r="P65" s="57">
        <f t="shared" si="22"/>
        <v>0.91906018550580015</v>
      </c>
      <c r="Q65" s="57">
        <f t="shared" si="23"/>
        <v>1</v>
      </c>
    </row>
    <row r="66" spans="1:17">
      <c r="A66" s="91">
        <v>39</v>
      </c>
      <c r="B66" s="57">
        <f>Tabelle2!B43</f>
        <v>10</v>
      </c>
      <c r="C66" s="57">
        <f>Tabelle2!E43</f>
        <v>6.4610000000000003</v>
      </c>
      <c r="D66" s="57">
        <f>Tabelle2!B43</f>
        <v>10</v>
      </c>
      <c r="E66" s="57">
        <f>Tabelle2!H43</f>
        <v>7.9569999999999999</v>
      </c>
      <c r="F66" s="57">
        <f t="shared" si="12"/>
        <v>7.7387401331063295E-5</v>
      </c>
      <c r="G66" s="57">
        <f t="shared" si="13"/>
        <v>6.2837752921955517E-5</v>
      </c>
      <c r="H66" s="57">
        <f t="shared" si="14"/>
        <v>1.4022515425301881E-4</v>
      </c>
      <c r="I66" s="57">
        <f t="shared" si="15"/>
        <v>8.5893348475304359E-7</v>
      </c>
      <c r="J66" s="57">
        <f t="shared" si="16"/>
        <v>0.91748264036360783</v>
      </c>
      <c r="K66" s="57">
        <f t="shared" si="17"/>
        <v>4.3335437676804514</v>
      </c>
      <c r="L66" s="57" t="str">
        <f>IF(K66&lt;$B$16,K66," ")</f>
        <v xml:space="preserve"> </v>
      </c>
      <c r="M66" s="57">
        <f t="shared" si="19"/>
        <v>2.7475394663215535</v>
      </c>
      <c r="N66" s="57">
        <f t="shared" si="20"/>
        <v>3</v>
      </c>
      <c r="O66" s="57">
        <f t="shared" si="21"/>
        <v>1.4445145892268172</v>
      </c>
      <c r="P66" s="57">
        <f t="shared" si="22"/>
        <v>0.91748264036360783</v>
      </c>
      <c r="Q66" s="57">
        <f t="shared" si="23"/>
        <v>1</v>
      </c>
    </row>
    <row r="67" spans="1:17">
      <c r="A67" s="91">
        <v>40</v>
      </c>
      <c r="B67" s="57">
        <f>Tabelle2!B44</f>
        <v>10</v>
      </c>
      <c r="C67" s="57">
        <f>Tabelle2!E44</f>
        <v>6.29</v>
      </c>
      <c r="D67" s="57">
        <f>Tabelle2!B44</f>
        <v>10</v>
      </c>
      <c r="E67" s="57">
        <f>Tabelle2!H44</f>
        <v>8.6039999999999992</v>
      </c>
      <c r="F67" s="57">
        <f t="shared" si="12"/>
        <v>7.9491255961844197E-5</v>
      </c>
      <c r="G67" s="57">
        <f t="shared" si="13"/>
        <v>5.8112505811250586E-5</v>
      </c>
      <c r="H67" s="57">
        <f t="shared" si="14"/>
        <v>1.3760376177309478E-4</v>
      </c>
      <c r="I67" s="57">
        <f t="shared" si="15"/>
        <v>8.7053067988597992E-7</v>
      </c>
      <c r="J67" s="57">
        <f t="shared" si="16"/>
        <v>0.91849233428640997</v>
      </c>
      <c r="K67" s="57">
        <f t="shared" si="17"/>
        <v>4.3170654774307717</v>
      </c>
      <c r="L67" s="57" t="str">
        <f t="shared" si="18"/>
        <v xml:space="preserve"> </v>
      </c>
      <c r="M67" s="57">
        <f t="shared" si="19"/>
        <v>2.7370919537947032</v>
      </c>
      <c r="N67" s="57">
        <f t="shared" si="20"/>
        <v>3</v>
      </c>
      <c r="O67" s="57">
        <f t="shared" si="21"/>
        <v>1.4390218258102572</v>
      </c>
      <c r="P67" s="57">
        <f t="shared" si="22"/>
        <v>0.91849233428640997</v>
      </c>
      <c r="Q67" s="57">
        <f t="shared" si="23"/>
        <v>1</v>
      </c>
    </row>
    <row r="68" spans="1:17">
      <c r="A68" s="91">
        <v>41</v>
      </c>
      <c r="B68" s="57">
        <f>Tabelle2!B45</f>
        <v>10</v>
      </c>
      <c r="C68" s="57">
        <f>Tabelle2!E45</f>
        <v>13.914</v>
      </c>
      <c r="D68" s="57">
        <f>Tabelle2!B45</f>
        <v>10</v>
      </c>
      <c r="E68" s="57">
        <f>Tabelle2!H45</f>
        <v>12.462999999999999</v>
      </c>
      <c r="F68" s="57">
        <f t="shared" si="12"/>
        <v>3.5935029466724166E-5</v>
      </c>
      <c r="G68" s="57">
        <f t="shared" si="13"/>
        <v>4.0118751504453188E-5</v>
      </c>
      <c r="H68" s="57">
        <f t="shared" si="14"/>
        <v>7.6053780971177347E-5</v>
      </c>
      <c r="I68" s="57">
        <f t="shared" si="15"/>
        <v>5.8530657756640253E-7</v>
      </c>
      <c r="J68" s="57">
        <f t="shared" si="16"/>
        <v>0.88340416455078774</v>
      </c>
      <c r="K68" s="57">
        <f t="shared" si="17"/>
        <v>1.5132278346926384</v>
      </c>
      <c r="L68" s="57">
        <f t="shared" si="18"/>
        <v>1.5132278346926384</v>
      </c>
      <c r="M68" s="57">
        <f t="shared" si="19"/>
        <v>0.95941183941929686</v>
      </c>
      <c r="N68" s="57">
        <f t="shared" si="20"/>
        <v>1</v>
      </c>
      <c r="O68" s="57">
        <f t="shared" si="21"/>
        <v>1.5132278346926384</v>
      </c>
      <c r="P68" s="57">
        <f t="shared" si="22"/>
        <v>0.88340416455078774</v>
      </c>
      <c r="Q68" s="57">
        <f t="shared" si="23"/>
        <v>1</v>
      </c>
    </row>
    <row r="69" spans="1:17">
      <c r="A69" s="91">
        <v>42</v>
      </c>
      <c r="B69" s="57">
        <f>Tabelle2!B46</f>
        <v>10</v>
      </c>
      <c r="C69" s="57">
        <f>Tabelle2!E46</f>
        <v>13.294</v>
      </c>
      <c r="D69" s="57">
        <f>Tabelle2!B46</f>
        <v>10</v>
      </c>
      <c r="E69" s="57">
        <f>Tabelle2!H46</f>
        <v>12.143000000000001</v>
      </c>
      <c r="F69" s="57">
        <f t="shared" si="12"/>
        <v>3.761095230931247E-5</v>
      </c>
      <c r="G69" s="57">
        <f t="shared" si="13"/>
        <v>4.117598616486865E-5</v>
      </c>
      <c r="H69" s="57">
        <f t="shared" si="14"/>
        <v>7.8786938474181112E-5</v>
      </c>
      <c r="I69" s="57">
        <f t="shared" si="15"/>
        <v>5.9879969016287176E-7</v>
      </c>
      <c r="J69" s="57">
        <f t="shared" si="16"/>
        <v>0.88573126747691111</v>
      </c>
      <c r="K69" s="57">
        <f t="shared" si="17"/>
        <v>1.610088319836638</v>
      </c>
      <c r="L69" s="57">
        <f t="shared" si="18"/>
        <v>1.610088319836638</v>
      </c>
      <c r="M69" s="57">
        <f t="shared" si="19"/>
        <v>1.0208230123362461</v>
      </c>
      <c r="N69" s="57">
        <f t="shared" si="20"/>
        <v>1</v>
      </c>
      <c r="O69" s="57">
        <f t="shared" si="21"/>
        <v>1.610088319836638</v>
      </c>
      <c r="P69" s="57">
        <f t="shared" si="22"/>
        <v>0.88573126747691111</v>
      </c>
      <c r="Q69" s="57">
        <f t="shared" si="23"/>
        <v>1</v>
      </c>
    </row>
    <row r="70" spans="1:17">
      <c r="A70" s="91">
        <v>43</v>
      </c>
      <c r="B70" s="57">
        <f>Tabelle2!B47</f>
        <v>10</v>
      </c>
      <c r="C70" s="57">
        <f>Tabelle2!E47</f>
        <v>13.44</v>
      </c>
      <c r="D70" s="57">
        <f>Tabelle2!B47</f>
        <v>10</v>
      </c>
      <c r="E70" s="57">
        <f>Tabelle2!H47</f>
        <v>12.842000000000001</v>
      </c>
      <c r="F70" s="57">
        <f t="shared" si="12"/>
        <v>3.7202380952380956E-5</v>
      </c>
      <c r="G70" s="57">
        <f t="shared" si="13"/>
        <v>3.8934745366765302E-5</v>
      </c>
      <c r="H70" s="57">
        <f t="shared" si="14"/>
        <v>7.6137126319146257E-5</v>
      </c>
      <c r="I70" s="57">
        <f t="shared" si="15"/>
        <v>5.9553840002017677E-7</v>
      </c>
      <c r="J70" s="57">
        <f t="shared" si="16"/>
        <v>0.88517735981109724</v>
      </c>
      <c r="K70" s="57">
        <f t="shared" si="17"/>
        <v>1.5460112165816615</v>
      </c>
      <c r="L70" s="57">
        <f t="shared" si="18"/>
        <v>1.5460112165816615</v>
      </c>
      <c r="M70" s="57">
        <f t="shared" si="19"/>
        <v>0.98019705364774212</v>
      </c>
      <c r="N70" s="57">
        <f t="shared" si="20"/>
        <v>1</v>
      </c>
      <c r="O70" s="57">
        <f t="shared" si="21"/>
        <v>1.5460112165816615</v>
      </c>
      <c r="P70" s="57">
        <f t="shared" si="22"/>
        <v>0.88517735981109724</v>
      </c>
      <c r="Q70" s="57">
        <f t="shared" si="23"/>
        <v>1</v>
      </c>
    </row>
    <row r="71" spans="1:17">
      <c r="A71" s="91">
        <v>44</v>
      </c>
      <c r="B71" s="57">
        <f>Tabelle2!B48</f>
        <v>10</v>
      </c>
      <c r="C71" s="57">
        <f>Tabelle2!E48</f>
        <v>14.279</v>
      </c>
      <c r="D71" s="57">
        <f>Tabelle2!B48</f>
        <v>10</v>
      </c>
      <c r="E71" s="57">
        <f>Tabelle2!H48</f>
        <v>14.413</v>
      </c>
      <c r="F71" s="57">
        <f t="shared" si="12"/>
        <v>3.5016457735135512E-5</v>
      </c>
      <c r="G71" s="57">
        <f t="shared" si="13"/>
        <v>3.4690904044959412E-5</v>
      </c>
      <c r="H71" s="57">
        <f t="shared" si="14"/>
        <v>6.9707361780094925E-5</v>
      </c>
      <c r="I71" s="57">
        <f t="shared" si="15"/>
        <v>5.7777734298143333E-7</v>
      </c>
      <c r="J71" s="57">
        <f t="shared" si="16"/>
        <v>0.88206395276158578</v>
      </c>
      <c r="K71" s="57">
        <f t="shared" si="17"/>
        <v>1.3659984557730416</v>
      </c>
      <c r="L71" s="57">
        <f t="shared" si="18"/>
        <v>1.3659984557730416</v>
      </c>
      <c r="M71" s="57">
        <f t="shared" si="19"/>
        <v>0.86606594264989067</v>
      </c>
      <c r="N71" s="57">
        <f t="shared" si="20"/>
        <v>1</v>
      </c>
      <c r="O71" s="57">
        <f t="shared" si="21"/>
        <v>1.3659984557730416</v>
      </c>
      <c r="P71" s="57">
        <f t="shared" si="22"/>
        <v>0.88206395276158578</v>
      </c>
      <c r="Q71" s="57">
        <f t="shared" si="23"/>
        <v>1</v>
      </c>
    </row>
    <row r="72" spans="1:17">
      <c r="A72" s="91">
        <v>45</v>
      </c>
      <c r="B72" s="57">
        <f>Tabelle2!B49</f>
        <v>10</v>
      </c>
      <c r="C72" s="57">
        <f>Tabelle2!E49</f>
        <v>13.651</v>
      </c>
      <c r="D72" s="57">
        <f>Tabelle2!B49</f>
        <v>10</v>
      </c>
      <c r="E72" s="57">
        <f>Tabelle2!H49</f>
        <v>13.007999999999999</v>
      </c>
      <c r="F72" s="57">
        <f t="shared" si="12"/>
        <v>3.6627353307450008E-5</v>
      </c>
      <c r="G72" s="57">
        <f t="shared" si="13"/>
        <v>3.843788437884379E-5</v>
      </c>
      <c r="H72" s="57">
        <f t="shared" si="14"/>
        <v>7.5065237686293797E-5</v>
      </c>
      <c r="I72" s="57">
        <f t="shared" si="15"/>
        <v>5.9091793412432387E-7</v>
      </c>
      <c r="J72" s="57">
        <f t="shared" si="16"/>
        <v>0.88438334850998745</v>
      </c>
      <c r="K72" s="57">
        <f t="shared" si="17"/>
        <v>1.5103855214317379</v>
      </c>
      <c r="L72" s="57">
        <f t="shared" si="18"/>
        <v>1.5103855214317379</v>
      </c>
      <c r="M72" s="57">
        <f t="shared" si="19"/>
        <v>0.95760976511737894</v>
      </c>
      <c r="N72" s="57">
        <f t="shared" si="20"/>
        <v>1</v>
      </c>
      <c r="O72" s="57">
        <f t="shared" si="21"/>
        <v>1.5103855214317379</v>
      </c>
      <c r="P72" s="57">
        <f t="shared" si="22"/>
        <v>0.88438334850998745</v>
      </c>
      <c r="Q72" s="57">
        <f t="shared" si="23"/>
        <v>1</v>
      </c>
    </row>
    <row r="73" spans="1:17">
      <c r="A73" s="91">
        <v>46</v>
      </c>
      <c r="B73" s="57">
        <f>Tabelle2!B50</f>
        <v>10</v>
      </c>
      <c r="C73" s="57">
        <f>Tabelle2!E50</f>
        <v>9.2569999999999997</v>
      </c>
      <c r="D73" s="57">
        <f>Tabelle2!B50</f>
        <v>10</v>
      </c>
      <c r="E73" s="57">
        <f>Tabelle2!H50</f>
        <v>2.585</v>
      </c>
      <c r="F73" s="57">
        <f t="shared" si="12"/>
        <v>5.4013179215728642E-5</v>
      </c>
      <c r="G73" s="57">
        <f t="shared" si="13"/>
        <v>1.9342359767891682E-4</v>
      </c>
      <c r="H73" s="57">
        <f t="shared" si="14"/>
        <v>2.4743677689464548E-4</v>
      </c>
      <c r="I73" s="57">
        <f t="shared" si="15"/>
        <v>7.1758652082710781E-7</v>
      </c>
      <c r="J73" s="57">
        <f t="shared" si="16"/>
        <v>0.90280848318808438</v>
      </c>
      <c r="K73" s="57">
        <f t="shared" si="17"/>
        <v>6.2358105524954404</v>
      </c>
      <c r="L73" s="57" t="str">
        <f t="shared" si="18"/>
        <v xml:space="preserve"> </v>
      </c>
      <c r="M73" s="57">
        <f t="shared" si="19"/>
        <v>3.9536085282591298</v>
      </c>
      <c r="N73" s="57">
        <f t="shared" si="20"/>
        <v>4</v>
      </c>
      <c r="O73" s="57">
        <f t="shared" si="21"/>
        <v>1.5589526381238601</v>
      </c>
      <c r="P73" s="57">
        <f t="shared" si="22"/>
        <v>0.90280848318808438</v>
      </c>
      <c r="Q73" s="57">
        <f t="shared" si="23"/>
        <v>1</v>
      </c>
    </row>
    <row r="74" spans="1:17">
      <c r="A74" s="91">
        <v>47</v>
      </c>
      <c r="B74" s="57">
        <f>Tabelle2!B51</f>
        <v>10</v>
      </c>
      <c r="C74" s="57">
        <f>Tabelle2!E51</f>
        <v>9.9160000000000004</v>
      </c>
      <c r="D74" s="57">
        <f>Tabelle2!B51</f>
        <v>10</v>
      </c>
      <c r="E74" s="57">
        <f>Tabelle2!H51</f>
        <v>2.6739999999999999</v>
      </c>
      <c r="F74" s="57">
        <f t="shared" si="12"/>
        <v>5.0423557886244452E-5</v>
      </c>
      <c r="G74" s="57">
        <f t="shared" si="13"/>
        <v>1.8698578908002991E-4</v>
      </c>
      <c r="H74" s="57">
        <f t="shared" si="14"/>
        <v>2.3740934696627437E-4</v>
      </c>
      <c r="I74" s="57">
        <f t="shared" si="15"/>
        <v>6.933318404573965E-7</v>
      </c>
      <c r="J74" s="57">
        <f t="shared" si="16"/>
        <v>0.89974930839469802</v>
      </c>
      <c r="K74" s="57">
        <f t="shared" si="17"/>
        <v>5.7515140401291571</v>
      </c>
      <c r="L74" s="57" t="str">
        <f t="shared" si="18"/>
        <v xml:space="preserve"> </v>
      </c>
      <c r="M74" s="57">
        <f t="shared" si="19"/>
        <v>3.6465564128398666</v>
      </c>
      <c r="N74" s="57">
        <f t="shared" si="20"/>
        <v>4</v>
      </c>
      <c r="O74" s="57">
        <f t="shared" si="21"/>
        <v>1.4378785100322893</v>
      </c>
      <c r="P74" s="57">
        <f t="shared" si="22"/>
        <v>0.89974930839469802</v>
      </c>
      <c r="Q74" s="57">
        <f t="shared" si="23"/>
        <v>1</v>
      </c>
    </row>
    <row r="75" spans="1:17">
      <c r="A75" s="91">
        <v>48</v>
      </c>
      <c r="B75" s="57">
        <f>Tabelle2!B52</f>
        <v>10</v>
      </c>
      <c r="C75" s="57">
        <f>Tabelle2!E52</f>
        <v>6.35</v>
      </c>
      <c r="D75" s="57">
        <f>Tabelle2!B52</f>
        <v>10</v>
      </c>
      <c r="E75" s="57">
        <f>Tabelle2!H52</f>
        <v>3.62</v>
      </c>
      <c r="F75" s="57">
        <f t="shared" si="12"/>
        <v>7.874015748031497E-5</v>
      </c>
      <c r="G75" s="57">
        <f t="shared" si="13"/>
        <v>1.3812154696132598E-4</v>
      </c>
      <c r="H75" s="57">
        <f t="shared" si="14"/>
        <v>2.1686170444164095E-4</v>
      </c>
      <c r="I75" s="57">
        <f t="shared" si="15"/>
        <v>8.6640817520345592E-7</v>
      </c>
      <c r="J75" s="57">
        <f t="shared" si="16"/>
        <v>0.91813625705081148</v>
      </c>
      <c r="K75" s="57">
        <f t="shared" si="17"/>
        <v>6.7674812123502015</v>
      </c>
      <c r="L75" s="57" t="str">
        <f t="shared" si="18"/>
        <v xml:space="preserve"> </v>
      </c>
      <c r="M75" s="57">
        <f t="shared" si="19"/>
        <v>4.2906966481324575</v>
      </c>
      <c r="N75" s="57">
        <f t="shared" si="20"/>
        <v>4</v>
      </c>
      <c r="O75" s="57">
        <f t="shared" si="21"/>
        <v>1.6918703030875504</v>
      </c>
      <c r="P75" s="57">
        <f t="shared" si="22"/>
        <v>0.91813625705081148</v>
      </c>
      <c r="Q75" s="57">
        <f t="shared" si="23"/>
        <v>1</v>
      </c>
    </row>
    <row r="76" spans="1:17">
      <c r="A76" s="91">
        <v>49</v>
      </c>
      <c r="B76" s="57">
        <f>Tabelle2!B53</f>
        <v>10</v>
      </c>
      <c r="C76" s="57">
        <f>Tabelle2!E53</f>
        <v>7.6340000000000003</v>
      </c>
      <c r="D76" s="57">
        <f>Tabelle2!B53</f>
        <v>10</v>
      </c>
      <c r="E76" s="57">
        <f>Tabelle2!H53</f>
        <v>2.343</v>
      </c>
      <c r="F76" s="57">
        <f t="shared" si="12"/>
        <v>6.5496463190987679E-5</v>
      </c>
      <c r="G76" s="57">
        <f t="shared" si="13"/>
        <v>2.1340162185232609E-4</v>
      </c>
      <c r="H76" s="57">
        <f t="shared" si="14"/>
        <v>2.7889808504331378E-4</v>
      </c>
      <c r="I76" s="57">
        <f t="shared" si="15"/>
        <v>7.9019326972627825E-7</v>
      </c>
      <c r="J76" s="57">
        <f t="shared" si="16"/>
        <v>0.91094359470948205</v>
      </c>
      <c r="K76" s="57">
        <f t="shared" si="17"/>
        <v>7.8447125014912995</v>
      </c>
      <c r="L76" s="57" t="str">
        <f t="shared" si="18"/>
        <v xml:space="preserve"> </v>
      </c>
      <c r="M76" s="57">
        <f t="shared" si="19"/>
        <v>4.9736793615748143</v>
      </c>
      <c r="N76" s="57">
        <f t="shared" si="20"/>
        <v>5</v>
      </c>
      <c r="O76" s="57">
        <f t="shared" si="21"/>
        <v>1.56894250029826</v>
      </c>
      <c r="P76" s="57">
        <f t="shared" si="22"/>
        <v>0.91094359470948205</v>
      </c>
      <c r="Q76" s="57">
        <f t="shared" si="23"/>
        <v>1</v>
      </c>
    </row>
    <row r="77" spans="1:17">
      <c r="A77" s="91">
        <v>50</v>
      </c>
      <c r="B77" s="57">
        <f>Tabelle2!B54</f>
        <v>10</v>
      </c>
      <c r="C77" s="57">
        <f>Tabelle2!E54</f>
        <v>8.5350000000000001</v>
      </c>
      <c r="D77" s="57">
        <f>Tabelle2!B54</f>
        <v>10</v>
      </c>
      <c r="E77" s="57">
        <f>Tabelle2!H54</f>
        <v>2.3239999999999998</v>
      </c>
      <c r="F77" s="57">
        <f t="shared" si="12"/>
        <v>5.8582308142940833E-5</v>
      </c>
      <c r="G77" s="57">
        <f t="shared" si="13"/>
        <v>2.1514629948364889E-4</v>
      </c>
      <c r="H77" s="57">
        <f t="shared" si="14"/>
        <v>2.7372860762658972E-4</v>
      </c>
      <c r="I77" s="57">
        <f t="shared" si="15"/>
        <v>7.4732178326467594E-7</v>
      </c>
      <c r="J77" s="57">
        <f t="shared" si="16"/>
        <v>0.90631334475445147</v>
      </c>
      <c r="K77" s="57">
        <f t="shared" si="17"/>
        <v>7.2261393991623715</v>
      </c>
      <c r="L77" s="57" t="str">
        <f t="shared" si="18"/>
        <v xml:space="preserve"> </v>
      </c>
      <c r="M77" s="57">
        <f t="shared" si="19"/>
        <v>4.581493634934886</v>
      </c>
      <c r="N77" s="57">
        <f t="shared" si="20"/>
        <v>5</v>
      </c>
      <c r="O77" s="57">
        <f t="shared" si="21"/>
        <v>1.4452278798324742</v>
      </c>
      <c r="P77" s="57">
        <f t="shared" si="22"/>
        <v>0.90631334475445147</v>
      </c>
      <c r="Q77" s="57">
        <f t="shared" si="23"/>
        <v>1</v>
      </c>
    </row>
    <row r="78" spans="1:17">
      <c r="A78" s="91">
        <v>51</v>
      </c>
      <c r="B78" s="57">
        <f>Tabelle2!B55</f>
        <v>10</v>
      </c>
      <c r="C78" s="57">
        <f>Tabelle2!E55</f>
        <v>9.8840000000000003</v>
      </c>
      <c r="D78" s="57">
        <f>Tabelle2!B55</f>
        <v>10</v>
      </c>
      <c r="E78" s="57">
        <f>Tabelle2!H55</f>
        <v>3.347</v>
      </c>
      <c r="F78" s="57">
        <f t="shared" si="12"/>
        <v>5.0586806960744638E-5</v>
      </c>
      <c r="G78" s="57">
        <f t="shared" si="13"/>
        <v>1.4938751120406333E-4</v>
      </c>
      <c r="H78" s="57">
        <f t="shared" si="14"/>
        <v>1.9997431816480798E-4</v>
      </c>
      <c r="I78" s="57">
        <f t="shared" si="15"/>
        <v>6.9445328371427655E-7</v>
      </c>
      <c r="J78" s="57">
        <f t="shared" si="16"/>
        <v>0.8998949929393516</v>
      </c>
      <c r="K78" s="57">
        <f t="shared" si="17"/>
        <v>4.8536220738344955</v>
      </c>
      <c r="L78" s="57" t="str">
        <f t="shared" si="18"/>
        <v xml:space="preserve"> </v>
      </c>
      <c r="M78" s="57">
        <f t="shared" si="19"/>
        <v>3.0772778394269311</v>
      </c>
      <c r="N78" s="57">
        <f t="shared" si="20"/>
        <v>3</v>
      </c>
      <c r="O78" s="57">
        <f t="shared" si="21"/>
        <v>1.6178740246114984</v>
      </c>
      <c r="P78" s="57">
        <f t="shared" si="22"/>
        <v>0.8998949929393516</v>
      </c>
      <c r="Q78" s="57">
        <f t="shared" si="23"/>
        <v>1</v>
      </c>
    </row>
    <row r="79" spans="1:17">
      <c r="A79" s="91">
        <v>52</v>
      </c>
      <c r="B79" s="57">
        <f>Tabelle2!B56</f>
        <v>10</v>
      </c>
      <c r="C79" s="57">
        <f>Tabelle2!E56</f>
        <v>9.6549999999999994</v>
      </c>
      <c r="D79" s="57">
        <f>Tabelle2!B56</f>
        <v>10</v>
      </c>
      <c r="E79" s="57">
        <f>Tabelle2!H56</f>
        <v>3.633</v>
      </c>
      <c r="F79" s="57">
        <f t="shared" si="12"/>
        <v>5.1786639047125847E-5</v>
      </c>
      <c r="G79" s="57">
        <f t="shared" si="13"/>
        <v>1.3762730525736306E-4</v>
      </c>
      <c r="H79" s="57">
        <f t="shared" si="14"/>
        <v>1.8941394430448892E-4</v>
      </c>
      <c r="I79" s="57">
        <f t="shared" si="15"/>
        <v>7.0264063966678538E-7</v>
      </c>
      <c r="J79" s="57">
        <f t="shared" si="16"/>
        <v>0.90094590148012743</v>
      </c>
      <c r="K79" s="57">
        <f t="shared" si="17"/>
        <v>4.6596599843669573</v>
      </c>
      <c r="L79" s="57" t="str">
        <f t="shared" si="18"/>
        <v xml:space="preserve"> </v>
      </c>
      <c r="M79" s="57">
        <f t="shared" si="19"/>
        <v>2.9543026199871836</v>
      </c>
      <c r="N79" s="57">
        <f t="shared" si="20"/>
        <v>3</v>
      </c>
      <c r="O79" s="57">
        <f t="shared" si="21"/>
        <v>1.5532199947889858</v>
      </c>
      <c r="P79" s="57">
        <f t="shared" si="22"/>
        <v>0.90094590148012743</v>
      </c>
      <c r="Q79" s="57">
        <f t="shared" si="23"/>
        <v>1</v>
      </c>
    </row>
    <row r="80" spans="1:17">
      <c r="A80" s="91">
        <v>53</v>
      </c>
      <c r="B80" s="57">
        <f>Tabelle2!B57</f>
        <v>10</v>
      </c>
      <c r="C80" s="57">
        <f>Tabelle2!E57</f>
        <v>9.4160000000000004</v>
      </c>
      <c r="D80" s="57">
        <f>Tabelle2!B57</f>
        <v>10</v>
      </c>
      <c r="E80" s="57">
        <f>Tabelle2!H57</f>
        <v>3.6059999999999999</v>
      </c>
      <c r="F80" s="57">
        <f t="shared" si="12"/>
        <v>5.3101104502973663E-5</v>
      </c>
      <c r="G80" s="57">
        <f t="shared" si="13"/>
        <v>1.3865779256794233E-4</v>
      </c>
      <c r="H80" s="57">
        <f t="shared" si="14"/>
        <v>1.9175889707091599E-4</v>
      </c>
      <c r="I80" s="57">
        <f t="shared" si="15"/>
        <v>7.1150208855159616E-7</v>
      </c>
      <c r="J80" s="57">
        <f t="shared" si="16"/>
        <v>0.9020587494313107</v>
      </c>
      <c r="K80" s="57">
        <f t="shared" si="17"/>
        <v>4.785693500254915</v>
      </c>
      <c r="L80" s="57" t="str">
        <f t="shared" si="18"/>
        <v xml:space="preserve"> </v>
      </c>
      <c r="M80" s="57">
        <f t="shared" si="19"/>
        <v>3.0342099839242915</v>
      </c>
      <c r="N80" s="57">
        <f t="shared" si="20"/>
        <v>3</v>
      </c>
      <c r="O80" s="57">
        <f t="shared" si="21"/>
        <v>1.5952311667516383</v>
      </c>
      <c r="P80" s="57">
        <f t="shared" si="22"/>
        <v>0.9020587494313107</v>
      </c>
      <c r="Q80" s="57">
        <f t="shared" si="23"/>
        <v>1</v>
      </c>
    </row>
    <row r="81" spans="1:17">
      <c r="A81" s="91">
        <v>54</v>
      </c>
      <c r="B81" s="57">
        <f>Tabelle2!B58</f>
        <v>10</v>
      </c>
      <c r="C81" s="57">
        <f>Tabelle2!E58</f>
        <v>9.5869999999999997</v>
      </c>
      <c r="D81" s="57">
        <f>Tabelle2!B58</f>
        <v>10</v>
      </c>
      <c r="E81" s="57">
        <f>Tabelle2!H58</f>
        <v>3.5</v>
      </c>
      <c r="F81" s="57">
        <f t="shared" si="12"/>
        <v>5.215395848544905E-5</v>
      </c>
      <c r="G81" s="57">
        <f t="shared" si="13"/>
        <v>1.4285714285714287E-4</v>
      </c>
      <c r="H81" s="57">
        <f t="shared" si="14"/>
        <v>1.950111013425919E-4</v>
      </c>
      <c r="I81" s="57">
        <f t="shared" si="15"/>
        <v>7.0512812992805917E-7</v>
      </c>
      <c r="J81" s="57">
        <f t="shared" si="16"/>
        <v>0.90126083312135985</v>
      </c>
      <c r="K81" s="57">
        <f t="shared" si="17"/>
        <v>4.8168604663177286</v>
      </c>
      <c r="L81" s="57" t="str">
        <f t="shared" si="18"/>
        <v xml:space="preserve"> </v>
      </c>
      <c r="M81" s="57">
        <f t="shared" si="19"/>
        <v>3.0539703633951838</v>
      </c>
      <c r="N81" s="57">
        <f t="shared" si="20"/>
        <v>3</v>
      </c>
      <c r="O81" s="57">
        <f t="shared" si="21"/>
        <v>1.6056201554392429</v>
      </c>
      <c r="P81" s="57">
        <f t="shared" si="22"/>
        <v>0.90126083312135985</v>
      </c>
      <c r="Q81" s="57">
        <f t="shared" si="23"/>
        <v>1</v>
      </c>
    </row>
    <row r="82" spans="1:17">
      <c r="A82" s="91">
        <v>55</v>
      </c>
      <c r="B82" s="57">
        <f>Tabelle2!B59</f>
        <v>10</v>
      </c>
      <c r="C82" s="57">
        <f>Tabelle2!E59</f>
        <v>9.1300000000000008</v>
      </c>
      <c r="D82" s="57">
        <f>Tabelle2!B59</f>
        <v>10</v>
      </c>
      <c r="E82" s="57">
        <f>Tabelle2!H59</f>
        <v>3.8330000000000002</v>
      </c>
      <c r="F82" s="57">
        <f t="shared" si="12"/>
        <v>5.4764512595837893E-5</v>
      </c>
      <c r="G82" s="57">
        <f t="shared" si="13"/>
        <v>1.3044612575006522E-4</v>
      </c>
      <c r="H82" s="57">
        <f t="shared" si="14"/>
        <v>1.852106383459031E-4</v>
      </c>
      <c r="I82" s="57">
        <f t="shared" si="15"/>
        <v>7.2256016553871697E-7</v>
      </c>
      <c r="J82" s="57">
        <f t="shared" si="16"/>
        <v>0.90341287055303676</v>
      </c>
      <c r="K82" s="57">
        <f t="shared" si="17"/>
        <v>4.704682258819834</v>
      </c>
      <c r="L82" s="57" t="str">
        <f t="shared" si="18"/>
        <v xml:space="preserve"> </v>
      </c>
      <c r="M82" s="57">
        <f t="shared" si="19"/>
        <v>2.9828474974718411</v>
      </c>
      <c r="N82" s="57">
        <f t="shared" si="20"/>
        <v>3</v>
      </c>
      <c r="O82" s="57">
        <f t="shared" si="21"/>
        <v>1.5682274196066113</v>
      </c>
      <c r="P82" s="57">
        <f t="shared" si="22"/>
        <v>0.90341287055303676</v>
      </c>
      <c r="Q82" s="57">
        <f t="shared" si="23"/>
        <v>1</v>
      </c>
    </row>
    <row r="83" spans="1:17">
      <c r="A83" s="92">
        <v>56</v>
      </c>
      <c r="B83" s="57">
        <f>Tabelle2!B60</f>
        <v>10</v>
      </c>
      <c r="C83" s="57">
        <f>Tabelle2!E60</f>
        <v>11.201000000000001</v>
      </c>
      <c r="D83" s="57">
        <f>Tabelle2!B60</f>
        <v>10</v>
      </c>
      <c r="E83" s="57">
        <f>Tabelle2!H60</f>
        <v>5.9429999999999996</v>
      </c>
      <c r="F83" s="57">
        <f t="shared" si="12"/>
        <v>4.4638871529327739E-5</v>
      </c>
      <c r="G83" s="57">
        <f t="shared" si="13"/>
        <v>8.4132592966515231E-5</v>
      </c>
      <c r="H83" s="57">
        <f t="shared" si="14"/>
        <v>1.2877146449584296E-4</v>
      </c>
      <c r="I83" s="57">
        <f t="shared" si="15"/>
        <v>6.5235050896262629E-7</v>
      </c>
      <c r="J83" s="57">
        <f t="shared" si="16"/>
        <v>0.89411828395321813</v>
      </c>
      <c r="K83" s="57">
        <f t="shared" si="17"/>
        <v>2.9077298030203296</v>
      </c>
      <c r="L83" s="57" t="str">
        <f t="shared" si="18"/>
        <v xml:space="preserve"> </v>
      </c>
      <c r="M83" s="57">
        <f t="shared" si="19"/>
        <v>1.8435494873226941</v>
      </c>
      <c r="N83" s="57">
        <f t="shared" si="20"/>
        <v>2</v>
      </c>
      <c r="O83" s="57">
        <f t="shared" si="21"/>
        <v>1.4538649015101648</v>
      </c>
      <c r="P83" s="57">
        <f t="shared" si="22"/>
        <v>0.89411828395321813</v>
      </c>
      <c r="Q83" s="57">
        <f t="shared" si="23"/>
        <v>1</v>
      </c>
    </row>
    <row r="84" spans="1:17">
      <c r="A84" s="91">
        <v>57</v>
      </c>
      <c r="B84" s="57">
        <f>Tabelle2!B61</f>
        <v>10</v>
      </c>
      <c r="C84" s="57">
        <f>Tabelle2!E61</f>
        <v>11.827</v>
      </c>
      <c r="D84" s="57">
        <f>Tabelle2!B61</f>
        <v>10</v>
      </c>
      <c r="E84" s="57">
        <f>Tabelle2!H61</f>
        <v>5.5309999999999997</v>
      </c>
      <c r="F84" s="57">
        <f t="shared" si="12"/>
        <v>4.2276147797412702E-5</v>
      </c>
      <c r="G84" s="57">
        <f t="shared" si="13"/>
        <v>9.0399566082082806E-5</v>
      </c>
      <c r="H84" s="57">
        <f t="shared" si="14"/>
        <v>1.3267571387949552E-4</v>
      </c>
      <c r="I84" s="57">
        <f t="shared" si="15"/>
        <v>6.3485143525442187E-7</v>
      </c>
      <c r="J84" s="57">
        <f t="shared" si="16"/>
        <v>0.89151636809997503</v>
      </c>
      <c r="K84" s="57">
        <f t="shared" si="17"/>
        <v>2.9028090212530948</v>
      </c>
      <c r="L84" s="57" t="str">
        <f t="shared" si="18"/>
        <v xml:space="preserve"> </v>
      </c>
      <c r="M84" s="57">
        <f t="shared" si="19"/>
        <v>1.8404296291107001</v>
      </c>
      <c r="N84" s="57">
        <f t="shared" si="20"/>
        <v>2</v>
      </c>
      <c r="O84" s="57">
        <f t="shared" si="21"/>
        <v>1.4514045106265474</v>
      </c>
      <c r="P84" s="57">
        <f t="shared" si="22"/>
        <v>0.89151636809997503</v>
      </c>
      <c r="Q84" s="57">
        <f t="shared" si="23"/>
        <v>1</v>
      </c>
    </row>
    <row r="85" spans="1:17">
      <c r="A85" s="91">
        <v>58</v>
      </c>
      <c r="B85" s="57">
        <f>Tabelle2!B62</f>
        <v>10</v>
      </c>
      <c r="C85" s="57">
        <f>Tabelle2!E62</f>
        <v>10.846</v>
      </c>
      <c r="D85" s="57">
        <f>Tabelle2!B62</f>
        <v>10</v>
      </c>
      <c r="E85" s="57">
        <f>Tabelle2!H62</f>
        <v>5.9850000000000003</v>
      </c>
      <c r="F85" s="57">
        <f t="shared" si="12"/>
        <v>4.6099944680066385E-5</v>
      </c>
      <c r="G85" s="57">
        <f t="shared" si="13"/>
        <v>8.3542188805346704E-5</v>
      </c>
      <c r="H85" s="57">
        <f t="shared" si="14"/>
        <v>1.2964213348541309E-4</v>
      </c>
      <c r="I85" s="57">
        <f t="shared" si="15"/>
        <v>6.6294058031299516E-7</v>
      </c>
      <c r="J85" s="57">
        <f t="shared" si="16"/>
        <v>0.89563315412796474</v>
      </c>
      <c r="K85" s="57">
        <f t="shared" si="17"/>
        <v>2.9824760143632401</v>
      </c>
      <c r="L85" s="57" t="str">
        <f t="shared" si="18"/>
        <v xml:space="preserve"> </v>
      </c>
      <c r="M85" s="57">
        <f t="shared" si="19"/>
        <v>1.8909398395684227</v>
      </c>
      <c r="N85" s="57">
        <f t="shared" si="20"/>
        <v>2</v>
      </c>
      <c r="O85" s="57">
        <f t="shared" si="21"/>
        <v>1.49123800718162</v>
      </c>
      <c r="P85" s="57">
        <f t="shared" si="22"/>
        <v>0.89563315412796474</v>
      </c>
      <c r="Q85" s="57">
        <f t="shared" si="23"/>
        <v>1</v>
      </c>
    </row>
    <row r="86" spans="1:17">
      <c r="A86" s="91">
        <v>59</v>
      </c>
      <c r="B86" s="57">
        <f>Tabelle2!B63</f>
        <v>10</v>
      </c>
      <c r="C86" s="57">
        <f>Tabelle2!E63</f>
        <v>10.217000000000001</v>
      </c>
      <c r="D86" s="57">
        <f>Tabelle2!B63</f>
        <v>10</v>
      </c>
      <c r="E86" s="57">
        <f>Tabelle2!H63</f>
        <v>5.4859999999999998</v>
      </c>
      <c r="F86" s="57">
        <f t="shared" si="12"/>
        <v>4.8938044435744348E-5</v>
      </c>
      <c r="G86" s="57">
        <f t="shared" si="13"/>
        <v>9.1141086401749918E-5</v>
      </c>
      <c r="H86" s="57">
        <f t="shared" si="14"/>
        <v>1.4007913083749425E-4</v>
      </c>
      <c r="I86" s="57">
        <f t="shared" si="15"/>
        <v>6.8304246926965216E-7</v>
      </c>
      <c r="J86" s="57">
        <f t="shared" si="16"/>
        <v>0.89839257455211075</v>
      </c>
      <c r="K86" s="57">
        <f t="shared" si="17"/>
        <v>3.3356564887210669</v>
      </c>
      <c r="L86" s="57" t="str">
        <f t="shared" si="18"/>
        <v xml:space="preserve"> </v>
      </c>
      <c r="M86" s="57">
        <f t="shared" si="19"/>
        <v>2.1148621867405839</v>
      </c>
      <c r="N86" s="57">
        <f t="shared" si="20"/>
        <v>2</v>
      </c>
      <c r="O86" s="57">
        <f t="shared" si="21"/>
        <v>1.6678282443605335</v>
      </c>
      <c r="P86" s="57">
        <f t="shared" si="22"/>
        <v>0.89839257455211075</v>
      </c>
      <c r="Q86" s="57">
        <f t="shared" si="23"/>
        <v>1</v>
      </c>
    </row>
    <row r="87" spans="1:17">
      <c r="A87" s="91">
        <v>60</v>
      </c>
      <c r="B87" s="57">
        <f>Tabelle2!B64</f>
        <v>10</v>
      </c>
      <c r="C87" s="57">
        <f>Tabelle2!E64</f>
        <v>9.42</v>
      </c>
      <c r="D87" s="57">
        <f>Tabelle2!B64</f>
        <v>10</v>
      </c>
      <c r="E87" s="57">
        <f>Tabelle2!H64</f>
        <v>5.6150000000000002</v>
      </c>
      <c r="F87" s="57">
        <f t="shared" si="12"/>
        <v>5.3078556263269641E-5</v>
      </c>
      <c r="G87" s="57">
        <f t="shared" si="13"/>
        <v>8.9047195013357083E-5</v>
      </c>
      <c r="H87" s="57">
        <f t="shared" si="14"/>
        <v>1.4212575127662674E-4</v>
      </c>
      <c r="I87" s="57">
        <f t="shared" si="15"/>
        <v>7.1135101049732876E-7</v>
      </c>
      <c r="J87" s="57">
        <f t="shared" si="16"/>
        <v>0.90203998614676106</v>
      </c>
      <c r="K87" s="57">
        <f t="shared" si="17"/>
        <v>3.5461438927250191</v>
      </c>
      <c r="L87" s="57" t="str">
        <f t="shared" si="18"/>
        <v xml:space="preserve"> </v>
      </c>
      <c r="M87" s="57">
        <f t="shared" si="19"/>
        <v>2.2483147328940469</v>
      </c>
      <c r="N87" s="57">
        <f t="shared" si="20"/>
        <v>2</v>
      </c>
      <c r="O87" s="57">
        <f t="shared" si="21"/>
        <v>1.7730719463625095</v>
      </c>
      <c r="P87" s="57">
        <f t="shared" si="22"/>
        <v>0.90203998614676106</v>
      </c>
      <c r="Q87" s="57">
        <f t="shared" si="23"/>
        <v>1</v>
      </c>
    </row>
    <row r="88" spans="1:17">
      <c r="A88" s="91">
        <v>61</v>
      </c>
      <c r="B88" s="57">
        <f>Tabelle2!B65</f>
        <v>10</v>
      </c>
      <c r="C88" s="57">
        <f>Tabelle2!E65</f>
        <v>12.805999999999999</v>
      </c>
      <c r="D88" s="57">
        <f>Tabelle2!B65</f>
        <v>10</v>
      </c>
      <c r="E88" s="57">
        <f>Tabelle2!H65</f>
        <v>13.23</v>
      </c>
      <c r="F88" s="57">
        <f t="shared" si="12"/>
        <v>3.9044198032172421E-5</v>
      </c>
      <c r="G88" s="57">
        <f t="shared" si="13"/>
        <v>3.7792894935752078E-5</v>
      </c>
      <c r="H88" s="57">
        <f t="shared" si="14"/>
        <v>7.6837092967924493E-5</v>
      </c>
      <c r="I88" s="57">
        <f t="shared" si="15"/>
        <v>6.1010229045321899E-7</v>
      </c>
      <c r="J88" s="57">
        <f t="shared" si="16"/>
        <v>0.88761026167256096</v>
      </c>
      <c r="K88" s="57">
        <f t="shared" si="17"/>
        <v>1.6049739807179095</v>
      </c>
      <c r="L88" s="57">
        <f t="shared" si="18"/>
        <v>1.6049739807179095</v>
      </c>
      <c r="M88" s="57">
        <f t="shared" si="19"/>
        <v>1.0175804355154792</v>
      </c>
      <c r="N88" s="57">
        <f t="shared" si="20"/>
        <v>1</v>
      </c>
      <c r="O88" s="57">
        <f t="shared" si="21"/>
        <v>1.6049739807179095</v>
      </c>
      <c r="P88" s="57">
        <f t="shared" si="22"/>
        <v>0.88761026167256096</v>
      </c>
      <c r="Q88" s="57">
        <f t="shared" si="23"/>
        <v>1</v>
      </c>
    </row>
    <row r="89" spans="1:17">
      <c r="A89" s="91">
        <v>62</v>
      </c>
      <c r="B89" s="57">
        <f>Tabelle2!B66</f>
        <v>10</v>
      </c>
      <c r="C89" s="57">
        <f>Tabelle2!E66</f>
        <v>12.935</v>
      </c>
      <c r="D89" s="57">
        <f>Tabelle2!B66</f>
        <v>10</v>
      </c>
      <c r="E89" s="57">
        <f>Tabelle2!H66</f>
        <v>14.782999999999999</v>
      </c>
      <c r="F89" s="57">
        <f t="shared" si="12"/>
        <v>3.8654812524159255E-5</v>
      </c>
      <c r="G89" s="57">
        <f t="shared" si="13"/>
        <v>3.3822634106744234E-5</v>
      </c>
      <c r="H89" s="57">
        <f t="shared" si="14"/>
        <v>7.2477446630903489E-5</v>
      </c>
      <c r="I89" s="57">
        <f t="shared" si="15"/>
        <v>6.0705241006368982E-7</v>
      </c>
      <c r="J89" s="57">
        <f t="shared" si="16"/>
        <v>0.88710935082471865</v>
      </c>
      <c r="K89" s="57">
        <f t="shared" si="17"/>
        <v>1.5050667159155786</v>
      </c>
      <c r="L89" s="57">
        <f t="shared" si="18"/>
        <v>1.5050667159155786</v>
      </c>
      <c r="M89" s="57">
        <f t="shared" si="19"/>
        <v>0.95423755316965975</v>
      </c>
      <c r="N89" s="57">
        <f t="shared" si="20"/>
        <v>1</v>
      </c>
      <c r="O89" s="57">
        <f t="shared" si="21"/>
        <v>1.5050667159155786</v>
      </c>
      <c r="P89" s="57">
        <f t="shared" si="22"/>
        <v>0.88710935082471865</v>
      </c>
      <c r="Q89" s="57">
        <f t="shared" si="23"/>
        <v>1</v>
      </c>
    </row>
    <row r="90" spans="1:17">
      <c r="A90" s="91">
        <v>63</v>
      </c>
      <c r="B90" s="57">
        <f>Tabelle2!B67</f>
        <v>10</v>
      </c>
      <c r="C90" s="57">
        <f>Tabelle2!E67</f>
        <v>12.603999999999999</v>
      </c>
      <c r="D90" s="57">
        <f>Tabelle2!B67</f>
        <v>10</v>
      </c>
      <c r="E90" s="57">
        <f>Tabelle2!H67</f>
        <v>13.723000000000001</v>
      </c>
      <c r="F90" s="57">
        <f t="shared" si="12"/>
        <v>3.9669946048873378E-5</v>
      </c>
      <c r="G90" s="57">
        <f t="shared" si="13"/>
        <v>3.6435181811557237E-5</v>
      </c>
      <c r="H90" s="57">
        <f t="shared" si="14"/>
        <v>7.6105127860430608E-5</v>
      </c>
      <c r="I90" s="57">
        <f t="shared" si="15"/>
        <v>6.1497180792131429E-7</v>
      </c>
      <c r="J90" s="57">
        <f t="shared" si="16"/>
        <v>0.88840087905930887</v>
      </c>
      <c r="K90" s="57">
        <f t="shared" si="17"/>
        <v>1.6045141068587998</v>
      </c>
      <c r="L90" s="57">
        <f t="shared" si="18"/>
        <v>1.6045141068587998</v>
      </c>
      <c r="M90" s="57">
        <f t="shared" si="19"/>
        <v>1.0172888677720411</v>
      </c>
      <c r="N90" s="57">
        <f t="shared" si="20"/>
        <v>1</v>
      </c>
      <c r="O90" s="57">
        <f t="shared" si="21"/>
        <v>1.6045141068587998</v>
      </c>
      <c r="P90" s="57">
        <f t="shared" si="22"/>
        <v>0.88840087905930887</v>
      </c>
      <c r="Q90" s="57">
        <f t="shared" si="23"/>
        <v>1</v>
      </c>
    </row>
    <row r="91" spans="1:17">
      <c r="A91" s="91">
        <v>64</v>
      </c>
      <c r="B91" s="57">
        <f>Tabelle2!B68</f>
        <v>10</v>
      </c>
      <c r="C91" s="57">
        <f>Tabelle2!E68</f>
        <v>11.901</v>
      </c>
      <c r="D91" s="57">
        <f>Tabelle2!B68</f>
        <v>10</v>
      </c>
      <c r="E91" s="57">
        <f>Tabelle2!H68</f>
        <v>13.307</v>
      </c>
      <c r="F91" s="57">
        <f t="shared" si="12"/>
        <v>4.2013276195277707E-5</v>
      </c>
      <c r="G91" s="57">
        <f t="shared" si="13"/>
        <v>3.7574209062899225E-5</v>
      </c>
      <c r="H91" s="57">
        <f t="shared" si="14"/>
        <v>7.9587485258176925E-5</v>
      </c>
      <c r="I91" s="57">
        <f t="shared" si="15"/>
        <v>6.3287461555053779E-7</v>
      </c>
      <c r="J91" s="57">
        <f t="shared" si="16"/>
        <v>0.89121437585931551</v>
      </c>
      <c r="K91" s="57">
        <f t="shared" si="17"/>
        <v>1.7349888075974218</v>
      </c>
      <c r="L91" s="57">
        <f t="shared" si="18"/>
        <v>1.7349888075974218</v>
      </c>
      <c r="M91" s="57">
        <f t="shared" si="19"/>
        <v>1.1000120174283183</v>
      </c>
      <c r="N91" s="57">
        <f t="shared" si="20"/>
        <v>1</v>
      </c>
      <c r="O91" s="57">
        <f t="shared" si="21"/>
        <v>1.7349888075974218</v>
      </c>
      <c r="P91" s="57">
        <f t="shared" si="22"/>
        <v>0.89121437585931551</v>
      </c>
      <c r="Q91" s="57">
        <f t="shared" si="23"/>
        <v>1</v>
      </c>
    </row>
    <row r="92" spans="1:17">
      <c r="A92" s="91">
        <v>65</v>
      </c>
      <c r="B92" s="57">
        <f>Tabelle2!B69</f>
        <v>10</v>
      </c>
      <c r="C92" s="57">
        <f>Tabelle2!E69</f>
        <v>11.593999999999999</v>
      </c>
      <c r="D92" s="57">
        <f>Tabelle2!B69</f>
        <v>10</v>
      </c>
      <c r="E92" s="57">
        <f>Tabelle2!H69</f>
        <v>13.452</v>
      </c>
      <c r="F92" s="57">
        <f t="shared" ref="F92:F123" si="24">IF(E92=""," ",B92*$B$8/C92)</f>
        <v>4.3125754700707268E-5</v>
      </c>
      <c r="G92" s="57">
        <f t="shared" ref="G92:G127" si="25">IF(E92=""," ",D92*$B$8/E92)</f>
        <v>3.7169194171870358E-5</v>
      </c>
      <c r="H92" s="57">
        <f t="shared" ref="H92:H123" si="26">IF(E92=""," ",F92+G92)</f>
        <v>8.0294948872577625E-5</v>
      </c>
      <c r="I92" s="57">
        <f t="shared" ref="I92:I127" si="27">IF(E92=""," ",SQRT($I$9)*SQRT(F92))</f>
        <v>6.4119888157555938E-7</v>
      </c>
      <c r="J92" s="57">
        <f t="shared" ref="J92:J123" si="28">IF(E92=""," ",1/(1+($I$11/(I92*$B$5))))</f>
        <v>0.89247481148619823</v>
      </c>
      <c r="K92" s="57">
        <f t="shared" ref="K92:K123" si="29">IF(E92=""," ",H92*SQRT(F92)*J92*SQRT(J92)*$I$8/$B$4/$B$10)</f>
        <v>1.777198251183987</v>
      </c>
      <c r="L92" s="57">
        <f>IF(K92&lt;$B$16,K92," ")</f>
        <v>1.777198251183987</v>
      </c>
      <c r="M92" s="57">
        <f t="shared" ref="M92:M127" si="30">IF(ISERROR(K92/$B$17)," ",K92/$B$17)</f>
        <v>1.1267735129439469</v>
      </c>
      <c r="N92" s="57">
        <f t="shared" ref="N92:N123" si="31">IF(M92=" "," ",INT(M92+0.5))</f>
        <v>1</v>
      </c>
      <c r="O92" s="57">
        <f t="shared" ref="O92:O123" si="32">IF(N92&lt;6,K92/N92," ")</f>
        <v>1.777198251183987</v>
      </c>
      <c r="P92" s="57">
        <f t="shared" ref="P92:P127" si="33">IF(N92&lt;6,J92," ")</f>
        <v>0.89247481148619823</v>
      </c>
      <c r="Q92" s="57">
        <f t="shared" ref="Q92:Q127" si="34">IF(N92&lt;6,1," ")</f>
        <v>1</v>
      </c>
    </row>
    <row r="93" spans="1:17">
      <c r="A93" s="9">
        <v>66</v>
      </c>
      <c r="B93" s="8">
        <f>Tabelle2!B70</f>
        <v>10</v>
      </c>
      <c r="C93" s="10"/>
      <c r="D93" s="8"/>
      <c r="E93" s="10"/>
      <c r="F93" s="11" t="str">
        <f t="shared" si="24"/>
        <v xml:space="preserve"> </v>
      </c>
      <c r="G93" s="12" t="str">
        <f t="shared" si="25"/>
        <v xml:space="preserve"> </v>
      </c>
      <c r="H93" s="11" t="str">
        <f t="shared" si="26"/>
        <v xml:space="preserve"> </v>
      </c>
      <c r="I93" s="12" t="str">
        <f t="shared" si="27"/>
        <v xml:space="preserve"> </v>
      </c>
      <c r="J93" s="3" t="str">
        <f t="shared" si="28"/>
        <v xml:space="preserve"> </v>
      </c>
      <c r="K93" s="13" t="str">
        <f t="shared" si="29"/>
        <v xml:space="preserve"> </v>
      </c>
      <c r="L93" s="3" t="str">
        <f>IF(K93&lt;$B$16,K93," ")</f>
        <v xml:space="preserve"> </v>
      </c>
      <c r="M93" s="13" t="str">
        <f t="shared" si="30"/>
        <v xml:space="preserve"> </v>
      </c>
      <c r="N93" s="14" t="str">
        <f t="shared" si="31"/>
        <v xml:space="preserve"> </v>
      </c>
      <c r="O93" s="3" t="str">
        <f t="shared" si="32"/>
        <v xml:space="preserve"> </v>
      </c>
      <c r="P93" s="3" t="str">
        <f t="shared" si="33"/>
        <v xml:space="preserve"> </v>
      </c>
      <c r="Q93" s="6" t="str">
        <f t="shared" si="34"/>
        <v xml:space="preserve"> </v>
      </c>
    </row>
    <row r="94" spans="1:17">
      <c r="A94" s="9">
        <v>67</v>
      </c>
      <c r="B94" s="8">
        <f>Tabelle2!B71</f>
        <v>10</v>
      </c>
      <c r="C94" s="10"/>
      <c r="D94" s="8"/>
      <c r="E94" s="10"/>
      <c r="F94" s="11" t="str">
        <f t="shared" si="24"/>
        <v xml:space="preserve"> </v>
      </c>
      <c r="G94" s="12" t="str">
        <f t="shared" si="25"/>
        <v xml:space="preserve"> </v>
      </c>
      <c r="H94" s="11" t="str">
        <f t="shared" si="26"/>
        <v xml:space="preserve"> </v>
      </c>
      <c r="I94" s="12" t="str">
        <f t="shared" si="27"/>
        <v xml:space="preserve"> </v>
      </c>
      <c r="J94" s="3" t="str">
        <f t="shared" si="28"/>
        <v xml:space="preserve"> </v>
      </c>
      <c r="K94" s="13" t="str">
        <f t="shared" si="29"/>
        <v xml:space="preserve"> </v>
      </c>
      <c r="L94" s="3"/>
      <c r="M94" s="13" t="str">
        <f t="shared" si="30"/>
        <v xml:space="preserve"> </v>
      </c>
      <c r="N94" s="14" t="str">
        <f t="shared" si="31"/>
        <v xml:space="preserve"> </v>
      </c>
      <c r="O94" s="3" t="str">
        <f t="shared" si="32"/>
        <v xml:space="preserve"> </v>
      </c>
      <c r="P94" s="3" t="str">
        <f t="shared" si="33"/>
        <v xml:space="preserve"> </v>
      </c>
      <c r="Q94" s="6" t="str">
        <f t="shared" si="34"/>
        <v xml:space="preserve"> </v>
      </c>
    </row>
    <row r="95" spans="1:17">
      <c r="A95" s="9">
        <v>68</v>
      </c>
      <c r="B95" s="8">
        <f>Tabelle2!B72</f>
        <v>10</v>
      </c>
      <c r="C95" s="10"/>
      <c r="D95" s="4"/>
      <c r="E95" s="10"/>
      <c r="F95" s="11" t="str">
        <f t="shared" si="24"/>
        <v xml:space="preserve"> </v>
      </c>
      <c r="G95" s="12" t="str">
        <f t="shared" si="25"/>
        <v xml:space="preserve"> </v>
      </c>
      <c r="H95" s="11" t="str">
        <f t="shared" si="26"/>
        <v xml:space="preserve"> </v>
      </c>
      <c r="I95" s="12" t="str">
        <f t="shared" si="27"/>
        <v xml:space="preserve"> </v>
      </c>
      <c r="J95" s="3" t="str">
        <f t="shared" si="28"/>
        <v xml:space="preserve"> </v>
      </c>
      <c r="K95" s="13" t="str">
        <f t="shared" si="29"/>
        <v xml:space="preserve"> </v>
      </c>
      <c r="L95" s="3"/>
      <c r="M95" s="13" t="str">
        <f t="shared" si="30"/>
        <v xml:space="preserve"> </v>
      </c>
      <c r="N95" s="14" t="str">
        <f t="shared" si="31"/>
        <v xml:space="preserve"> </v>
      </c>
      <c r="O95" s="3" t="str">
        <f t="shared" si="32"/>
        <v xml:space="preserve"> </v>
      </c>
      <c r="P95" s="3" t="str">
        <f t="shared" si="33"/>
        <v xml:space="preserve"> </v>
      </c>
      <c r="Q95" s="6" t="str">
        <f t="shared" si="34"/>
        <v xml:space="preserve"> </v>
      </c>
    </row>
    <row r="96" spans="1:17">
      <c r="A96" s="9">
        <v>69</v>
      </c>
      <c r="B96" s="8">
        <f>Tabelle2!B73</f>
        <v>10</v>
      </c>
      <c r="C96" s="10"/>
      <c r="D96" s="4"/>
      <c r="E96" s="10"/>
      <c r="F96" s="11" t="str">
        <f t="shared" si="24"/>
        <v xml:space="preserve"> </v>
      </c>
      <c r="G96" s="12" t="str">
        <f t="shared" si="25"/>
        <v xml:space="preserve"> </v>
      </c>
      <c r="H96" s="11" t="str">
        <f t="shared" si="26"/>
        <v xml:space="preserve"> </v>
      </c>
      <c r="I96" s="12" t="str">
        <f t="shared" si="27"/>
        <v xml:space="preserve"> </v>
      </c>
      <c r="J96" s="3" t="str">
        <f t="shared" si="28"/>
        <v xml:space="preserve"> </v>
      </c>
      <c r="K96" s="13" t="str">
        <f t="shared" si="29"/>
        <v xml:space="preserve"> </v>
      </c>
      <c r="L96" s="3"/>
      <c r="M96" s="13" t="str">
        <f t="shared" si="30"/>
        <v xml:space="preserve"> </v>
      </c>
      <c r="N96" s="14" t="str">
        <f t="shared" si="31"/>
        <v xml:space="preserve"> </v>
      </c>
      <c r="O96" s="3" t="str">
        <f t="shared" si="32"/>
        <v xml:space="preserve"> </v>
      </c>
      <c r="P96" s="3" t="str">
        <f t="shared" si="33"/>
        <v xml:space="preserve"> </v>
      </c>
      <c r="Q96" s="6" t="str">
        <f t="shared" si="34"/>
        <v xml:space="preserve"> </v>
      </c>
    </row>
    <row r="97" spans="1:17">
      <c r="A97" s="9">
        <v>70</v>
      </c>
      <c r="B97" s="8">
        <f>Tabelle2!B74</f>
        <v>10</v>
      </c>
      <c r="C97" s="10"/>
      <c r="D97" s="4"/>
      <c r="E97" s="10"/>
      <c r="F97" s="11" t="str">
        <f t="shared" si="24"/>
        <v xml:space="preserve"> </v>
      </c>
      <c r="G97" s="12" t="str">
        <f t="shared" si="25"/>
        <v xml:space="preserve"> </v>
      </c>
      <c r="H97" s="11" t="str">
        <f t="shared" si="26"/>
        <v xml:space="preserve"> </v>
      </c>
      <c r="I97" s="12" t="str">
        <f t="shared" si="27"/>
        <v xml:space="preserve"> </v>
      </c>
      <c r="J97" s="3" t="str">
        <f t="shared" si="28"/>
        <v xml:space="preserve"> </v>
      </c>
      <c r="K97" s="13" t="str">
        <f t="shared" si="29"/>
        <v xml:space="preserve"> </v>
      </c>
      <c r="L97" s="3"/>
      <c r="M97" s="13" t="str">
        <f t="shared" si="30"/>
        <v xml:space="preserve"> </v>
      </c>
      <c r="N97" s="14" t="str">
        <f t="shared" si="31"/>
        <v xml:space="preserve"> </v>
      </c>
      <c r="O97" s="3" t="str">
        <f t="shared" si="32"/>
        <v xml:space="preserve"> </v>
      </c>
      <c r="P97" s="3" t="str">
        <f t="shared" si="33"/>
        <v xml:space="preserve"> </v>
      </c>
      <c r="Q97" s="6" t="str">
        <f t="shared" si="34"/>
        <v xml:space="preserve"> </v>
      </c>
    </row>
    <row r="98" spans="1:17">
      <c r="A98" s="9">
        <v>71</v>
      </c>
      <c r="B98" s="8">
        <f>Tabelle2!B75</f>
        <v>0</v>
      </c>
      <c r="C98" s="10"/>
      <c r="D98" s="4"/>
      <c r="E98" s="10"/>
      <c r="F98" s="11" t="str">
        <f t="shared" si="24"/>
        <v xml:space="preserve"> </v>
      </c>
      <c r="G98" s="12" t="str">
        <f t="shared" si="25"/>
        <v xml:space="preserve"> </v>
      </c>
      <c r="H98" s="11" t="str">
        <f t="shared" si="26"/>
        <v xml:space="preserve"> </v>
      </c>
      <c r="I98" s="12" t="str">
        <f t="shared" si="27"/>
        <v xml:space="preserve"> </v>
      </c>
      <c r="J98" s="3" t="str">
        <f t="shared" si="28"/>
        <v xml:space="preserve"> </v>
      </c>
      <c r="K98" s="13" t="str">
        <f t="shared" si="29"/>
        <v xml:space="preserve"> </v>
      </c>
      <c r="L98" s="3"/>
      <c r="M98" s="13" t="str">
        <f t="shared" si="30"/>
        <v xml:space="preserve"> </v>
      </c>
      <c r="N98" s="14" t="str">
        <f t="shared" si="31"/>
        <v xml:space="preserve"> </v>
      </c>
      <c r="O98" s="3" t="str">
        <f t="shared" si="32"/>
        <v xml:space="preserve"> </v>
      </c>
      <c r="P98" s="3" t="str">
        <f t="shared" si="33"/>
        <v xml:space="preserve"> </v>
      </c>
      <c r="Q98" s="6" t="str">
        <f t="shared" si="34"/>
        <v xml:space="preserve"> </v>
      </c>
    </row>
    <row r="99" spans="1:17">
      <c r="A99" s="9">
        <v>72</v>
      </c>
      <c r="B99" s="8">
        <f>Tabelle2!B76</f>
        <v>0</v>
      </c>
      <c r="C99" s="10"/>
      <c r="D99" s="4"/>
      <c r="E99" s="10"/>
      <c r="F99" s="11" t="str">
        <f t="shared" si="24"/>
        <v xml:space="preserve"> </v>
      </c>
      <c r="G99" s="12" t="str">
        <f t="shared" si="25"/>
        <v xml:space="preserve"> </v>
      </c>
      <c r="H99" s="11" t="str">
        <f t="shared" si="26"/>
        <v xml:space="preserve"> </v>
      </c>
      <c r="I99" s="12" t="str">
        <f t="shared" si="27"/>
        <v xml:space="preserve"> </v>
      </c>
      <c r="J99" s="3" t="str">
        <f t="shared" si="28"/>
        <v xml:space="preserve"> </v>
      </c>
      <c r="K99" s="13" t="str">
        <f t="shared" si="29"/>
        <v xml:space="preserve"> </v>
      </c>
      <c r="L99" s="3"/>
      <c r="M99" s="13" t="str">
        <f t="shared" si="30"/>
        <v xml:space="preserve"> </v>
      </c>
      <c r="N99" s="14" t="str">
        <f t="shared" si="31"/>
        <v xml:space="preserve"> </v>
      </c>
      <c r="O99" s="3" t="str">
        <f t="shared" si="32"/>
        <v xml:space="preserve"> </v>
      </c>
      <c r="P99" s="3" t="str">
        <f t="shared" si="33"/>
        <v xml:space="preserve"> </v>
      </c>
      <c r="Q99" s="6" t="str">
        <f t="shared" si="34"/>
        <v xml:space="preserve"> </v>
      </c>
    </row>
    <row r="100" spans="1:17">
      <c r="A100" s="9">
        <v>73</v>
      </c>
      <c r="B100" s="8">
        <f>Tabelle2!B77</f>
        <v>0</v>
      </c>
      <c r="C100" s="10"/>
      <c r="D100" s="4"/>
      <c r="E100" s="10"/>
      <c r="F100" s="11" t="str">
        <f t="shared" si="24"/>
        <v xml:space="preserve"> </v>
      </c>
      <c r="G100" s="12" t="str">
        <f t="shared" si="25"/>
        <v xml:space="preserve"> </v>
      </c>
      <c r="H100" s="11" t="str">
        <f t="shared" si="26"/>
        <v xml:space="preserve"> </v>
      </c>
      <c r="I100" s="12" t="str">
        <f t="shared" si="27"/>
        <v xml:space="preserve"> </v>
      </c>
      <c r="J100" s="3" t="str">
        <f t="shared" si="28"/>
        <v xml:space="preserve"> </v>
      </c>
      <c r="K100" s="13" t="str">
        <f t="shared" si="29"/>
        <v xml:space="preserve"> </v>
      </c>
      <c r="L100" s="3"/>
      <c r="M100" s="13" t="str">
        <f t="shared" si="30"/>
        <v xml:space="preserve"> </v>
      </c>
      <c r="N100" s="14" t="str">
        <f t="shared" si="31"/>
        <v xml:space="preserve"> </v>
      </c>
      <c r="O100" s="3" t="str">
        <f t="shared" si="32"/>
        <v xml:space="preserve"> </v>
      </c>
      <c r="P100" s="3" t="str">
        <f t="shared" si="33"/>
        <v xml:space="preserve"> </v>
      </c>
      <c r="Q100" s="6" t="str">
        <f t="shared" si="34"/>
        <v xml:space="preserve"> </v>
      </c>
    </row>
    <row r="101" spans="1:17">
      <c r="A101" s="9">
        <v>74</v>
      </c>
      <c r="B101" s="8">
        <f>Tabelle2!B78</f>
        <v>0</v>
      </c>
      <c r="C101" s="10"/>
      <c r="D101" s="4"/>
      <c r="E101" s="10"/>
      <c r="F101" s="11" t="str">
        <f t="shared" si="24"/>
        <v xml:space="preserve"> </v>
      </c>
      <c r="G101" s="12" t="str">
        <f t="shared" si="25"/>
        <v xml:space="preserve"> </v>
      </c>
      <c r="H101" s="11" t="str">
        <f t="shared" si="26"/>
        <v xml:space="preserve"> </v>
      </c>
      <c r="I101" s="12" t="str">
        <f t="shared" si="27"/>
        <v xml:space="preserve"> </v>
      </c>
      <c r="J101" s="3" t="str">
        <f t="shared" si="28"/>
        <v xml:space="preserve"> </v>
      </c>
      <c r="K101" s="13" t="str">
        <f t="shared" si="29"/>
        <v xml:space="preserve"> </v>
      </c>
      <c r="L101" s="3"/>
      <c r="M101" s="13" t="str">
        <f t="shared" si="30"/>
        <v xml:space="preserve"> </v>
      </c>
      <c r="N101" s="14" t="str">
        <f t="shared" si="31"/>
        <v xml:space="preserve"> </v>
      </c>
      <c r="O101" s="3" t="str">
        <f t="shared" si="32"/>
        <v xml:space="preserve"> </v>
      </c>
      <c r="P101" s="3" t="str">
        <f t="shared" si="33"/>
        <v xml:space="preserve"> </v>
      </c>
      <c r="Q101" s="6" t="str">
        <f t="shared" si="34"/>
        <v xml:space="preserve"> </v>
      </c>
    </row>
    <row r="102" spans="1:17">
      <c r="A102" s="9">
        <v>75</v>
      </c>
      <c r="B102" s="8">
        <f>Tabelle2!B79</f>
        <v>0</v>
      </c>
      <c r="C102" s="10"/>
      <c r="D102" s="4"/>
      <c r="E102" s="10"/>
      <c r="F102" s="11" t="str">
        <f t="shared" si="24"/>
        <v xml:space="preserve"> </v>
      </c>
      <c r="G102" s="12" t="str">
        <f t="shared" si="25"/>
        <v xml:space="preserve"> </v>
      </c>
      <c r="H102" s="11" t="str">
        <f t="shared" si="26"/>
        <v xml:space="preserve"> </v>
      </c>
      <c r="I102" s="12" t="str">
        <f t="shared" si="27"/>
        <v xml:space="preserve"> </v>
      </c>
      <c r="J102" s="3" t="str">
        <f t="shared" si="28"/>
        <v xml:space="preserve"> </v>
      </c>
      <c r="K102" s="13" t="str">
        <f t="shared" si="29"/>
        <v xml:space="preserve"> </v>
      </c>
      <c r="L102" s="3"/>
      <c r="M102" s="13" t="str">
        <f t="shared" si="30"/>
        <v xml:space="preserve"> </v>
      </c>
      <c r="N102" s="14" t="str">
        <f t="shared" si="31"/>
        <v xml:space="preserve"> </v>
      </c>
      <c r="O102" s="3" t="str">
        <f t="shared" si="32"/>
        <v xml:space="preserve"> </v>
      </c>
      <c r="P102" s="3" t="str">
        <f t="shared" si="33"/>
        <v xml:space="preserve"> </v>
      </c>
      <c r="Q102" s="6" t="str">
        <f t="shared" si="34"/>
        <v xml:space="preserve"> </v>
      </c>
    </row>
    <row r="103" spans="1:17">
      <c r="A103" s="9">
        <v>76</v>
      </c>
      <c r="B103" s="8">
        <f>Tabelle2!B80</f>
        <v>0</v>
      </c>
      <c r="C103" s="10"/>
      <c r="D103" s="4"/>
      <c r="E103" s="10"/>
      <c r="F103" s="11" t="str">
        <f t="shared" si="24"/>
        <v xml:space="preserve"> </v>
      </c>
      <c r="G103" s="12" t="str">
        <f t="shared" si="25"/>
        <v xml:space="preserve"> </v>
      </c>
      <c r="H103" s="11" t="str">
        <f t="shared" si="26"/>
        <v xml:space="preserve"> </v>
      </c>
      <c r="I103" s="12" t="str">
        <f t="shared" si="27"/>
        <v xml:space="preserve"> </v>
      </c>
      <c r="J103" s="3" t="str">
        <f t="shared" si="28"/>
        <v xml:space="preserve"> </v>
      </c>
      <c r="K103" s="13" t="str">
        <f t="shared" si="29"/>
        <v xml:space="preserve"> </v>
      </c>
      <c r="L103" s="3"/>
      <c r="M103" s="13" t="str">
        <f t="shared" si="30"/>
        <v xml:space="preserve"> </v>
      </c>
      <c r="N103" s="14" t="str">
        <f t="shared" si="31"/>
        <v xml:space="preserve"> </v>
      </c>
      <c r="O103" s="3" t="str">
        <f t="shared" si="32"/>
        <v xml:space="preserve"> </v>
      </c>
      <c r="P103" s="3" t="str">
        <f t="shared" si="33"/>
        <v xml:space="preserve"> </v>
      </c>
      <c r="Q103" s="6" t="str">
        <f t="shared" si="34"/>
        <v xml:space="preserve"> </v>
      </c>
    </row>
    <row r="104" spans="1:17">
      <c r="A104" s="9">
        <v>77</v>
      </c>
      <c r="B104" s="8">
        <f>Tabelle2!B81</f>
        <v>0</v>
      </c>
      <c r="C104" s="10"/>
      <c r="D104" s="4"/>
      <c r="E104" s="10"/>
      <c r="F104" s="11" t="str">
        <f t="shared" si="24"/>
        <v xml:space="preserve"> </v>
      </c>
      <c r="G104" s="12" t="str">
        <f t="shared" si="25"/>
        <v xml:space="preserve"> </v>
      </c>
      <c r="H104" s="11" t="str">
        <f t="shared" si="26"/>
        <v xml:space="preserve"> </v>
      </c>
      <c r="I104" s="12" t="str">
        <f t="shared" si="27"/>
        <v xml:space="preserve"> </v>
      </c>
      <c r="J104" s="3" t="str">
        <f t="shared" si="28"/>
        <v xml:space="preserve"> </v>
      </c>
      <c r="K104" s="13" t="str">
        <f t="shared" si="29"/>
        <v xml:space="preserve"> </v>
      </c>
      <c r="L104" s="3"/>
      <c r="M104" s="13" t="str">
        <f t="shared" si="30"/>
        <v xml:space="preserve"> </v>
      </c>
      <c r="N104" s="14" t="str">
        <f t="shared" si="31"/>
        <v xml:space="preserve"> </v>
      </c>
      <c r="O104" s="3" t="str">
        <f t="shared" si="32"/>
        <v xml:space="preserve"> </v>
      </c>
      <c r="P104" s="3" t="str">
        <f t="shared" si="33"/>
        <v xml:space="preserve"> </v>
      </c>
      <c r="Q104" s="6" t="str">
        <f t="shared" si="34"/>
        <v xml:space="preserve"> </v>
      </c>
    </row>
    <row r="105" spans="1:17">
      <c r="A105" s="9">
        <v>78</v>
      </c>
      <c r="B105" s="8">
        <f>Tabelle2!B82</f>
        <v>0</v>
      </c>
      <c r="C105" s="10"/>
      <c r="D105" s="4"/>
      <c r="E105" s="10"/>
      <c r="F105" s="11" t="str">
        <f t="shared" si="24"/>
        <v xml:space="preserve"> </v>
      </c>
      <c r="G105" s="12" t="str">
        <f t="shared" si="25"/>
        <v xml:space="preserve"> </v>
      </c>
      <c r="H105" s="11" t="str">
        <f t="shared" si="26"/>
        <v xml:space="preserve"> </v>
      </c>
      <c r="I105" s="12" t="str">
        <f t="shared" si="27"/>
        <v xml:space="preserve"> </v>
      </c>
      <c r="J105" s="3" t="str">
        <f t="shared" si="28"/>
        <v xml:space="preserve"> </v>
      </c>
      <c r="K105" s="13" t="str">
        <f t="shared" si="29"/>
        <v xml:space="preserve"> </v>
      </c>
      <c r="L105" s="3" t="str">
        <f t="shared" ref="L105:L127" si="35">IF(K105&lt;$B$16,K105," ")</f>
        <v xml:space="preserve"> </v>
      </c>
      <c r="M105" s="13" t="str">
        <f t="shared" si="30"/>
        <v xml:space="preserve"> </v>
      </c>
      <c r="N105" s="14" t="str">
        <f t="shared" si="31"/>
        <v xml:space="preserve"> </v>
      </c>
      <c r="O105" s="3" t="str">
        <f t="shared" si="32"/>
        <v xml:space="preserve"> </v>
      </c>
      <c r="P105" s="3" t="str">
        <f t="shared" si="33"/>
        <v xml:space="preserve"> </v>
      </c>
      <c r="Q105" s="6" t="str">
        <f t="shared" si="34"/>
        <v xml:space="preserve"> </v>
      </c>
    </row>
    <row r="106" spans="1:17">
      <c r="A106" s="9">
        <v>79</v>
      </c>
      <c r="B106" s="8">
        <f>Tabelle2!B83</f>
        <v>0</v>
      </c>
      <c r="C106" s="10"/>
      <c r="D106" s="4"/>
      <c r="E106" s="10"/>
      <c r="F106" s="11" t="str">
        <f t="shared" si="24"/>
        <v xml:space="preserve"> </v>
      </c>
      <c r="G106" s="12" t="str">
        <f t="shared" si="25"/>
        <v xml:space="preserve"> </v>
      </c>
      <c r="H106" s="11" t="str">
        <f t="shared" si="26"/>
        <v xml:space="preserve"> </v>
      </c>
      <c r="I106" s="12" t="str">
        <f t="shared" si="27"/>
        <v xml:space="preserve"> </v>
      </c>
      <c r="J106" s="3" t="str">
        <f t="shared" si="28"/>
        <v xml:space="preserve"> </v>
      </c>
      <c r="K106" s="13" t="str">
        <f t="shared" si="29"/>
        <v xml:space="preserve"> </v>
      </c>
      <c r="L106" s="3" t="str">
        <f t="shared" si="35"/>
        <v xml:space="preserve"> </v>
      </c>
      <c r="M106" s="13" t="str">
        <f t="shared" si="30"/>
        <v xml:space="preserve"> </v>
      </c>
      <c r="N106" s="14" t="str">
        <f t="shared" si="31"/>
        <v xml:space="preserve"> </v>
      </c>
      <c r="O106" s="3" t="str">
        <f t="shared" si="32"/>
        <v xml:space="preserve"> </v>
      </c>
      <c r="P106" s="3" t="str">
        <f t="shared" si="33"/>
        <v xml:space="preserve"> </v>
      </c>
      <c r="Q106" s="6" t="str">
        <f t="shared" si="34"/>
        <v xml:space="preserve"> </v>
      </c>
    </row>
    <row r="107" spans="1:17">
      <c r="A107" s="9">
        <v>80</v>
      </c>
      <c r="B107" s="8">
        <f>Tabelle2!B84</f>
        <v>0</v>
      </c>
      <c r="C107" s="10"/>
      <c r="D107" s="4"/>
      <c r="E107" s="10"/>
      <c r="F107" s="11" t="str">
        <f t="shared" si="24"/>
        <v xml:space="preserve"> </v>
      </c>
      <c r="G107" s="12" t="str">
        <f t="shared" si="25"/>
        <v xml:space="preserve"> </v>
      </c>
      <c r="H107" s="11" t="str">
        <f t="shared" si="26"/>
        <v xml:space="preserve"> </v>
      </c>
      <c r="I107" s="12" t="str">
        <f t="shared" si="27"/>
        <v xml:space="preserve"> </v>
      </c>
      <c r="J107" s="3" t="str">
        <f t="shared" si="28"/>
        <v xml:space="preserve"> </v>
      </c>
      <c r="K107" s="13" t="str">
        <f t="shared" si="29"/>
        <v xml:space="preserve"> </v>
      </c>
      <c r="L107" s="3" t="str">
        <f t="shared" si="35"/>
        <v xml:space="preserve"> </v>
      </c>
      <c r="M107" s="13" t="str">
        <f t="shared" si="30"/>
        <v xml:space="preserve"> </v>
      </c>
      <c r="N107" s="14" t="str">
        <f t="shared" si="31"/>
        <v xml:space="preserve"> </v>
      </c>
      <c r="O107" s="3" t="str">
        <f t="shared" si="32"/>
        <v xml:space="preserve"> </v>
      </c>
      <c r="P107" s="3" t="str">
        <f t="shared" si="33"/>
        <v xml:space="preserve"> </v>
      </c>
      <c r="Q107" s="6" t="str">
        <f t="shared" si="34"/>
        <v xml:space="preserve"> </v>
      </c>
    </row>
    <row r="108" spans="1:17">
      <c r="A108" s="9">
        <v>81</v>
      </c>
      <c r="B108" s="8">
        <f>Tabelle2!B85</f>
        <v>0</v>
      </c>
      <c r="C108" s="10"/>
      <c r="D108" s="4"/>
      <c r="E108" s="10"/>
      <c r="F108" s="11" t="str">
        <f t="shared" si="24"/>
        <v xml:space="preserve"> </v>
      </c>
      <c r="G108" s="12" t="str">
        <f t="shared" si="25"/>
        <v xml:space="preserve"> </v>
      </c>
      <c r="H108" s="11" t="str">
        <f t="shared" si="26"/>
        <v xml:space="preserve"> </v>
      </c>
      <c r="I108" s="12" t="str">
        <f t="shared" si="27"/>
        <v xml:space="preserve"> </v>
      </c>
      <c r="J108" s="3" t="str">
        <f t="shared" si="28"/>
        <v xml:space="preserve"> </v>
      </c>
      <c r="K108" s="13" t="str">
        <f t="shared" si="29"/>
        <v xml:space="preserve"> </v>
      </c>
      <c r="L108" s="3" t="str">
        <f t="shared" si="35"/>
        <v xml:space="preserve"> </v>
      </c>
      <c r="M108" s="13" t="str">
        <f t="shared" si="30"/>
        <v xml:space="preserve"> </v>
      </c>
      <c r="N108" s="14" t="str">
        <f t="shared" si="31"/>
        <v xml:space="preserve"> </v>
      </c>
      <c r="O108" s="3" t="str">
        <f t="shared" si="32"/>
        <v xml:space="preserve"> </v>
      </c>
      <c r="P108" s="3" t="str">
        <f t="shared" si="33"/>
        <v xml:space="preserve"> </v>
      </c>
      <c r="Q108" s="6" t="str">
        <f t="shared" si="34"/>
        <v xml:space="preserve"> </v>
      </c>
    </row>
    <row r="109" spans="1:17">
      <c r="A109" s="9">
        <v>82</v>
      </c>
      <c r="B109" s="8">
        <f>Tabelle2!B86</f>
        <v>0</v>
      </c>
      <c r="C109" s="10"/>
      <c r="D109" s="4"/>
      <c r="E109" s="10"/>
      <c r="F109" s="11" t="str">
        <f t="shared" si="24"/>
        <v xml:space="preserve"> </v>
      </c>
      <c r="G109" s="12" t="str">
        <f t="shared" si="25"/>
        <v xml:space="preserve"> </v>
      </c>
      <c r="H109" s="11" t="str">
        <f t="shared" si="26"/>
        <v xml:space="preserve"> </v>
      </c>
      <c r="I109" s="12" t="str">
        <f t="shared" si="27"/>
        <v xml:space="preserve"> </v>
      </c>
      <c r="J109" s="3" t="str">
        <f t="shared" si="28"/>
        <v xml:space="preserve"> </v>
      </c>
      <c r="K109" s="13" t="str">
        <f t="shared" si="29"/>
        <v xml:space="preserve"> </v>
      </c>
      <c r="L109" s="3" t="str">
        <f t="shared" si="35"/>
        <v xml:space="preserve"> </v>
      </c>
      <c r="M109" s="13" t="str">
        <f t="shared" si="30"/>
        <v xml:space="preserve"> </v>
      </c>
      <c r="N109" s="14" t="str">
        <f t="shared" si="31"/>
        <v xml:space="preserve"> </v>
      </c>
      <c r="O109" s="3" t="str">
        <f t="shared" si="32"/>
        <v xml:space="preserve"> </v>
      </c>
      <c r="P109" s="3" t="str">
        <f t="shared" si="33"/>
        <v xml:space="preserve"> </v>
      </c>
      <c r="Q109" s="6" t="str">
        <f t="shared" si="34"/>
        <v xml:space="preserve"> </v>
      </c>
    </row>
    <row r="110" spans="1:17">
      <c r="A110" s="9">
        <v>83</v>
      </c>
      <c r="B110" s="8">
        <f>Tabelle2!B87</f>
        <v>0</v>
      </c>
      <c r="C110" s="10"/>
      <c r="D110" s="4"/>
      <c r="E110" s="10"/>
      <c r="F110" s="11" t="str">
        <f t="shared" si="24"/>
        <v xml:space="preserve"> </v>
      </c>
      <c r="G110" s="12" t="str">
        <f t="shared" si="25"/>
        <v xml:space="preserve"> </v>
      </c>
      <c r="H110" s="11" t="str">
        <f t="shared" si="26"/>
        <v xml:space="preserve"> </v>
      </c>
      <c r="I110" s="12" t="str">
        <f t="shared" si="27"/>
        <v xml:space="preserve"> </v>
      </c>
      <c r="J110" s="3" t="str">
        <f t="shared" si="28"/>
        <v xml:space="preserve"> </v>
      </c>
      <c r="K110" s="13" t="str">
        <f t="shared" si="29"/>
        <v xml:space="preserve"> </v>
      </c>
      <c r="L110" s="3" t="str">
        <f t="shared" si="35"/>
        <v xml:space="preserve"> </v>
      </c>
      <c r="M110" s="13" t="str">
        <f t="shared" si="30"/>
        <v xml:space="preserve"> </v>
      </c>
      <c r="N110" s="14" t="str">
        <f t="shared" si="31"/>
        <v xml:space="preserve"> </v>
      </c>
      <c r="O110" s="3" t="str">
        <f t="shared" si="32"/>
        <v xml:space="preserve"> </v>
      </c>
      <c r="P110" s="3" t="str">
        <f t="shared" si="33"/>
        <v xml:space="preserve"> </v>
      </c>
      <c r="Q110" s="6" t="str">
        <f t="shared" si="34"/>
        <v xml:space="preserve"> </v>
      </c>
    </row>
    <row r="111" spans="1:17">
      <c r="A111" s="9">
        <v>84</v>
      </c>
      <c r="B111" s="8">
        <f>Tabelle2!B88</f>
        <v>0</v>
      </c>
      <c r="C111" s="10"/>
      <c r="D111" s="4"/>
      <c r="E111" s="10"/>
      <c r="F111" s="11" t="str">
        <f t="shared" si="24"/>
        <v xml:space="preserve"> </v>
      </c>
      <c r="G111" s="12" t="str">
        <f t="shared" si="25"/>
        <v xml:space="preserve"> </v>
      </c>
      <c r="H111" s="11" t="str">
        <f t="shared" si="26"/>
        <v xml:space="preserve"> </v>
      </c>
      <c r="I111" s="12" t="str">
        <f t="shared" si="27"/>
        <v xml:space="preserve"> </v>
      </c>
      <c r="J111" s="3" t="str">
        <f t="shared" si="28"/>
        <v xml:space="preserve"> </v>
      </c>
      <c r="K111" s="13" t="str">
        <f t="shared" si="29"/>
        <v xml:space="preserve"> </v>
      </c>
      <c r="L111" s="3" t="str">
        <f t="shared" si="35"/>
        <v xml:space="preserve"> </v>
      </c>
      <c r="M111" s="13" t="str">
        <f t="shared" si="30"/>
        <v xml:space="preserve"> </v>
      </c>
      <c r="N111" s="14" t="str">
        <f t="shared" si="31"/>
        <v xml:space="preserve"> </v>
      </c>
      <c r="O111" s="3" t="str">
        <f t="shared" si="32"/>
        <v xml:space="preserve"> </v>
      </c>
      <c r="P111" s="3" t="str">
        <f t="shared" si="33"/>
        <v xml:space="preserve"> </v>
      </c>
      <c r="Q111" s="6" t="str">
        <f t="shared" si="34"/>
        <v xml:space="preserve"> </v>
      </c>
    </row>
    <row r="112" spans="1:17">
      <c r="A112" s="9">
        <v>85</v>
      </c>
      <c r="B112" s="8">
        <f>Tabelle2!B89</f>
        <v>0</v>
      </c>
      <c r="C112" s="10"/>
      <c r="D112" s="4"/>
      <c r="E112" s="10"/>
      <c r="F112" s="11" t="str">
        <f t="shared" si="24"/>
        <v xml:space="preserve"> </v>
      </c>
      <c r="G112" s="12" t="str">
        <f t="shared" si="25"/>
        <v xml:space="preserve"> </v>
      </c>
      <c r="H112" s="11" t="str">
        <f t="shared" si="26"/>
        <v xml:space="preserve"> </v>
      </c>
      <c r="I112" s="12" t="str">
        <f t="shared" si="27"/>
        <v xml:space="preserve"> </v>
      </c>
      <c r="J112" s="3" t="str">
        <f t="shared" si="28"/>
        <v xml:space="preserve"> </v>
      </c>
      <c r="K112" s="13" t="str">
        <f t="shared" si="29"/>
        <v xml:space="preserve"> </v>
      </c>
      <c r="L112" s="3" t="str">
        <f t="shared" si="35"/>
        <v xml:space="preserve"> </v>
      </c>
      <c r="M112" s="13" t="str">
        <f t="shared" si="30"/>
        <v xml:space="preserve"> </v>
      </c>
      <c r="N112" s="14" t="str">
        <f t="shared" si="31"/>
        <v xml:space="preserve"> </v>
      </c>
      <c r="O112" s="3" t="str">
        <f t="shared" si="32"/>
        <v xml:space="preserve"> </v>
      </c>
      <c r="P112" s="3" t="str">
        <f t="shared" si="33"/>
        <v xml:space="preserve"> </v>
      </c>
      <c r="Q112" s="6" t="str">
        <f t="shared" si="34"/>
        <v xml:space="preserve"> </v>
      </c>
    </row>
    <row r="113" spans="1:17">
      <c r="A113" s="9">
        <v>86</v>
      </c>
      <c r="B113" s="8">
        <f>Tabelle2!B90</f>
        <v>0</v>
      </c>
      <c r="C113" s="10"/>
      <c r="D113" s="4"/>
      <c r="E113" s="10"/>
      <c r="F113" s="11" t="str">
        <f t="shared" si="24"/>
        <v xml:space="preserve"> </v>
      </c>
      <c r="G113" s="12" t="str">
        <f t="shared" si="25"/>
        <v xml:space="preserve"> </v>
      </c>
      <c r="H113" s="11" t="str">
        <f t="shared" si="26"/>
        <v xml:space="preserve"> </v>
      </c>
      <c r="I113" s="12" t="str">
        <f t="shared" si="27"/>
        <v xml:space="preserve"> </v>
      </c>
      <c r="J113" s="3" t="str">
        <f t="shared" si="28"/>
        <v xml:space="preserve"> </v>
      </c>
      <c r="K113" s="13" t="str">
        <f t="shared" si="29"/>
        <v xml:space="preserve"> </v>
      </c>
      <c r="L113" s="3" t="str">
        <f t="shared" si="35"/>
        <v xml:space="preserve"> </v>
      </c>
      <c r="M113" s="13" t="str">
        <f t="shared" si="30"/>
        <v xml:space="preserve"> </v>
      </c>
      <c r="N113" s="14" t="str">
        <f t="shared" si="31"/>
        <v xml:space="preserve"> </v>
      </c>
      <c r="O113" s="3" t="str">
        <f t="shared" si="32"/>
        <v xml:space="preserve"> </v>
      </c>
      <c r="P113" s="3" t="str">
        <f t="shared" si="33"/>
        <v xml:space="preserve"> </v>
      </c>
      <c r="Q113" s="6" t="str">
        <f t="shared" si="34"/>
        <v xml:space="preserve"> </v>
      </c>
    </row>
    <row r="114" spans="1:17">
      <c r="A114" s="9">
        <v>87</v>
      </c>
      <c r="B114" s="8">
        <f>Tabelle2!B91</f>
        <v>0</v>
      </c>
      <c r="C114" s="10"/>
      <c r="D114" s="4"/>
      <c r="E114" s="10"/>
      <c r="F114" s="11" t="str">
        <f t="shared" si="24"/>
        <v xml:space="preserve"> </v>
      </c>
      <c r="G114" s="12" t="str">
        <f t="shared" si="25"/>
        <v xml:space="preserve"> </v>
      </c>
      <c r="H114" s="11" t="str">
        <f t="shared" si="26"/>
        <v xml:space="preserve"> </v>
      </c>
      <c r="I114" s="12" t="str">
        <f t="shared" si="27"/>
        <v xml:space="preserve"> </v>
      </c>
      <c r="J114" s="3" t="str">
        <f t="shared" si="28"/>
        <v xml:space="preserve"> </v>
      </c>
      <c r="K114" s="13" t="str">
        <f t="shared" si="29"/>
        <v xml:space="preserve"> </v>
      </c>
      <c r="L114" s="3" t="str">
        <f t="shared" si="35"/>
        <v xml:space="preserve"> </v>
      </c>
      <c r="M114" s="13" t="str">
        <f t="shared" si="30"/>
        <v xml:space="preserve"> </v>
      </c>
      <c r="N114" s="14" t="str">
        <f t="shared" si="31"/>
        <v xml:space="preserve"> </v>
      </c>
      <c r="O114" s="3" t="str">
        <f t="shared" si="32"/>
        <v xml:space="preserve"> </v>
      </c>
      <c r="P114" s="3" t="str">
        <f t="shared" si="33"/>
        <v xml:space="preserve"> </v>
      </c>
      <c r="Q114" s="6" t="str">
        <f t="shared" si="34"/>
        <v xml:space="preserve"> </v>
      </c>
    </row>
    <row r="115" spans="1:17">
      <c r="A115" s="9">
        <v>88</v>
      </c>
      <c r="B115" s="8">
        <f>Tabelle2!B92</f>
        <v>0</v>
      </c>
      <c r="C115" s="10"/>
      <c r="D115" s="4"/>
      <c r="E115" s="10"/>
      <c r="F115" s="11" t="str">
        <f t="shared" si="24"/>
        <v xml:space="preserve"> </v>
      </c>
      <c r="G115" s="12" t="str">
        <f t="shared" si="25"/>
        <v xml:space="preserve"> </v>
      </c>
      <c r="H115" s="11" t="str">
        <f t="shared" si="26"/>
        <v xml:space="preserve"> </v>
      </c>
      <c r="I115" s="12" t="str">
        <f t="shared" si="27"/>
        <v xml:space="preserve"> </v>
      </c>
      <c r="J115" s="3" t="str">
        <f t="shared" si="28"/>
        <v xml:space="preserve"> </v>
      </c>
      <c r="K115" s="13" t="str">
        <f t="shared" si="29"/>
        <v xml:space="preserve"> </v>
      </c>
      <c r="L115" s="3" t="str">
        <f t="shared" si="35"/>
        <v xml:space="preserve"> </v>
      </c>
      <c r="M115" s="13" t="str">
        <f t="shared" si="30"/>
        <v xml:space="preserve"> </v>
      </c>
      <c r="N115" s="14" t="str">
        <f t="shared" si="31"/>
        <v xml:space="preserve"> </v>
      </c>
      <c r="O115" s="3" t="str">
        <f t="shared" si="32"/>
        <v xml:space="preserve"> </v>
      </c>
      <c r="P115" s="3" t="str">
        <f t="shared" si="33"/>
        <v xml:space="preserve"> </v>
      </c>
      <c r="Q115" s="6" t="str">
        <f t="shared" si="34"/>
        <v xml:space="preserve"> </v>
      </c>
    </row>
    <row r="116" spans="1:17">
      <c r="A116" s="9">
        <v>89</v>
      </c>
      <c r="B116" s="8">
        <f>Tabelle2!B93</f>
        <v>0</v>
      </c>
      <c r="C116" s="10"/>
      <c r="D116" s="4"/>
      <c r="E116" s="10"/>
      <c r="F116" s="11" t="str">
        <f t="shared" si="24"/>
        <v xml:space="preserve"> </v>
      </c>
      <c r="G116" s="12" t="str">
        <f t="shared" si="25"/>
        <v xml:space="preserve"> </v>
      </c>
      <c r="H116" s="11" t="str">
        <f t="shared" si="26"/>
        <v xml:space="preserve"> </v>
      </c>
      <c r="I116" s="12" t="str">
        <f t="shared" si="27"/>
        <v xml:space="preserve"> </v>
      </c>
      <c r="J116" s="3" t="str">
        <f t="shared" si="28"/>
        <v xml:space="preserve"> </v>
      </c>
      <c r="K116" s="13" t="str">
        <f t="shared" si="29"/>
        <v xml:space="preserve"> </v>
      </c>
      <c r="L116" s="3" t="str">
        <f t="shared" si="35"/>
        <v xml:space="preserve"> </v>
      </c>
      <c r="M116" s="13" t="str">
        <f t="shared" si="30"/>
        <v xml:space="preserve"> </v>
      </c>
      <c r="N116" s="14" t="str">
        <f t="shared" si="31"/>
        <v xml:space="preserve"> </v>
      </c>
      <c r="O116" s="3" t="str">
        <f t="shared" si="32"/>
        <v xml:space="preserve"> </v>
      </c>
      <c r="P116" s="3" t="str">
        <f t="shared" si="33"/>
        <v xml:space="preserve"> </v>
      </c>
      <c r="Q116" s="6" t="str">
        <f t="shared" si="34"/>
        <v xml:space="preserve"> </v>
      </c>
    </row>
    <row r="117" spans="1:17">
      <c r="A117" s="9">
        <v>90</v>
      </c>
      <c r="B117" s="8">
        <f>Tabelle2!B94</f>
        <v>0</v>
      </c>
      <c r="C117" s="10"/>
      <c r="D117" s="4"/>
      <c r="E117" s="10"/>
      <c r="F117" s="11" t="str">
        <f t="shared" si="24"/>
        <v xml:space="preserve"> </v>
      </c>
      <c r="G117" s="12" t="str">
        <f t="shared" si="25"/>
        <v xml:space="preserve"> </v>
      </c>
      <c r="H117" s="11" t="str">
        <f t="shared" si="26"/>
        <v xml:space="preserve"> </v>
      </c>
      <c r="I117" s="12" t="str">
        <f t="shared" si="27"/>
        <v xml:space="preserve"> </v>
      </c>
      <c r="J117" s="3" t="str">
        <f t="shared" si="28"/>
        <v xml:space="preserve"> </v>
      </c>
      <c r="K117" s="13" t="str">
        <f t="shared" si="29"/>
        <v xml:space="preserve"> </v>
      </c>
      <c r="L117" s="3" t="str">
        <f t="shared" si="35"/>
        <v xml:space="preserve"> </v>
      </c>
      <c r="M117" s="13" t="str">
        <f t="shared" si="30"/>
        <v xml:space="preserve"> </v>
      </c>
      <c r="N117" s="14" t="str">
        <f t="shared" si="31"/>
        <v xml:space="preserve"> </v>
      </c>
      <c r="O117" s="3" t="str">
        <f t="shared" si="32"/>
        <v xml:space="preserve"> </v>
      </c>
      <c r="P117" s="3" t="str">
        <f t="shared" si="33"/>
        <v xml:space="preserve"> </v>
      </c>
      <c r="Q117" s="6" t="str">
        <f t="shared" si="34"/>
        <v xml:space="preserve"> </v>
      </c>
    </row>
    <row r="118" spans="1:17">
      <c r="A118" s="9">
        <v>91</v>
      </c>
      <c r="B118" s="8">
        <f>Tabelle2!B95</f>
        <v>0</v>
      </c>
      <c r="C118" s="10"/>
      <c r="D118" s="4"/>
      <c r="E118" s="10"/>
      <c r="F118" s="11" t="str">
        <f t="shared" si="24"/>
        <v xml:space="preserve"> </v>
      </c>
      <c r="G118" s="12" t="str">
        <f t="shared" si="25"/>
        <v xml:space="preserve"> </v>
      </c>
      <c r="H118" s="11" t="str">
        <f t="shared" si="26"/>
        <v xml:space="preserve"> </v>
      </c>
      <c r="I118" s="12" t="str">
        <f t="shared" si="27"/>
        <v xml:space="preserve"> </v>
      </c>
      <c r="J118" s="3" t="str">
        <f t="shared" si="28"/>
        <v xml:space="preserve"> </v>
      </c>
      <c r="K118" s="13" t="str">
        <f t="shared" si="29"/>
        <v xml:space="preserve"> </v>
      </c>
      <c r="L118" s="3" t="str">
        <f t="shared" si="35"/>
        <v xml:space="preserve"> </v>
      </c>
      <c r="M118" s="13" t="str">
        <f t="shared" si="30"/>
        <v xml:space="preserve"> </v>
      </c>
      <c r="N118" s="14" t="str">
        <f t="shared" si="31"/>
        <v xml:space="preserve"> </v>
      </c>
      <c r="O118" s="3" t="str">
        <f t="shared" si="32"/>
        <v xml:space="preserve"> </v>
      </c>
      <c r="P118" s="3" t="str">
        <f t="shared" si="33"/>
        <v xml:space="preserve"> </v>
      </c>
      <c r="Q118" s="6" t="str">
        <f t="shared" si="34"/>
        <v xml:space="preserve"> </v>
      </c>
    </row>
    <row r="119" spans="1:17">
      <c r="A119" s="9">
        <v>92</v>
      </c>
      <c r="B119" s="8">
        <f>Tabelle2!B96</f>
        <v>0</v>
      </c>
      <c r="C119" s="10"/>
      <c r="D119" s="4"/>
      <c r="E119" s="10"/>
      <c r="F119" s="11" t="str">
        <f t="shared" si="24"/>
        <v xml:space="preserve"> </v>
      </c>
      <c r="G119" s="12" t="str">
        <f t="shared" si="25"/>
        <v xml:space="preserve"> </v>
      </c>
      <c r="H119" s="11" t="str">
        <f t="shared" si="26"/>
        <v xml:space="preserve"> </v>
      </c>
      <c r="I119" s="12" t="str">
        <f t="shared" si="27"/>
        <v xml:space="preserve"> </v>
      </c>
      <c r="J119" s="3" t="str">
        <f t="shared" si="28"/>
        <v xml:space="preserve"> </v>
      </c>
      <c r="K119" s="13" t="str">
        <f t="shared" si="29"/>
        <v xml:space="preserve"> </v>
      </c>
      <c r="L119" s="3" t="str">
        <f t="shared" si="35"/>
        <v xml:space="preserve"> </v>
      </c>
      <c r="M119" s="13" t="str">
        <f t="shared" si="30"/>
        <v xml:space="preserve"> </v>
      </c>
      <c r="N119" s="14" t="str">
        <f t="shared" si="31"/>
        <v xml:space="preserve"> </v>
      </c>
      <c r="O119" s="3" t="str">
        <f t="shared" si="32"/>
        <v xml:space="preserve"> </v>
      </c>
      <c r="P119" s="3" t="str">
        <f t="shared" si="33"/>
        <v xml:space="preserve"> </v>
      </c>
      <c r="Q119" s="6" t="str">
        <f t="shared" si="34"/>
        <v xml:space="preserve"> </v>
      </c>
    </row>
    <row r="120" spans="1:17">
      <c r="A120" s="9">
        <v>93</v>
      </c>
      <c r="B120" s="8">
        <f>Tabelle2!B97</f>
        <v>0</v>
      </c>
      <c r="C120" s="10"/>
      <c r="D120" s="4"/>
      <c r="E120" s="10"/>
      <c r="F120" s="11" t="str">
        <f t="shared" si="24"/>
        <v xml:space="preserve"> </v>
      </c>
      <c r="G120" s="12" t="str">
        <f t="shared" si="25"/>
        <v xml:space="preserve"> </v>
      </c>
      <c r="H120" s="11" t="str">
        <f t="shared" si="26"/>
        <v xml:space="preserve"> </v>
      </c>
      <c r="I120" s="12" t="str">
        <f t="shared" si="27"/>
        <v xml:space="preserve"> </v>
      </c>
      <c r="J120" s="3" t="str">
        <f t="shared" si="28"/>
        <v xml:space="preserve"> </v>
      </c>
      <c r="K120" s="13" t="str">
        <f t="shared" si="29"/>
        <v xml:space="preserve"> </v>
      </c>
      <c r="L120" s="3" t="str">
        <f t="shared" si="35"/>
        <v xml:space="preserve"> </v>
      </c>
      <c r="M120" s="13" t="str">
        <f t="shared" si="30"/>
        <v xml:space="preserve"> </v>
      </c>
      <c r="N120" s="14" t="str">
        <f t="shared" si="31"/>
        <v xml:space="preserve"> </v>
      </c>
      <c r="O120" s="3" t="str">
        <f t="shared" si="32"/>
        <v xml:space="preserve"> </v>
      </c>
      <c r="P120" s="3" t="str">
        <f t="shared" si="33"/>
        <v xml:space="preserve"> </v>
      </c>
      <c r="Q120" s="6" t="str">
        <f t="shared" si="34"/>
        <v xml:space="preserve"> </v>
      </c>
    </row>
    <row r="121" spans="1:17">
      <c r="A121" s="9">
        <v>94</v>
      </c>
      <c r="B121" s="8">
        <f>Tabelle2!B98</f>
        <v>0</v>
      </c>
      <c r="C121" s="10"/>
      <c r="D121" s="4"/>
      <c r="E121" s="10"/>
      <c r="F121" s="11" t="str">
        <f t="shared" si="24"/>
        <v xml:space="preserve"> </v>
      </c>
      <c r="G121" s="12" t="str">
        <f t="shared" si="25"/>
        <v xml:space="preserve"> </v>
      </c>
      <c r="H121" s="11" t="str">
        <f t="shared" si="26"/>
        <v xml:space="preserve"> </v>
      </c>
      <c r="I121" s="12" t="str">
        <f t="shared" si="27"/>
        <v xml:space="preserve"> </v>
      </c>
      <c r="J121" s="3" t="str">
        <f t="shared" si="28"/>
        <v xml:space="preserve"> </v>
      </c>
      <c r="K121" s="13" t="str">
        <f t="shared" si="29"/>
        <v xml:space="preserve"> </v>
      </c>
      <c r="L121" s="3" t="str">
        <f t="shared" si="35"/>
        <v xml:space="preserve"> </v>
      </c>
      <c r="M121" s="13" t="str">
        <f t="shared" si="30"/>
        <v xml:space="preserve"> </v>
      </c>
      <c r="N121" s="14" t="str">
        <f t="shared" si="31"/>
        <v xml:space="preserve"> </v>
      </c>
      <c r="O121" s="3" t="str">
        <f t="shared" si="32"/>
        <v xml:space="preserve"> </v>
      </c>
      <c r="P121" s="3" t="str">
        <f t="shared" si="33"/>
        <v xml:space="preserve"> </v>
      </c>
      <c r="Q121" s="6" t="str">
        <f t="shared" si="34"/>
        <v xml:space="preserve"> </v>
      </c>
    </row>
    <row r="122" spans="1:17">
      <c r="A122" s="9">
        <v>95</v>
      </c>
      <c r="B122" s="8">
        <f>Tabelle2!B99</f>
        <v>0</v>
      </c>
      <c r="C122" s="10"/>
      <c r="D122" s="4"/>
      <c r="E122" s="10"/>
      <c r="F122" s="11" t="str">
        <f t="shared" si="24"/>
        <v xml:space="preserve"> </v>
      </c>
      <c r="G122" s="12" t="str">
        <f t="shared" si="25"/>
        <v xml:space="preserve"> </v>
      </c>
      <c r="H122" s="11" t="str">
        <f t="shared" si="26"/>
        <v xml:space="preserve"> </v>
      </c>
      <c r="I122" s="12" t="str">
        <f t="shared" si="27"/>
        <v xml:space="preserve"> </v>
      </c>
      <c r="J122" s="3" t="str">
        <f t="shared" si="28"/>
        <v xml:space="preserve"> </v>
      </c>
      <c r="K122" s="13" t="str">
        <f t="shared" si="29"/>
        <v xml:space="preserve"> </v>
      </c>
      <c r="L122" s="3" t="str">
        <f t="shared" si="35"/>
        <v xml:space="preserve"> </v>
      </c>
      <c r="M122" s="13" t="str">
        <f t="shared" si="30"/>
        <v xml:space="preserve"> </v>
      </c>
      <c r="N122" s="14" t="str">
        <f t="shared" si="31"/>
        <v xml:space="preserve"> </v>
      </c>
      <c r="O122" s="3" t="str">
        <f t="shared" si="32"/>
        <v xml:space="preserve"> </v>
      </c>
      <c r="P122" s="3" t="str">
        <f t="shared" si="33"/>
        <v xml:space="preserve"> </v>
      </c>
      <c r="Q122" s="6" t="str">
        <f t="shared" si="34"/>
        <v xml:space="preserve"> </v>
      </c>
    </row>
    <row r="123" spans="1:17">
      <c r="A123" s="9">
        <v>96</v>
      </c>
      <c r="B123" s="8">
        <f>Tabelle2!B100</f>
        <v>0</v>
      </c>
      <c r="C123" s="10"/>
      <c r="D123" s="4"/>
      <c r="E123" s="10"/>
      <c r="F123" s="11" t="str">
        <f t="shared" si="24"/>
        <v xml:space="preserve"> </v>
      </c>
      <c r="G123" s="12" t="str">
        <f t="shared" si="25"/>
        <v xml:space="preserve"> </v>
      </c>
      <c r="H123" s="11" t="str">
        <f t="shared" si="26"/>
        <v xml:space="preserve"> </v>
      </c>
      <c r="I123" s="12" t="str">
        <f t="shared" si="27"/>
        <v xml:space="preserve"> </v>
      </c>
      <c r="J123" s="3" t="str">
        <f t="shared" si="28"/>
        <v xml:space="preserve"> </v>
      </c>
      <c r="K123" s="13" t="str">
        <f t="shared" si="29"/>
        <v xml:space="preserve"> </v>
      </c>
      <c r="L123" s="3" t="str">
        <f t="shared" si="35"/>
        <v xml:space="preserve"> </v>
      </c>
      <c r="M123" s="13" t="str">
        <f t="shared" si="30"/>
        <v xml:space="preserve"> </v>
      </c>
      <c r="N123" s="14" t="str">
        <f t="shared" si="31"/>
        <v xml:space="preserve"> </v>
      </c>
      <c r="O123" s="3" t="str">
        <f t="shared" si="32"/>
        <v xml:space="preserve"> </v>
      </c>
      <c r="P123" s="3" t="str">
        <f t="shared" si="33"/>
        <v xml:space="preserve"> </v>
      </c>
      <c r="Q123" s="6" t="str">
        <f t="shared" si="34"/>
        <v xml:space="preserve"> </v>
      </c>
    </row>
    <row r="124" spans="1:17">
      <c r="A124" s="9">
        <v>97</v>
      </c>
      <c r="B124" s="8">
        <f>Tabelle2!B101</f>
        <v>0</v>
      </c>
      <c r="C124" s="10"/>
      <c r="D124" s="4"/>
      <c r="E124" s="10"/>
      <c r="F124" s="11" t="str">
        <f>IF(E124=""," ",B124*$B$8/C124)</f>
        <v xml:space="preserve"> </v>
      </c>
      <c r="G124" s="12" t="str">
        <f t="shared" si="25"/>
        <v xml:space="preserve"> </v>
      </c>
      <c r="H124" s="11" t="str">
        <f>IF(E124=""," ",F124+G124)</f>
        <v xml:space="preserve"> </v>
      </c>
      <c r="I124" s="12" t="str">
        <f t="shared" si="27"/>
        <v xml:space="preserve"> </v>
      </c>
      <c r="J124" s="3" t="str">
        <f>IF(E124=""," ",1/(1+($I$11/(I124*$B$5))))</f>
        <v xml:space="preserve"> </v>
      </c>
      <c r="K124" s="13" t="str">
        <f>IF(E124=""," ",H124*SQRT(F124)*J124*SQRT(J124)*$I$8/$B$4/$B$10)</f>
        <v xml:space="preserve"> </v>
      </c>
      <c r="L124" s="3" t="str">
        <f t="shared" si="35"/>
        <v xml:space="preserve"> </v>
      </c>
      <c r="M124" s="13" t="str">
        <f t="shared" si="30"/>
        <v xml:space="preserve"> </v>
      </c>
      <c r="N124" s="14" t="str">
        <f>IF(M124=" "," ",INT(M124+0.5))</f>
        <v xml:space="preserve"> </v>
      </c>
      <c r="O124" s="3" t="str">
        <f>IF(N124&lt;6,K124/N124," ")</f>
        <v xml:space="preserve"> </v>
      </c>
      <c r="P124" s="3" t="str">
        <f t="shared" si="33"/>
        <v xml:space="preserve"> </v>
      </c>
      <c r="Q124" s="6" t="str">
        <f t="shared" si="34"/>
        <v xml:space="preserve"> </v>
      </c>
    </row>
    <row r="125" spans="1:17">
      <c r="A125" s="9">
        <v>98</v>
      </c>
      <c r="B125" s="8">
        <f>Tabelle2!B102</f>
        <v>0</v>
      </c>
      <c r="C125" s="10"/>
      <c r="D125" s="4"/>
      <c r="E125" s="10"/>
      <c r="F125" s="11" t="str">
        <f>IF(E125=""," ",B125*$B$8/C125)</f>
        <v xml:space="preserve"> </v>
      </c>
      <c r="G125" s="12" t="str">
        <f t="shared" si="25"/>
        <v xml:space="preserve"> </v>
      </c>
      <c r="H125" s="11" t="str">
        <f>IF(E125=""," ",F125+G125)</f>
        <v xml:space="preserve"> </v>
      </c>
      <c r="I125" s="12" t="str">
        <f t="shared" si="27"/>
        <v xml:space="preserve"> </v>
      </c>
      <c r="J125" s="3" t="str">
        <f>IF(E125=""," ",1/(1+($I$11/(I125*$B$5))))</f>
        <v xml:space="preserve"> </v>
      </c>
      <c r="K125" s="13" t="str">
        <f>IF(E125=""," ",H125*SQRT(F125)*J125*SQRT(J125)*$I$8/$B$4/$B$10)</f>
        <v xml:space="preserve"> </v>
      </c>
      <c r="L125" s="3" t="str">
        <f t="shared" si="35"/>
        <v xml:space="preserve"> </v>
      </c>
      <c r="M125" s="13" t="str">
        <f t="shared" si="30"/>
        <v xml:space="preserve"> </v>
      </c>
      <c r="N125" s="14" t="str">
        <f>IF(M125=" "," ",INT(M125+0.5))</f>
        <v xml:space="preserve"> </v>
      </c>
      <c r="O125" s="3" t="str">
        <f>IF(N125&lt;6,K125/N125," ")</f>
        <v xml:space="preserve"> </v>
      </c>
      <c r="P125" s="3" t="str">
        <f t="shared" si="33"/>
        <v xml:space="preserve"> </v>
      </c>
      <c r="Q125" s="6" t="str">
        <f t="shared" si="34"/>
        <v xml:space="preserve"> </v>
      </c>
    </row>
    <row r="126" spans="1:17">
      <c r="A126" s="9">
        <v>99</v>
      </c>
      <c r="B126" s="8">
        <f>Tabelle2!B103</f>
        <v>0</v>
      </c>
      <c r="C126" s="10"/>
      <c r="D126" s="4"/>
      <c r="E126" s="10"/>
      <c r="F126" s="11" t="str">
        <f>IF(E126=""," ",B126*$B$8/C126)</f>
        <v xml:space="preserve"> </v>
      </c>
      <c r="G126" s="12" t="str">
        <f t="shared" si="25"/>
        <v xml:space="preserve"> </v>
      </c>
      <c r="H126" s="11" t="str">
        <f>IF(E126=""," ",F126+G126)</f>
        <v xml:space="preserve"> </v>
      </c>
      <c r="I126" s="12" t="str">
        <f t="shared" si="27"/>
        <v xml:space="preserve"> </v>
      </c>
      <c r="J126" s="3" t="str">
        <f>IF(E126=""," ",1/(1+($I$11/(I126*$B$5))))</f>
        <v xml:space="preserve"> </v>
      </c>
      <c r="K126" s="13" t="str">
        <f>IF(E126=""," ",H126*SQRT(F126)*J126*SQRT(J126)*$I$8/$B$4/$B$10)</f>
        <v xml:space="preserve"> </v>
      </c>
      <c r="L126" s="3" t="str">
        <f t="shared" si="35"/>
        <v xml:space="preserve"> </v>
      </c>
      <c r="M126" s="13" t="str">
        <f t="shared" si="30"/>
        <v xml:space="preserve"> </v>
      </c>
      <c r="N126" s="14" t="str">
        <f>IF(M126=" "," ",INT(M126+0.5))</f>
        <v xml:space="preserve"> </v>
      </c>
      <c r="O126" s="3" t="str">
        <f>IF(N126&lt;6,K126/N126," ")</f>
        <v xml:space="preserve"> </v>
      </c>
      <c r="P126" s="3" t="str">
        <f t="shared" si="33"/>
        <v xml:space="preserve"> </v>
      </c>
      <c r="Q126" s="6" t="str">
        <f t="shared" si="34"/>
        <v xml:space="preserve"> </v>
      </c>
    </row>
    <row r="127" spans="1:17">
      <c r="A127" s="9">
        <v>100</v>
      </c>
      <c r="B127" s="8">
        <f>Tabelle2!B104</f>
        <v>0</v>
      </c>
      <c r="C127" s="10"/>
      <c r="D127" s="4"/>
      <c r="E127" s="10"/>
      <c r="F127" s="11" t="str">
        <f>IF(E127=""," ",B127*$B$8/C127)</f>
        <v xml:space="preserve"> </v>
      </c>
      <c r="G127" s="12" t="str">
        <f t="shared" si="25"/>
        <v xml:space="preserve"> </v>
      </c>
      <c r="H127" s="11" t="str">
        <f>IF(E127=""," ",F127+G127)</f>
        <v xml:space="preserve"> </v>
      </c>
      <c r="I127" s="12" t="str">
        <f t="shared" si="27"/>
        <v xml:space="preserve"> </v>
      </c>
      <c r="J127" s="3" t="str">
        <f>IF(E127=""," ",1/(1+($I$11/(I127*$B$5))))</f>
        <v xml:space="preserve"> </v>
      </c>
      <c r="K127" s="13" t="str">
        <f>IF(E127=""," ",H127*SQRT(F127)*J127*SQRT(J127)*$I$8/$B$4/$B$10)</f>
        <v xml:space="preserve"> </v>
      </c>
      <c r="L127" s="3" t="str">
        <f t="shared" si="35"/>
        <v xml:space="preserve"> </v>
      </c>
      <c r="M127" s="13" t="str">
        <f t="shared" si="30"/>
        <v xml:space="preserve"> </v>
      </c>
      <c r="N127" s="14" t="str">
        <f>IF(M127=" "," ",INT(M127+0.5))</f>
        <v xml:space="preserve"> </v>
      </c>
      <c r="O127" s="3" t="str">
        <f>IF(N127&lt;6,K127/N127," ")</f>
        <v xml:space="preserve"> </v>
      </c>
      <c r="P127" s="3" t="str">
        <f t="shared" si="33"/>
        <v xml:space="preserve"> </v>
      </c>
      <c r="Q127" s="6" t="str">
        <f t="shared" si="34"/>
        <v xml:space="preserve"> </v>
      </c>
    </row>
    <row r="128" spans="1:17">
      <c r="B128" t="s">
        <v>67</v>
      </c>
      <c r="C128" s="3" t="s">
        <v>67</v>
      </c>
      <c r="D128" t="s">
        <v>67</v>
      </c>
      <c r="E128" s="3" t="s">
        <v>67</v>
      </c>
      <c r="F128" t="s">
        <v>67</v>
      </c>
      <c r="G128" t="s">
        <v>67</v>
      </c>
      <c r="H128" t="s">
        <v>67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67</v>
      </c>
      <c r="O128" t="s">
        <v>67</v>
      </c>
      <c r="P128" t="s">
        <v>67</v>
      </c>
      <c r="Q128" t="s">
        <v>67</v>
      </c>
    </row>
  </sheetData>
  <mergeCells count="1">
    <mergeCell ref="A1:Q1"/>
  </mergeCells>
  <printOptions gridLines="1"/>
  <pageMargins left="0.25" right="0.25" top="0.75" bottom="0.75" header="0.3" footer="0.3"/>
  <pageSetup paperSize="9" scale="36" fitToHeight="0" pageOrder="overThenDown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A007-A31C-4B44-9533-73E2D45ABBAE}">
  <dimension ref="A1:N84"/>
  <sheetViews>
    <sheetView zoomScale="190" zoomScaleNormal="190" workbookViewId="0">
      <selection activeCell="G6" sqref="G6:G7"/>
    </sheetView>
  </sheetViews>
  <sheetFormatPr defaultColWidth="11.7109375" defaultRowHeight="12.75"/>
  <cols>
    <col min="1" max="1" width="4.5703125" customWidth="1"/>
    <col min="2" max="2" width="14.42578125" customWidth="1"/>
    <col min="3" max="3" width="11.7109375" customWidth="1"/>
    <col min="4" max="4" width="15.140625" customWidth="1"/>
    <col min="5" max="5" width="11.7109375" customWidth="1"/>
    <col min="6" max="6" width="1.28515625" customWidth="1"/>
    <col min="7" max="7" width="15" customWidth="1"/>
    <col min="8" max="8" width="11.7109375" customWidth="1"/>
    <col min="9" max="9" width="24.5703125" customWidth="1"/>
    <col min="10" max="13" width="11.7109375" customWidth="1"/>
    <col min="14" max="14" width="41.85546875" customWidth="1"/>
    <col min="15" max="15" width="11.7109375" customWidth="1"/>
  </cols>
  <sheetData>
    <row r="1" spans="1:14" ht="26.25">
      <c r="A1" s="52" t="s">
        <v>68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3" spans="1:14">
      <c r="A3" s="15" t="s">
        <v>51</v>
      </c>
      <c r="B3" s="16" t="s">
        <v>69</v>
      </c>
      <c r="C3" s="17" t="s">
        <v>70</v>
      </c>
      <c r="D3" s="17" t="s">
        <v>71</v>
      </c>
      <c r="E3" s="17" t="s">
        <v>72</v>
      </c>
      <c r="F3" s="17" t="s">
        <v>73</v>
      </c>
      <c r="G3" s="17" t="s">
        <v>74</v>
      </c>
      <c r="H3" s="17" t="s">
        <v>75</v>
      </c>
    </row>
    <row r="4" spans="1:14">
      <c r="A4" s="18"/>
      <c r="B4" s="19" t="s">
        <v>62</v>
      </c>
      <c r="C4" s="19" t="s">
        <v>63</v>
      </c>
      <c r="D4" s="20" t="s">
        <v>63</v>
      </c>
      <c r="E4" s="20" t="s">
        <v>63</v>
      </c>
      <c r="F4" s="19" t="s">
        <v>63</v>
      </c>
      <c r="G4" s="20" t="s">
        <v>63</v>
      </c>
      <c r="H4" s="20" t="s">
        <v>63</v>
      </c>
    </row>
    <row r="5" spans="1:14">
      <c r="A5" s="9">
        <v>1</v>
      </c>
      <c r="B5">
        <v>10</v>
      </c>
      <c r="D5">
        <v>4.62</v>
      </c>
      <c r="E5" s="21">
        <f>D5-C5</f>
        <v>4.62</v>
      </c>
      <c r="G5">
        <v>3.42</v>
      </c>
      <c r="H5" s="21">
        <f>G5-F5</f>
        <v>3.42</v>
      </c>
    </row>
    <row r="6" spans="1:14">
      <c r="A6" s="9">
        <v>2</v>
      </c>
      <c r="B6">
        <v>10</v>
      </c>
      <c r="E6" s="21">
        <f>'Eigene Rechnung'!B3-C6</f>
        <v>4.4109999999999996</v>
      </c>
      <c r="H6" s="21">
        <f>'Eigene Rechnung'!C3-F6</f>
        <v>3.46</v>
      </c>
    </row>
    <row r="7" spans="1:14">
      <c r="A7" s="9">
        <v>3</v>
      </c>
      <c r="B7">
        <v>10</v>
      </c>
      <c r="E7" s="21">
        <f>'Eigene Rechnung'!B4-C7</f>
        <v>4.5570000000000004</v>
      </c>
      <c r="H7" s="21">
        <f>'Eigene Rechnung'!C4-F7</f>
        <v>3.52</v>
      </c>
    </row>
    <row r="8" spans="1:14">
      <c r="A8" s="9">
        <v>4</v>
      </c>
      <c r="B8">
        <v>10</v>
      </c>
      <c r="D8">
        <v>4.5069999999999997</v>
      </c>
      <c r="E8" s="21">
        <f t="shared" ref="E8:E39" si="0">D8-C8</f>
        <v>4.5069999999999997</v>
      </c>
      <c r="G8">
        <v>3.6869999999999998</v>
      </c>
      <c r="H8" s="21">
        <f t="shared" ref="H8:H39" si="1">G8-F8</f>
        <v>3.6869999999999998</v>
      </c>
    </row>
    <row r="9" spans="1:14">
      <c r="A9" s="22">
        <v>5</v>
      </c>
      <c r="B9" s="23">
        <v>10</v>
      </c>
      <c r="C9" s="23"/>
      <c r="D9" s="23">
        <v>4.6230000000000002</v>
      </c>
      <c r="E9" s="21">
        <f t="shared" si="0"/>
        <v>4.6230000000000002</v>
      </c>
      <c r="F9" s="23"/>
      <c r="G9" s="23">
        <v>3.8650000000000002</v>
      </c>
      <c r="H9" s="21">
        <f t="shared" si="1"/>
        <v>3.8650000000000002</v>
      </c>
    </row>
    <row r="10" spans="1:14">
      <c r="A10" s="9">
        <v>6</v>
      </c>
      <c r="B10">
        <v>10</v>
      </c>
      <c r="D10">
        <v>8.2769999999999992</v>
      </c>
      <c r="E10" s="21">
        <f t="shared" si="0"/>
        <v>8.2769999999999992</v>
      </c>
      <c r="G10">
        <v>8.0980000000000008</v>
      </c>
      <c r="H10" s="21">
        <f t="shared" si="1"/>
        <v>8.0980000000000008</v>
      </c>
    </row>
    <row r="11" spans="1:14">
      <c r="A11" s="9">
        <v>7</v>
      </c>
      <c r="B11">
        <v>10</v>
      </c>
      <c r="D11">
        <v>8.8829999999999991</v>
      </c>
      <c r="E11" s="21">
        <f t="shared" si="0"/>
        <v>8.8829999999999991</v>
      </c>
      <c r="G11">
        <v>8.4990000000000006</v>
      </c>
      <c r="H11" s="21">
        <f t="shared" si="1"/>
        <v>8.4990000000000006</v>
      </c>
    </row>
    <row r="12" spans="1:14">
      <c r="A12" s="9">
        <v>8</v>
      </c>
      <c r="B12">
        <v>10</v>
      </c>
      <c r="D12">
        <v>8.5060000000000002</v>
      </c>
      <c r="E12" s="21">
        <f t="shared" si="0"/>
        <v>8.5060000000000002</v>
      </c>
      <c r="G12">
        <v>8.2059999999999995</v>
      </c>
      <c r="H12" s="21">
        <f t="shared" si="1"/>
        <v>8.2059999999999995</v>
      </c>
    </row>
    <row r="13" spans="1:14">
      <c r="A13" s="9">
        <v>9</v>
      </c>
      <c r="B13">
        <v>10</v>
      </c>
      <c r="D13">
        <v>8.452</v>
      </c>
      <c r="E13" s="21">
        <f t="shared" si="0"/>
        <v>8.452</v>
      </c>
      <c r="G13">
        <v>7.9550000000000001</v>
      </c>
      <c r="H13" s="21">
        <f t="shared" si="1"/>
        <v>7.9550000000000001</v>
      </c>
    </row>
    <row r="14" spans="1:14">
      <c r="A14" s="9">
        <v>10</v>
      </c>
      <c r="B14" s="23">
        <v>10</v>
      </c>
      <c r="C14" s="23"/>
      <c r="D14" s="23">
        <v>8.8879999999999999</v>
      </c>
      <c r="E14" s="21">
        <f t="shared" si="0"/>
        <v>8.8879999999999999</v>
      </c>
      <c r="F14" s="23"/>
      <c r="G14" s="23">
        <v>8.7100000000000009</v>
      </c>
      <c r="H14" s="21">
        <f t="shared" si="1"/>
        <v>8.7100000000000009</v>
      </c>
    </row>
    <row r="15" spans="1:14">
      <c r="A15" s="9">
        <v>11</v>
      </c>
      <c r="B15">
        <v>10</v>
      </c>
      <c r="D15">
        <v>5.5309999999999997</v>
      </c>
      <c r="E15" s="21">
        <f t="shared" si="0"/>
        <v>5.5309999999999997</v>
      </c>
      <c r="G15">
        <v>4.9969999999999999</v>
      </c>
      <c r="H15" s="21">
        <f t="shared" si="1"/>
        <v>4.9969999999999999</v>
      </c>
    </row>
    <row r="16" spans="1:14">
      <c r="A16" s="9">
        <v>12</v>
      </c>
      <c r="B16">
        <v>10</v>
      </c>
      <c r="D16">
        <v>5.3780000000000001</v>
      </c>
      <c r="E16" s="21">
        <f t="shared" si="0"/>
        <v>5.3780000000000001</v>
      </c>
      <c r="G16">
        <v>5.1219999999999999</v>
      </c>
      <c r="H16" s="21">
        <f t="shared" si="1"/>
        <v>5.1219999999999999</v>
      </c>
    </row>
    <row r="17" spans="1:8">
      <c r="A17" s="9">
        <v>13</v>
      </c>
      <c r="B17">
        <v>10</v>
      </c>
      <c r="D17">
        <v>5.2160000000000002</v>
      </c>
      <c r="E17" s="21">
        <f t="shared" si="0"/>
        <v>5.2160000000000002</v>
      </c>
      <c r="G17">
        <v>4.9930000000000003</v>
      </c>
      <c r="H17" s="21">
        <f t="shared" si="1"/>
        <v>4.9930000000000003</v>
      </c>
    </row>
    <row r="18" spans="1:8">
      <c r="A18" s="9">
        <v>14</v>
      </c>
      <c r="B18">
        <v>10</v>
      </c>
      <c r="D18">
        <v>5.8220000000000001</v>
      </c>
      <c r="E18" s="21">
        <f t="shared" si="0"/>
        <v>5.8220000000000001</v>
      </c>
      <c r="G18">
        <v>5.0990000000000002</v>
      </c>
      <c r="H18" s="21">
        <f t="shared" si="1"/>
        <v>5.0990000000000002</v>
      </c>
    </row>
    <row r="19" spans="1:8">
      <c r="A19" s="9">
        <v>15</v>
      </c>
      <c r="B19" s="23">
        <v>10</v>
      </c>
      <c r="C19" s="23"/>
      <c r="D19" s="23">
        <v>5.3090000000000002</v>
      </c>
      <c r="E19" s="21">
        <f t="shared" si="0"/>
        <v>5.3090000000000002</v>
      </c>
      <c r="F19" s="23"/>
      <c r="G19" s="23">
        <v>4.5199999999999996</v>
      </c>
      <c r="H19" s="21">
        <f t="shared" si="1"/>
        <v>4.5199999999999996</v>
      </c>
    </row>
    <row r="20" spans="1:8">
      <c r="A20" s="9">
        <v>16</v>
      </c>
      <c r="B20">
        <v>10</v>
      </c>
      <c r="D20">
        <v>4.9189999999999996</v>
      </c>
      <c r="E20" s="21">
        <f t="shared" si="0"/>
        <v>4.9189999999999996</v>
      </c>
      <c r="G20">
        <v>14.757999999999999</v>
      </c>
      <c r="H20" s="21">
        <f t="shared" si="1"/>
        <v>14.757999999999999</v>
      </c>
    </row>
    <row r="21" spans="1:8">
      <c r="A21" s="9">
        <v>17</v>
      </c>
      <c r="B21">
        <v>10</v>
      </c>
      <c r="D21">
        <v>5.1669999999999998</v>
      </c>
      <c r="E21" s="21">
        <f t="shared" si="0"/>
        <v>5.1669999999999998</v>
      </c>
      <c r="G21">
        <v>14.795</v>
      </c>
      <c r="H21" s="21">
        <f t="shared" si="1"/>
        <v>14.795</v>
      </c>
    </row>
    <row r="22" spans="1:8">
      <c r="A22" s="9">
        <v>18</v>
      </c>
      <c r="B22">
        <v>10</v>
      </c>
      <c r="D22">
        <v>5.2560000000000002</v>
      </c>
      <c r="E22" s="21">
        <f t="shared" si="0"/>
        <v>5.2560000000000002</v>
      </c>
      <c r="G22">
        <v>15.53</v>
      </c>
      <c r="H22" s="21">
        <f t="shared" si="1"/>
        <v>15.53</v>
      </c>
    </row>
    <row r="23" spans="1:8">
      <c r="A23" s="9">
        <v>19</v>
      </c>
      <c r="B23">
        <v>10</v>
      </c>
      <c r="D23">
        <v>5.08</v>
      </c>
      <c r="E23" s="21">
        <f t="shared" si="0"/>
        <v>5.08</v>
      </c>
      <c r="G23">
        <v>15.749000000000001</v>
      </c>
      <c r="H23" s="21">
        <f t="shared" si="1"/>
        <v>15.749000000000001</v>
      </c>
    </row>
    <row r="24" spans="1:8">
      <c r="A24" s="9">
        <v>20</v>
      </c>
      <c r="B24" s="23">
        <v>10</v>
      </c>
      <c r="C24" s="23"/>
      <c r="D24" s="23">
        <v>4.8769999999999998</v>
      </c>
      <c r="E24" s="21">
        <f t="shared" si="0"/>
        <v>4.8769999999999998</v>
      </c>
      <c r="F24" s="23"/>
      <c r="G24" s="23">
        <v>14.061</v>
      </c>
      <c r="H24" s="21">
        <f t="shared" si="1"/>
        <v>14.061</v>
      </c>
    </row>
    <row r="25" spans="1:8">
      <c r="A25" s="9">
        <v>21</v>
      </c>
      <c r="B25">
        <v>10</v>
      </c>
      <c r="D25">
        <v>7.5060000000000002</v>
      </c>
      <c r="E25" s="21">
        <f t="shared" si="0"/>
        <v>7.5060000000000002</v>
      </c>
      <c r="G25">
        <v>8.8710000000000004</v>
      </c>
      <c r="H25" s="21">
        <f t="shared" si="1"/>
        <v>8.8710000000000004</v>
      </c>
    </row>
    <row r="26" spans="1:8">
      <c r="A26" s="9">
        <v>22</v>
      </c>
      <c r="B26">
        <v>10</v>
      </c>
      <c r="D26">
        <v>7.71</v>
      </c>
      <c r="E26" s="21">
        <f t="shared" si="0"/>
        <v>7.71</v>
      </c>
      <c r="G26">
        <v>9.2439999999999998</v>
      </c>
      <c r="H26" s="21">
        <f t="shared" si="1"/>
        <v>9.2439999999999998</v>
      </c>
    </row>
    <row r="27" spans="1:8">
      <c r="A27" s="9">
        <v>23</v>
      </c>
      <c r="B27">
        <v>10</v>
      </c>
      <c r="D27">
        <v>7.931</v>
      </c>
      <c r="E27" s="21">
        <f t="shared" si="0"/>
        <v>7.931</v>
      </c>
      <c r="G27">
        <v>10.101000000000001</v>
      </c>
      <c r="H27" s="21">
        <f t="shared" si="1"/>
        <v>10.101000000000001</v>
      </c>
    </row>
    <row r="28" spans="1:8">
      <c r="A28" s="9">
        <v>24</v>
      </c>
      <c r="B28">
        <v>10</v>
      </c>
      <c r="D28">
        <v>7.6849999999999996</v>
      </c>
      <c r="E28" s="21">
        <f t="shared" si="0"/>
        <v>7.6849999999999996</v>
      </c>
      <c r="G28">
        <v>8.9290000000000003</v>
      </c>
      <c r="H28" s="21">
        <f t="shared" si="1"/>
        <v>8.9290000000000003</v>
      </c>
    </row>
    <row r="29" spans="1:8">
      <c r="A29" s="9">
        <v>25</v>
      </c>
      <c r="B29" s="23">
        <v>10</v>
      </c>
      <c r="C29" s="23"/>
      <c r="D29" s="23">
        <v>7.9480000000000004</v>
      </c>
      <c r="E29" s="21">
        <f t="shared" si="0"/>
        <v>7.9480000000000004</v>
      </c>
      <c r="F29" s="23"/>
      <c r="G29" s="23">
        <v>9.5779999999999994</v>
      </c>
      <c r="H29" s="21">
        <f t="shared" si="1"/>
        <v>9.5779999999999994</v>
      </c>
    </row>
    <row r="30" spans="1:8">
      <c r="A30" s="9">
        <v>26</v>
      </c>
      <c r="B30">
        <v>10</v>
      </c>
      <c r="D30">
        <v>6.6509999999999998</v>
      </c>
      <c r="E30" s="21">
        <f t="shared" si="0"/>
        <v>6.6509999999999998</v>
      </c>
      <c r="G30">
        <v>4.0060000000000002</v>
      </c>
      <c r="H30" s="21">
        <f t="shared" si="1"/>
        <v>4.0060000000000002</v>
      </c>
    </row>
    <row r="31" spans="1:8">
      <c r="A31" s="9">
        <v>27</v>
      </c>
      <c r="B31">
        <v>10</v>
      </c>
      <c r="D31">
        <v>6.2519999999999998</v>
      </c>
      <c r="E31" s="21">
        <f t="shared" si="0"/>
        <v>6.2519999999999998</v>
      </c>
      <c r="G31">
        <v>4.22</v>
      </c>
      <c r="H31" s="21">
        <f t="shared" si="1"/>
        <v>4.22</v>
      </c>
    </row>
    <row r="32" spans="1:8">
      <c r="A32" s="9">
        <v>28</v>
      </c>
      <c r="B32">
        <v>10</v>
      </c>
      <c r="D32">
        <v>6.2869999999999999</v>
      </c>
      <c r="E32" s="21">
        <f t="shared" si="0"/>
        <v>6.2869999999999999</v>
      </c>
      <c r="G32">
        <v>4.069</v>
      </c>
      <c r="H32" s="21">
        <f t="shared" si="1"/>
        <v>4.069</v>
      </c>
    </row>
    <row r="33" spans="1:8">
      <c r="A33" s="9">
        <v>29</v>
      </c>
      <c r="B33">
        <v>10</v>
      </c>
      <c r="D33">
        <v>6.4189999999999996</v>
      </c>
      <c r="E33" s="21">
        <f t="shared" si="0"/>
        <v>6.4189999999999996</v>
      </c>
      <c r="G33">
        <v>4.0449999999999999</v>
      </c>
      <c r="H33" s="21">
        <f t="shared" si="1"/>
        <v>4.0449999999999999</v>
      </c>
    </row>
    <row r="34" spans="1:8">
      <c r="A34" s="9">
        <v>30</v>
      </c>
      <c r="B34" s="23">
        <v>10</v>
      </c>
      <c r="C34" s="23"/>
      <c r="D34" s="23">
        <v>7.1509999999999998</v>
      </c>
      <c r="E34" s="21">
        <f t="shared" si="0"/>
        <v>7.1509999999999998</v>
      </c>
      <c r="F34" s="23"/>
      <c r="G34" s="23">
        <v>4.1929999999999996</v>
      </c>
      <c r="H34" s="21">
        <f t="shared" si="1"/>
        <v>4.1929999999999996</v>
      </c>
    </row>
    <row r="35" spans="1:8">
      <c r="A35" s="9">
        <v>31</v>
      </c>
      <c r="B35">
        <v>10</v>
      </c>
      <c r="D35">
        <v>4.5970000000000004</v>
      </c>
      <c r="E35" s="21">
        <f t="shared" si="0"/>
        <v>4.5970000000000004</v>
      </c>
      <c r="G35">
        <v>7.577</v>
      </c>
      <c r="H35" s="21">
        <f t="shared" si="1"/>
        <v>7.577</v>
      </c>
    </row>
    <row r="36" spans="1:8">
      <c r="A36" s="9">
        <v>32</v>
      </c>
      <c r="B36">
        <v>10</v>
      </c>
      <c r="D36">
        <v>4.6589999999999998</v>
      </c>
      <c r="E36" s="21">
        <f t="shared" si="0"/>
        <v>4.6589999999999998</v>
      </c>
      <c r="G36">
        <v>7.8550000000000004</v>
      </c>
      <c r="H36" s="21">
        <f t="shared" si="1"/>
        <v>7.8550000000000004</v>
      </c>
    </row>
    <row r="37" spans="1:8">
      <c r="A37" s="9">
        <v>33</v>
      </c>
      <c r="B37">
        <v>10</v>
      </c>
      <c r="D37">
        <v>4.7729999999999997</v>
      </c>
      <c r="E37" s="21">
        <f t="shared" si="0"/>
        <v>4.7729999999999997</v>
      </c>
      <c r="G37">
        <v>7.7190000000000003</v>
      </c>
      <c r="H37" s="21">
        <f t="shared" si="1"/>
        <v>7.7190000000000003</v>
      </c>
    </row>
    <row r="38" spans="1:8">
      <c r="A38" s="9">
        <v>34</v>
      </c>
      <c r="B38">
        <v>10</v>
      </c>
      <c r="D38">
        <v>4.6630000000000003</v>
      </c>
      <c r="E38" s="21">
        <f t="shared" si="0"/>
        <v>4.6630000000000003</v>
      </c>
      <c r="G38">
        <v>7.9160000000000004</v>
      </c>
      <c r="H38" s="21">
        <f t="shared" si="1"/>
        <v>7.9160000000000004</v>
      </c>
    </row>
    <row r="39" spans="1:8">
      <c r="A39" s="9">
        <v>35</v>
      </c>
      <c r="B39" s="23">
        <v>10</v>
      </c>
      <c r="C39" s="23"/>
      <c r="D39" s="23">
        <v>4.8550000000000004</v>
      </c>
      <c r="E39" s="21">
        <f t="shared" si="0"/>
        <v>4.8550000000000004</v>
      </c>
      <c r="F39" s="23"/>
      <c r="G39" s="23">
        <v>7.9109999999999996</v>
      </c>
      <c r="H39" s="21">
        <f t="shared" si="1"/>
        <v>7.9109999999999996</v>
      </c>
    </row>
    <row r="40" spans="1:8">
      <c r="A40" s="9">
        <v>36</v>
      </c>
      <c r="B40">
        <v>10</v>
      </c>
      <c r="D40">
        <v>6.2270000000000003</v>
      </c>
      <c r="E40" s="21">
        <f t="shared" ref="E40:E71" si="2">D40-C40</f>
        <v>6.2270000000000003</v>
      </c>
      <c r="G40">
        <v>7.93</v>
      </c>
      <c r="H40" s="21">
        <f t="shared" ref="H40:H71" si="3">G40-F40</f>
        <v>7.93</v>
      </c>
    </row>
    <row r="41" spans="1:8">
      <c r="A41" s="9">
        <v>37</v>
      </c>
      <c r="B41">
        <v>10</v>
      </c>
      <c r="D41">
        <v>6.4649999999999999</v>
      </c>
      <c r="E41" s="21">
        <f t="shared" si="2"/>
        <v>6.4649999999999999</v>
      </c>
      <c r="G41">
        <v>8.0950000000000006</v>
      </c>
      <c r="H41" s="21">
        <f t="shared" si="3"/>
        <v>8.0950000000000006</v>
      </c>
    </row>
    <row r="42" spans="1:8">
      <c r="A42" s="9">
        <v>38</v>
      </c>
      <c r="B42">
        <v>10</v>
      </c>
      <c r="D42">
        <v>6.1950000000000003</v>
      </c>
      <c r="E42" s="21">
        <f t="shared" si="2"/>
        <v>6.1950000000000003</v>
      </c>
      <c r="G42">
        <v>8.6980000000000004</v>
      </c>
      <c r="H42" s="21">
        <f t="shared" si="3"/>
        <v>8.6980000000000004</v>
      </c>
    </row>
    <row r="43" spans="1:8">
      <c r="A43" s="9">
        <v>39</v>
      </c>
      <c r="B43">
        <v>10</v>
      </c>
      <c r="D43">
        <v>6.4610000000000003</v>
      </c>
      <c r="E43" s="21">
        <f t="shared" si="2"/>
        <v>6.4610000000000003</v>
      </c>
      <c r="G43">
        <v>7.9569999999999999</v>
      </c>
      <c r="H43" s="21">
        <f t="shared" si="3"/>
        <v>7.9569999999999999</v>
      </c>
    </row>
    <row r="44" spans="1:8">
      <c r="A44" s="9">
        <v>40</v>
      </c>
      <c r="B44" s="23">
        <v>10</v>
      </c>
      <c r="C44" s="23"/>
      <c r="D44" s="23">
        <v>6.29</v>
      </c>
      <c r="E44" s="21">
        <f t="shared" si="2"/>
        <v>6.29</v>
      </c>
      <c r="F44" s="23"/>
      <c r="G44" s="23">
        <v>8.6039999999999992</v>
      </c>
      <c r="H44" s="21">
        <f t="shared" si="3"/>
        <v>8.6039999999999992</v>
      </c>
    </row>
    <row r="45" spans="1:8">
      <c r="A45" s="9">
        <v>41</v>
      </c>
      <c r="B45">
        <v>10</v>
      </c>
      <c r="D45">
        <v>13.914</v>
      </c>
      <c r="E45" s="21">
        <f t="shared" si="2"/>
        <v>13.914</v>
      </c>
      <c r="G45">
        <v>12.462999999999999</v>
      </c>
      <c r="H45" s="21">
        <f t="shared" si="3"/>
        <v>12.462999999999999</v>
      </c>
    </row>
    <row r="46" spans="1:8">
      <c r="A46" s="9">
        <v>42</v>
      </c>
      <c r="B46">
        <v>10</v>
      </c>
      <c r="D46">
        <v>13.294</v>
      </c>
      <c r="E46" s="21">
        <f t="shared" si="2"/>
        <v>13.294</v>
      </c>
      <c r="G46">
        <v>12.143000000000001</v>
      </c>
      <c r="H46" s="21">
        <f t="shared" si="3"/>
        <v>12.143000000000001</v>
      </c>
    </row>
    <row r="47" spans="1:8">
      <c r="A47" s="9">
        <v>43</v>
      </c>
      <c r="B47">
        <v>10</v>
      </c>
      <c r="D47">
        <v>13.44</v>
      </c>
      <c r="E47" s="21">
        <f t="shared" si="2"/>
        <v>13.44</v>
      </c>
      <c r="G47">
        <v>12.842000000000001</v>
      </c>
      <c r="H47" s="21">
        <f t="shared" si="3"/>
        <v>12.842000000000001</v>
      </c>
    </row>
    <row r="48" spans="1:8">
      <c r="A48" s="9">
        <v>44</v>
      </c>
      <c r="B48">
        <v>10</v>
      </c>
      <c r="D48">
        <v>14.279</v>
      </c>
      <c r="E48" s="21">
        <f t="shared" si="2"/>
        <v>14.279</v>
      </c>
      <c r="G48">
        <v>14.413</v>
      </c>
      <c r="H48" s="21">
        <f t="shared" si="3"/>
        <v>14.413</v>
      </c>
    </row>
    <row r="49" spans="1:9">
      <c r="A49" s="9">
        <v>45</v>
      </c>
      <c r="B49" s="23">
        <v>10</v>
      </c>
      <c r="C49" s="23"/>
      <c r="D49" s="23">
        <v>13.651</v>
      </c>
      <c r="E49" s="21">
        <f t="shared" si="2"/>
        <v>13.651</v>
      </c>
      <c r="F49" s="23"/>
      <c r="G49" s="23">
        <v>13.007999999999999</v>
      </c>
      <c r="H49" s="21">
        <f t="shared" si="3"/>
        <v>13.007999999999999</v>
      </c>
    </row>
    <row r="50" spans="1:9">
      <c r="A50" s="9">
        <v>46</v>
      </c>
      <c r="B50">
        <v>10</v>
      </c>
      <c r="D50">
        <v>9.2569999999999997</v>
      </c>
      <c r="E50" s="21">
        <f t="shared" si="2"/>
        <v>9.2569999999999997</v>
      </c>
      <c r="G50">
        <v>2.585</v>
      </c>
      <c r="H50" s="21">
        <f t="shared" si="3"/>
        <v>2.585</v>
      </c>
    </row>
    <row r="51" spans="1:9">
      <c r="A51" s="9">
        <v>47</v>
      </c>
      <c r="B51">
        <v>10</v>
      </c>
      <c r="D51">
        <v>9.9160000000000004</v>
      </c>
      <c r="E51" s="21">
        <f t="shared" si="2"/>
        <v>9.9160000000000004</v>
      </c>
      <c r="G51">
        <v>2.6739999999999999</v>
      </c>
      <c r="H51" s="21">
        <f t="shared" si="3"/>
        <v>2.6739999999999999</v>
      </c>
    </row>
    <row r="52" spans="1:9">
      <c r="A52" s="9">
        <v>48</v>
      </c>
      <c r="B52">
        <v>10</v>
      </c>
      <c r="D52">
        <v>6.35</v>
      </c>
      <c r="E52" s="21">
        <f t="shared" si="2"/>
        <v>6.35</v>
      </c>
      <c r="G52">
        <v>3.62</v>
      </c>
      <c r="H52" s="21">
        <f t="shared" si="3"/>
        <v>3.62</v>
      </c>
    </row>
    <row r="53" spans="1:9">
      <c r="A53" s="9">
        <v>49</v>
      </c>
      <c r="B53">
        <v>10</v>
      </c>
      <c r="D53">
        <v>7.6340000000000003</v>
      </c>
      <c r="E53" s="21">
        <f t="shared" si="2"/>
        <v>7.6340000000000003</v>
      </c>
      <c r="G53">
        <v>2.343</v>
      </c>
      <c r="H53" s="21">
        <f t="shared" si="3"/>
        <v>2.343</v>
      </c>
    </row>
    <row r="54" spans="1:9">
      <c r="A54" s="9">
        <v>50</v>
      </c>
      <c r="B54" s="23">
        <v>10</v>
      </c>
      <c r="C54" s="23"/>
      <c r="D54" s="23">
        <v>8.5350000000000001</v>
      </c>
      <c r="E54" s="21">
        <f t="shared" si="2"/>
        <v>8.5350000000000001</v>
      </c>
      <c r="F54" s="23"/>
      <c r="G54" s="23">
        <v>2.3239999999999998</v>
      </c>
      <c r="H54" s="21">
        <f t="shared" si="3"/>
        <v>2.3239999999999998</v>
      </c>
    </row>
    <row r="55" spans="1:9">
      <c r="A55" s="9">
        <v>51</v>
      </c>
      <c r="B55">
        <v>10</v>
      </c>
      <c r="D55">
        <v>9.8840000000000003</v>
      </c>
      <c r="E55" s="21">
        <f t="shared" si="2"/>
        <v>9.8840000000000003</v>
      </c>
      <c r="G55">
        <v>3.347</v>
      </c>
      <c r="H55" s="21">
        <f t="shared" si="3"/>
        <v>3.347</v>
      </c>
    </row>
    <row r="56" spans="1:9">
      <c r="A56" s="9">
        <v>52</v>
      </c>
      <c r="B56">
        <v>10</v>
      </c>
      <c r="D56">
        <v>9.6549999999999994</v>
      </c>
      <c r="E56" s="21">
        <f t="shared" si="2"/>
        <v>9.6549999999999994</v>
      </c>
      <c r="G56">
        <v>3.633</v>
      </c>
      <c r="H56" s="21">
        <f t="shared" si="3"/>
        <v>3.633</v>
      </c>
    </row>
    <row r="57" spans="1:9">
      <c r="A57" s="9">
        <v>53</v>
      </c>
      <c r="B57">
        <v>10</v>
      </c>
      <c r="D57">
        <v>9.4160000000000004</v>
      </c>
      <c r="E57" s="21">
        <f t="shared" si="2"/>
        <v>9.4160000000000004</v>
      </c>
      <c r="G57">
        <v>3.6059999999999999</v>
      </c>
      <c r="H57" s="21">
        <f t="shared" si="3"/>
        <v>3.6059999999999999</v>
      </c>
    </row>
    <row r="58" spans="1:9">
      <c r="A58" s="9">
        <v>54</v>
      </c>
      <c r="B58">
        <v>10</v>
      </c>
      <c r="D58">
        <v>9.5869999999999997</v>
      </c>
      <c r="E58" s="21">
        <f t="shared" si="2"/>
        <v>9.5869999999999997</v>
      </c>
      <c r="G58">
        <v>3.5</v>
      </c>
      <c r="H58" s="21">
        <f t="shared" si="3"/>
        <v>3.5</v>
      </c>
    </row>
    <row r="59" spans="1:9">
      <c r="A59" s="9">
        <v>55</v>
      </c>
      <c r="B59">
        <v>10</v>
      </c>
      <c r="C59" s="23"/>
      <c r="D59" s="23">
        <v>9.1300000000000008</v>
      </c>
      <c r="E59" s="21">
        <f t="shared" si="2"/>
        <v>9.1300000000000008</v>
      </c>
      <c r="F59" s="23"/>
      <c r="G59" s="23">
        <v>3.8330000000000002</v>
      </c>
      <c r="H59" s="21">
        <f t="shared" si="3"/>
        <v>3.8330000000000002</v>
      </c>
      <c r="I59" t="s">
        <v>76</v>
      </c>
    </row>
    <row r="60" spans="1:9">
      <c r="A60" s="9">
        <v>56</v>
      </c>
      <c r="B60">
        <v>10</v>
      </c>
      <c r="D60">
        <v>11.201000000000001</v>
      </c>
      <c r="E60" s="21">
        <f t="shared" si="2"/>
        <v>11.201000000000001</v>
      </c>
      <c r="G60">
        <v>5.9429999999999996</v>
      </c>
      <c r="H60" s="21">
        <f t="shared" si="3"/>
        <v>5.9429999999999996</v>
      </c>
    </row>
    <row r="61" spans="1:9">
      <c r="A61" s="9">
        <v>57</v>
      </c>
      <c r="B61">
        <v>10</v>
      </c>
      <c r="D61">
        <v>11.827</v>
      </c>
      <c r="E61" s="21">
        <f t="shared" si="2"/>
        <v>11.827</v>
      </c>
      <c r="G61">
        <v>5.5309999999999997</v>
      </c>
      <c r="H61" s="21">
        <f t="shared" si="3"/>
        <v>5.5309999999999997</v>
      </c>
    </row>
    <row r="62" spans="1:9">
      <c r="A62" s="9">
        <v>58</v>
      </c>
      <c r="B62">
        <v>10</v>
      </c>
      <c r="D62">
        <v>10.846</v>
      </c>
      <c r="E62" s="21">
        <f t="shared" si="2"/>
        <v>10.846</v>
      </c>
      <c r="G62">
        <v>5.9850000000000003</v>
      </c>
      <c r="H62" s="21">
        <f t="shared" si="3"/>
        <v>5.9850000000000003</v>
      </c>
    </row>
    <row r="63" spans="1:9">
      <c r="A63" s="9">
        <v>59</v>
      </c>
      <c r="B63">
        <v>10</v>
      </c>
      <c r="D63">
        <v>10.217000000000001</v>
      </c>
      <c r="E63" s="21">
        <f t="shared" si="2"/>
        <v>10.217000000000001</v>
      </c>
      <c r="G63">
        <v>5.4859999999999998</v>
      </c>
      <c r="H63" s="21">
        <f t="shared" si="3"/>
        <v>5.4859999999999998</v>
      </c>
    </row>
    <row r="64" spans="1:9">
      <c r="A64" s="9">
        <v>60</v>
      </c>
      <c r="B64">
        <v>10</v>
      </c>
      <c r="D64">
        <v>9.42</v>
      </c>
      <c r="E64" s="21">
        <f t="shared" si="2"/>
        <v>9.42</v>
      </c>
      <c r="G64">
        <v>5.6150000000000002</v>
      </c>
      <c r="H64" s="21">
        <f t="shared" si="3"/>
        <v>5.6150000000000002</v>
      </c>
    </row>
    <row r="65" spans="1:8">
      <c r="A65" s="9">
        <v>61</v>
      </c>
      <c r="B65">
        <v>10</v>
      </c>
      <c r="D65">
        <v>12.805999999999999</v>
      </c>
      <c r="E65" s="21">
        <f t="shared" si="2"/>
        <v>12.805999999999999</v>
      </c>
      <c r="G65">
        <v>13.23</v>
      </c>
      <c r="H65" s="21">
        <f t="shared" si="3"/>
        <v>13.23</v>
      </c>
    </row>
    <row r="66" spans="1:8">
      <c r="A66" s="9">
        <v>62</v>
      </c>
      <c r="B66">
        <v>10</v>
      </c>
      <c r="D66">
        <v>12.935</v>
      </c>
      <c r="E66" s="21">
        <f t="shared" si="2"/>
        <v>12.935</v>
      </c>
      <c r="G66">
        <v>14.782999999999999</v>
      </c>
      <c r="H66" s="21">
        <f t="shared" si="3"/>
        <v>14.782999999999999</v>
      </c>
    </row>
    <row r="67" spans="1:8">
      <c r="A67" s="9">
        <v>63</v>
      </c>
      <c r="B67">
        <v>10</v>
      </c>
      <c r="D67">
        <v>12.603999999999999</v>
      </c>
      <c r="E67" s="21">
        <f t="shared" si="2"/>
        <v>12.603999999999999</v>
      </c>
      <c r="G67">
        <v>13.723000000000001</v>
      </c>
      <c r="H67" s="21">
        <f t="shared" si="3"/>
        <v>13.723000000000001</v>
      </c>
    </row>
    <row r="68" spans="1:8">
      <c r="A68" s="9">
        <v>64</v>
      </c>
      <c r="B68">
        <v>10</v>
      </c>
      <c r="D68">
        <v>11.901</v>
      </c>
      <c r="E68" s="21">
        <f t="shared" si="2"/>
        <v>11.901</v>
      </c>
      <c r="G68">
        <v>13.307</v>
      </c>
      <c r="H68" s="21">
        <f t="shared" si="3"/>
        <v>13.307</v>
      </c>
    </row>
    <row r="69" spans="1:8">
      <c r="A69" s="9">
        <v>65</v>
      </c>
      <c r="B69">
        <v>10</v>
      </c>
      <c r="D69">
        <v>11.593999999999999</v>
      </c>
      <c r="E69" s="21">
        <f t="shared" si="2"/>
        <v>11.593999999999999</v>
      </c>
      <c r="G69">
        <v>13.452</v>
      </c>
      <c r="H69" s="21">
        <f t="shared" si="3"/>
        <v>13.452</v>
      </c>
    </row>
    <row r="70" spans="1:8">
      <c r="A70" s="9">
        <v>66</v>
      </c>
      <c r="B70">
        <v>10</v>
      </c>
      <c r="E70" s="21">
        <f t="shared" ref="E70:E76" si="4">D70-C70</f>
        <v>0</v>
      </c>
      <c r="H70" s="21">
        <f t="shared" ref="H70:H76" si="5">G70-F70</f>
        <v>0</v>
      </c>
    </row>
    <row r="71" spans="1:8">
      <c r="A71" s="9">
        <v>67</v>
      </c>
      <c r="B71">
        <v>10</v>
      </c>
      <c r="E71" s="21">
        <f t="shared" si="4"/>
        <v>0</v>
      </c>
      <c r="H71" s="21">
        <f t="shared" si="5"/>
        <v>0</v>
      </c>
    </row>
    <row r="72" spans="1:8">
      <c r="A72" s="9">
        <v>68</v>
      </c>
      <c r="B72">
        <v>10</v>
      </c>
      <c r="E72" s="21">
        <f t="shared" si="4"/>
        <v>0</v>
      </c>
      <c r="H72" s="21">
        <f t="shared" si="5"/>
        <v>0</v>
      </c>
    </row>
    <row r="73" spans="1:8">
      <c r="A73" s="9">
        <v>69</v>
      </c>
      <c r="B73">
        <v>10</v>
      </c>
      <c r="E73" s="21">
        <f t="shared" si="4"/>
        <v>0</v>
      </c>
      <c r="H73" s="21">
        <f t="shared" si="5"/>
        <v>0</v>
      </c>
    </row>
    <row r="74" spans="1:8">
      <c r="A74" s="9">
        <v>70</v>
      </c>
      <c r="B74">
        <v>10</v>
      </c>
      <c r="E74" s="21">
        <f t="shared" si="4"/>
        <v>0</v>
      </c>
      <c r="H74" s="21">
        <f t="shared" si="5"/>
        <v>0</v>
      </c>
    </row>
    <row r="75" spans="1:8">
      <c r="A75" s="9">
        <v>71</v>
      </c>
      <c r="E75" s="21">
        <f t="shared" si="4"/>
        <v>0</v>
      </c>
      <c r="H75" s="21">
        <f t="shared" si="5"/>
        <v>0</v>
      </c>
    </row>
    <row r="76" spans="1:8">
      <c r="A76" s="9">
        <v>72</v>
      </c>
      <c r="E76" s="21">
        <f t="shared" si="4"/>
        <v>0</v>
      </c>
      <c r="H76" s="21">
        <f t="shared" si="5"/>
        <v>0</v>
      </c>
    </row>
    <row r="77" spans="1:8">
      <c r="A77" s="9">
        <v>73</v>
      </c>
    </row>
    <row r="78" spans="1:8">
      <c r="A78" s="9">
        <v>74</v>
      </c>
    </row>
    <row r="79" spans="1:8">
      <c r="A79" s="9">
        <v>75</v>
      </c>
    </row>
    <row r="80" spans="1:8">
      <c r="A80" s="9">
        <v>76</v>
      </c>
    </row>
    <row r="81" spans="1:1">
      <c r="A81" s="9">
        <v>77</v>
      </c>
    </row>
    <row r="82" spans="1:1">
      <c r="A82" s="9">
        <v>78</v>
      </c>
    </row>
    <row r="83" spans="1:1">
      <c r="A83" s="9">
        <v>79</v>
      </c>
    </row>
    <row r="84" spans="1:1">
      <c r="A84" s="9">
        <v>80</v>
      </c>
    </row>
  </sheetData>
  <mergeCells count="1">
    <mergeCell ref="A1:N1"/>
  </mergeCells>
  <pageMargins left="0.78739999999999999" right="0.78739999999999999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Eigene Rechnung</vt:lpstr>
      <vt:lpstr>1e vs 2e</vt:lpstr>
      <vt:lpstr>Tabelle1</vt:lpstr>
      <vt:lpstr>Tabelle2</vt:lpstr>
      <vt:lpstr>'Eigene Rechnung'!Print_Area</vt:lpstr>
      <vt:lpstr>Tabelle1!Print_Area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Hampel</dc:creator>
  <cp:lastModifiedBy>Zeumer, Finn Elias</cp:lastModifiedBy>
  <cp:revision>3</cp:revision>
  <cp:lastPrinted>2025-09-18T17:12:28Z</cp:lastPrinted>
  <dcterms:created xsi:type="dcterms:W3CDTF">2001-05-30T09:49:31Z</dcterms:created>
  <dcterms:modified xsi:type="dcterms:W3CDTF">2025-09-18T18:47:13Z</dcterms:modified>
</cp:coreProperties>
</file>