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franc\Desktop\Investments\"/>
    </mc:Choice>
  </mc:AlternateContent>
  <xr:revisionPtr revIDLastSave="0" documentId="13_ncr:1_{7571288E-533D-493B-B445-CCE290639CFA}" xr6:coauthVersionLast="47" xr6:coauthVersionMax="47" xr10:uidLastSave="{00000000-0000-0000-0000-000000000000}"/>
  <bookViews>
    <workbookView xWindow="-96" yWindow="-96" windowWidth="23232" windowHeight="12432" xr2:uid="{15F30EFD-E9DC-4D36-B554-544615E60832}"/>
  </bookViews>
  <sheets>
    <sheet name="Balance_sheet" sheetId="5" r:id="rId1"/>
    <sheet name="Income_statement" sheetId="9" r:id="rId2"/>
    <sheet name="Cash_flow" sheetId="3" r:id="rId3"/>
    <sheet name="Financial_data" sheetId="15" r:id="rId4"/>
    <sheet name="WACC" sheetId="6" r:id="rId5"/>
    <sheet name="FCFF" sheetId="7" r:id="rId6"/>
    <sheet name="Result" sheetId="8" r:id="rId7"/>
    <sheet name="Multiples" sheetId="4" r:id="rId8"/>
  </sheets>
  <definedNames>
    <definedName name="NFP">Balance_sheet!#REF!</definedName>
    <definedName name="Tax_rate">WACC!$E$16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8" i="8" l="1"/>
  <c r="H28" i="8" s="1"/>
  <c r="I17" i="8"/>
  <c r="I16" i="8"/>
  <c r="I13" i="8"/>
  <c r="I14" i="8"/>
  <c r="K9" i="6"/>
  <c r="E17" i="6"/>
  <c r="D12" i="4"/>
  <c r="E12" i="4"/>
  <c r="F12" i="4"/>
  <c r="G12" i="4"/>
  <c r="H12" i="4"/>
  <c r="C12" i="4"/>
  <c r="F11" i="4"/>
  <c r="G11" i="4"/>
  <c r="H11" i="4"/>
  <c r="F9" i="4"/>
  <c r="G9" i="4"/>
  <c r="H9" i="4"/>
  <c r="F8" i="4"/>
  <c r="G8" i="4"/>
  <c r="H8" i="4"/>
  <c r="I32" i="8"/>
  <c r="J32" i="8" s="1"/>
  <c r="K32" i="8" s="1"/>
  <c r="L32" i="8" s="1"/>
  <c r="M32" i="8" s="1"/>
  <c r="N32" i="8" s="1"/>
  <c r="O32" i="8" s="1"/>
  <c r="H32" i="8"/>
  <c r="I29" i="8"/>
  <c r="J29" i="8" s="1"/>
  <c r="K29" i="8" s="1"/>
  <c r="L29" i="8" s="1"/>
  <c r="M29" i="8" s="1"/>
  <c r="N29" i="8" s="1"/>
  <c r="O29" i="8" s="1"/>
  <c r="I27" i="8"/>
  <c r="J27" i="8" s="1"/>
  <c r="K27" i="8" s="1"/>
  <c r="L27" i="8" s="1"/>
  <c r="M27" i="8" s="1"/>
  <c r="N27" i="8" s="1"/>
  <c r="O27" i="8" s="1"/>
  <c r="E59" i="8"/>
  <c r="G52" i="8"/>
  <c r="H52" i="8" s="1"/>
  <c r="I52" i="8" s="1"/>
  <c r="J52" i="8" s="1"/>
  <c r="K52" i="8" s="1"/>
  <c r="L52" i="8" s="1"/>
  <c r="M52" i="8" s="1"/>
  <c r="N52" i="8" s="1"/>
  <c r="O52" i="8" s="1"/>
  <c r="G16" i="4"/>
  <c r="H16" i="4"/>
  <c r="F16" i="4"/>
  <c r="E13" i="8"/>
  <c r="E52" i="8"/>
  <c r="H39" i="8"/>
  <c r="I39" i="8" s="1"/>
  <c r="J39" i="8" s="1"/>
  <c r="K39" i="8" s="1"/>
  <c r="L39" i="8" s="1"/>
  <c r="M39" i="8" s="1"/>
  <c r="N39" i="8" s="1"/>
  <c r="O39" i="8" s="1"/>
  <c r="G39" i="8"/>
  <c r="G37" i="8"/>
  <c r="H37" i="8" s="1"/>
  <c r="I37" i="8" s="1"/>
  <c r="J37" i="8" s="1"/>
  <c r="K37" i="8" s="1"/>
  <c r="L37" i="8" s="1"/>
  <c r="M37" i="8" s="1"/>
  <c r="N37" i="8" s="1"/>
  <c r="O37" i="8" s="1"/>
  <c r="E50" i="8"/>
  <c r="H21" i="7"/>
  <c r="G21" i="7"/>
  <c r="G27" i="7" s="1"/>
  <c r="F21" i="7"/>
  <c r="F27" i="7" s="1"/>
  <c r="E21" i="7"/>
  <c r="E27" i="7" s="1"/>
  <c r="D21" i="7"/>
  <c r="D27" i="7" s="1"/>
  <c r="C21" i="7"/>
  <c r="E43" i="8"/>
  <c r="F43" i="8" s="1"/>
  <c r="G43" i="8" s="1"/>
  <c r="E44" i="8"/>
  <c r="F44" i="8" s="1"/>
  <c r="G44" i="8" s="1"/>
  <c r="H44" i="8" s="1"/>
  <c r="I44" i="8" s="1"/>
  <c r="J44" i="8" s="1"/>
  <c r="K44" i="8" s="1"/>
  <c r="L44" i="8" s="1"/>
  <c r="M44" i="8" s="1"/>
  <c r="N44" i="8" s="1"/>
  <c r="O44" i="8" s="1"/>
  <c r="E42" i="8"/>
  <c r="F42" i="8" s="1"/>
  <c r="G42" i="8" s="1"/>
  <c r="H42" i="8" s="1"/>
  <c r="I42" i="8" s="1"/>
  <c r="J42" i="8" s="1"/>
  <c r="K42" i="8" s="1"/>
  <c r="L42" i="8" s="1"/>
  <c r="M42" i="8" s="1"/>
  <c r="N42" i="8" s="1"/>
  <c r="O42" i="8" s="1"/>
  <c r="I28" i="7"/>
  <c r="I29" i="7"/>
  <c r="I30" i="7"/>
  <c r="G30" i="7"/>
  <c r="F30" i="7"/>
  <c r="E30" i="7"/>
  <c r="D30" i="7"/>
  <c r="C30" i="7"/>
  <c r="G29" i="7"/>
  <c r="F29" i="7"/>
  <c r="E29" i="7"/>
  <c r="D29" i="7"/>
  <c r="C29" i="7"/>
  <c r="G28" i="7"/>
  <c r="F28" i="7"/>
  <c r="E28" i="7"/>
  <c r="D28" i="7"/>
  <c r="C28" i="7"/>
  <c r="F30" i="8"/>
  <c r="F36" i="8" s="1"/>
  <c r="E30" i="8"/>
  <c r="E33" i="8" s="1"/>
  <c r="E34" i="8" s="1"/>
  <c r="E38" i="8"/>
  <c r="E36" i="8"/>
  <c r="E47" i="8" s="1"/>
  <c r="G31" i="8"/>
  <c r="F32" i="8"/>
  <c r="G26" i="8"/>
  <c r="H26" i="8" s="1"/>
  <c r="F6" i="15"/>
  <c r="G6" i="15"/>
  <c r="H6" i="15"/>
  <c r="I6" i="15"/>
  <c r="J6" i="15"/>
  <c r="E6" i="15"/>
  <c r="F27" i="8"/>
  <c r="E32" i="8"/>
  <c r="F17" i="15"/>
  <c r="F15" i="15"/>
  <c r="F14" i="15"/>
  <c r="F16" i="15" s="1"/>
  <c r="F13" i="15"/>
  <c r="J5" i="15"/>
  <c r="I5" i="15"/>
  <c r="H5" i="15"/>
  <c r="G5" i="15"/>
  <c r="F5" i="15"/>
  <c r="J10" i="15"/>
  <c r="I10" i="15"/>
  <c r="H10" i="15"/>
  <c r="G10" i="15"/>
  <c r="F10" i="15"/>
  <c r="J9" i="15"/>
  <c r="I9" i="15"/>
  <c r="H9" i="15"/>
  <c r="G9" i="15"/>
  <c r="F9" i="15"/>
  <c r="C10" i="4"/>
  <c r="C17" i="4" s="1"/>
  <c r="C18" i="4" s="1"/>
  <c r="F7" i="15"/>
  <c r="G7" i="15"/>
  <c r="H7" i="15"/>
  <c r="I7" i="15"/>
  <c r="J7" i="15"/>
  <c r="E7" i="15"/>
  <c r="F9" i="7"/>
  <c r="G9" i="7"/>
  <c r="H9" i="7"/>
  <c r="F20" i="15"/>
  <c r="J22" i="15"/>
  <c r="F21" i="15"/>
  <c r="H22" i="15"/>
  <c r="I22" i="15"/>
  <c r="F22" i="15"/>
  <c r="D9" i="7" s="1"/>
  <c r="G22" i="15"/>
  <c r="E9" i="7" s="1"/>
  <c r="H7" i="7"/>
  <c r="G7" i="7"/>
  <c r="F7" i="7"/>
  <c r="E7" i="7"/>
  <c r="D7" i="7"/>
  <c r="F26" i="15"/>
  <c r="G26" i="15"/>
  <c r="H26" i="15"/>
  <c r="I26" i="15"/>
  <c r="J26" i="15"/>
  <c r="E26" i="15"/>
  <c r="C7" i="7" s="1"/>
  <c r="E29" i="6"/>
  <c r="C9" i="6"/>
  <c r="D9" i="6"/>
  <c r="J8" i="15"/>
  <c r="H5" i="7" s="1"/>
  <c r="I8" i="15"/>
  <c r="G5" i="7" s="1"/>
  <c r="H8" i="15"/>
  <c r="F5" i="7" s="1"/>
  <c r="G8" i="15"/>
  <c r="E5" i="7" s="1"/>
  <c r="F8" i="15"/>
  <c r="D5" i="7" s="1"/>
  <c r="H10" i="7"/>
  <c r="G10" i="7"/>
  <c r="F10" i="7"/>
  <c r="E10" i="7"/>
  <c r="D10" i="7"/>
  <c r="C10" i="7"/>
  <c r="E21" i="15"/>
  <c r="E20" i="15"/>
  <c r="E13" i="15"/>
  <c r="E14" i="15"/>
  <c r="E15" i="15"/>
  <c r="E17" i="15"/>
  <c r="E9" i="6" s="1"/>
  <c r="G5" i="4"/>
  <c r="E5" i="15"/>
  <c r="H5" i="4"/>
  <c r="H7" i="4"/>
  <c r="H6" i="4"/>
  <c r="C5" i="4"/>
  <c r="C9" i="4" s="1"/>
  <c r="E10" i="15"/>
  <c r="E9" i="15"/>
  <c r="E8" i="15"/>
  <c r="C5" i="7" s="1"/>
  <c r="L7" i="6"/>
  <c r="J7" i="6"/>
  <c r="H7" i="6"/>
  <c r="E7" i="6"/>
  <c r="D7" i="6"/>
  <c r="C7" i="6"/>
  <c r="I6" i="6"/>
  <c r="K6" i="6" s="1"/>
  <c r="I5" i="6"/>
  <c r="F5" i="6" s="1"/>
  <c r="C66" i="5"/>
  <c r="C67" i="5"/>
  <c r="C62" i="5"/>
  <c r="C8" i="4" l="1"/>
  <c r="C11" i="4"/>
  <c r="H31" i="8"/>
  <c r="I31" i="8" s="1"/>
  <c r="J31" i="8" s="1"/>
  <c r="K31" i="8" s="1"/>
  <c r="L31" i="8" s="1"/>
  <c r="M31" i="8" s="1"/>
  <c r="N31" i="8" s="1"/>
  <c r="O31" i="8" s="1"/>
  <c r="I28" i="8"/>
  <c r="J28" i="8" s="1"/>
  <c r="K28" i="8" s="1"/>
  <c r="L28" i="8" s="1"/>
  <c r="M28" i="8" s="1"/>
  <c r="N28" i="8" s="1"/>
  <c r="O28" i="8" s="1"/>
  <c r="F47" i="8"/>
  <c r="E48" i="8"/>
  <c r="H43" i="8"/>
  <c r="I43" i="8" s="1"/>
  <c r="J43" i="8" s="1"/>
  <c r="K43" i="8" s="1"/>
  <c r="L43" i="8" s="1"/>
  <c r="M43" i="8" s="1"/>
  <c r="N43" i="8" s="1"/>
  <c r="O43" i="8" s="1"/>
  <c r="E46" i="8"/>
  <c r="C27" i="7"/>
  <c r="I27" i="7" s="1"/>
  <c r="F33" i="8"/>
  <c r="F38" i="8"/>
  <c r="F48" i="8" s="1"/>
  <c r="H30" i="8"/>
  <c r="G30" i="8"/>
  <c r="I26" i="8"/>
  <c r="F18" i="15"/>
  <c r="D5" i="4"/>
  <c r="E22" i="15"/>
  <c r="C9" i="7" s="1"/>
  <c r="E16" i="15"/>
  <c r="E23" i="6"/>
  <c r="E5" i="4"/>
  <c r="F5" i="4"/>
  <c r="I7" i="6"/>
  <c r="M6" i="6"/>
  <c r="F6" i="6"/>
  <c r="F7" i="6" s="1"/>
  <c r="G5" i="6"/>
  <c r="K5" i="6"/>
  <c r="K7" i="6" s="1"/>
  <c r="D9" i="4" l="1"/>
  <c r="D8" i="4"/>
  <c r="D11" i="4"/>
  <c r="E9" i="4"/>
  <c r="E8" i="4"/>
  <c r="E11" i="4"/>
  <c r="E49" i="8"/>
  <c r="E53" i="8" s="1"/>
  <c r="F34" i="8"/>
  <c r="F46" i="8"/>
  <c r="F49" i="8" s="1"/>
  <c r="F53" i="8" s="1"/>
  <c r="H36" i="8"/>
  <c r="H47" i="8" s="1"/>
  <c r="H38" i="8"/>
  <c r="H48" i="8" s="1"/>
  <c r="H33" i="8"/>
  <c r="H46" i="8" s="1"/>
  <c r="G36" i="8"/>
  <c r="G47" i="8" s="1"/>
  <c r="G33" i="8"/>
  <c r="G38" i="8"/>
  <c r="G48" i="8" s="1"/>
  <c r="J26" i="8"/>
  <c r="J30" i="8" s="1"/>
  <c r="I30" i="8"/>
  <c r="E18" i="15"/>
  <c r="F9" i="6" s="1"/>
  <c r="E30" i="6"/>
  <c r="I9" i="6" s="1"/>
  <c r="G6" i="6"/>
  <c r="G7" i="6"/>
  <c r="M5" i="6"/>
  <c r="M7" i="6" s="1"/>
  <c r="E15" i="6" s="1"/>
  <c r="H10" i="4"/>
  <c r="H15" i="4" s="1"/>
  <c r="D10" i="4"/>
  <c r="D17" i="4" s="1"/>
  <c r="D18" i="4" s="1"/>
  <c r="F10" i="4"/>
  <c r="G10" i="4"/>
  <c r="G15" i="4" s="1"/>
  <c r="E10" i="4"/>
  <c r="F50" i="8" l="1"/>
  <c r="G34" i="8"/>
  <c r="G46" i="8"/>
  <c r="G49" i="8" s="1"/>
  <c r="H49" i="8"/>
  <c r="H53" i="8" s="1"/>
  <c r="H34" i="8"/>
  <c r="J38" i="8"/>
  <c r="J33" i="8"/>
  <c r="J46" i="8" s="1"/>
  <c r="J36" i="8"/>
  <c r="J47" i="8" s="1"/>
  <c r="I36" i="8"/>
  <c r="I47" i="8" s="1"/>
  <c r="I38" i="8"/>
  <c r="I48" i="8" s="1"/>
  <c r="I33" i="8"/>
  <c r="K26" i="8"/>
  <c r="K30" i="8" s="1"/>
  <c r="G17" i="4"/>
  <c r="G18" i="4" s="1"/>
  <c r="E17" i="4"/>
  <c r="E18" i="4" s="1"/>
  <c r="F15" i="4"/>
  <c r="F17" i="4" s="1"/>
  <c r="F18" i="4" s="1"/>
  <c r="C63" i="5"/>
  <c r="C61" i="5"/>
  <c r="D66" i="5"/>
  <c r="E66" i="5"/>
  <c r="F66" i="5"/>
  <c r="G66" i="5"/>
  <c r="H66" i="5"/>
  <c r="D67" i="5"/>
  <c r="E67" i="5"/>
  <c r="F67" i="5"/>
  <c r="G67" i="5"/>
  <c r="H67" i="5"/>
  <c r="D6" i="7"/>
  <c r="E6" i="7"/>
  <c r="F6" i="7"/>
  <c r="G6" i="7"/>
  <c r="H6" i="7"/>
  <c r="G50" i="8" l="1"/>
  <c r="G53" i="8"/>
  <c r="H50" i="8"/>
  <c r="I34" i="8"/>
  <c r="I46" i="8"/>
  <c r="I49" i="8" s="1"/>
  <c r="J48" i="8"/>
  <c r="J49" i="8" s="1"/>
  <c r="J53" i="8" s="1"/>
  <c r="J34" i="8"/>
  <c r="K33" i="8"/>
  <c r="K34" i="8" s="1"/>
  <c r="K38" i="8"/>
  <c r="K36" i="8"/>
  <c r="K47" i="8" s="1"/>
  <c r="L26" i="8"/>
  <c r="L30" i="8" s="1"/>
  <c r="G68" i="5"/>
  <c r="H68" i="5"/>
  <c r="F68" i="5"/>
  <c r="D68" i="5"/>
  <c r="E68" i="5"/>
  <c r="C68" i="5"/>
  <c r="G8" i="7"/>
  <c r="F8" i="7"/>
  <c r="F22" i="7" s="1"/>
  <c r="D8" i="7"/>
  <c r="D22" i="7" s="1"/>
  <c r="E8" i="7"/>
  <c r="E23" i="7" s="1"/>
  <c r="H8" i="7"/>
  <c r="I50" i="8" l="1"/>
  <c r="I53" i="8"/>
  <c r="J50" i="8"/>
  <c r="K46" i="8"/>
  <c r="K48" i="8"/>
  <c r="M26" i="8"/>
  <c r="M30" i="8" s="1"/>
  <c r="M33" i="8" s="1"/>
  <c r="L33" i="8"/>
  <c r="L34" i="8" s="1"/>
  <c r="L38" i="8"/>
  <c r="L36" i="8"/>
  <c r="L47" i="8" s="1"/>
  <c r="H17" i="4"/>
  <c r="H18" i="4" s="1"/>
  <c r="G11" i="7"/>
  <c r="F11" i="7"/>
  <c r="E11" i="7"/>
  <c r="E14" i="7" s="1"/>
  <c r="G22" i="7"/>
  <c r="F19" i="7"/>
  <c r="G24" i="7"/>
  <c r="D19" i="7"/>
  <c r="F23" i="7"/>
  <c r="G23" i="7"/>
  <c r="E19" i="7"/>
  <c r="E22" i="7"/>
  <c r="F24" i="7"/>
  <c r="D23" i="7"/>
  <c r="E24" i="7"/>
  <c r="D24" i="7"/>
  <c r="G19" i="7"/>
  <c r="H11" i="7"/>
  <c r="H14" i="7" s="1"/>
  <c r="H24" i="7"/>
  <c r="H22" i="7"/>
  <c r="H23" i="7"/>
  <c r="D56" i="5"/>
  <c r="C56" i="5"/>
  <c r="C46" i="5"/>
  <c r="C52" i="5"/>
  <c r="G46" i="5"/>
  <c r="F46" i="5"/>
  <c r="D52" i="5"/>
  <c r="D46" i="5"/>
  <c r="C6" i="7"/>
  <c r="G3" i="8"/>
  <c r="H3" i="8" s="1"/>
  <c r="I3" i="8" s="1"/>
  <c r="J3" i="8" s="1"/>
  <c r="K3" i="8" s="1"/>
  <c r="L3" i="8" s="1"/>
  <c r="M3" i="8" s="1"/>
  <c r="N3" i="8" s="1"/>
  <c r="O3" i="8" s="1"/>
  <c r="P3" i="8" s="1"/>
  <c r="E6" i="8"/>
  <c r="F6" i="8" s="1"/>
  <c r="G6" i="8" s="1"/>
  <c r="H6" i="8" s="1"/>
  <c r="I6" i="8" s="1"/>
  <c r="J6" i="8" s="1"/>
  <c r="K6" i="8" s="1"/>
  <c r="L6" i="8" s="1"/>
  <c r="M6" i="8" s="1"/>
  <c r="N6" i="8" s="1"/>
  <c r="E20" i="8"/>
  <c r="E31" i="6" s="1"/>
  <c r="J9" i="6" s="1"/>
  <c r="K49" i="8" l="1"/>
  <c r="L46" i="8"/>
  <c r="L48" i="8"/>
  <c r="M46" i="8"/>
  <c r="M36" i="8"/>
  <c r="M47" i="8" s="1"/>
  <c r="N26" i="8"/>
  <c r="N30" i="8" s="1"/>
  <c r="N36" i="8" s="1"/>
  <c r="M38" i="8"/>
  <c r="M34" i="8"/>
  <c r="C20" i="4"/>
  <c r="D20" i="4" s="1"/>
  <c r="C21" i="4"/>
  <c r="D21" i="4" s="1"/>
  <c r="E17" i="7"/>
  <c r="E15" i="7"/>
  <c r="E16" i="7"/>
  <c r="F57" i="5"/>
  <c r="G57" i="5"/>
  <c r="G14" i="7"/>
  <c r="G17" i="7"/>
  <c r="G16" i="7"/>
  <c r="G15" i="7"/>
  <c r="F14" i="7"/>
  <c r="F17" i="7"/>
  <c r="F15" i="7"/>
  <c r="F16" i="7"/>
  <c r="H17" i="7"/>
  <c r="H15" i="7"/>
  <c r="H16" i="7"/>
  <c r="E22" i="8"/>
  <c r="D57" i="5"/>
  <c r="C57" i="5"/>
  <c r="G9" i="6" s="1"/>
  <c r="D11" i="7"/>
  <c r="C8" i="7"/>
  <c r="K50" i="8" l="1"/>
  <c r="K53" i="8"/>
  <c r="L49" i="8"/>
  <c r="N47" i="8"/>
  <c r="M48" i="8"/>
  <c r="M49" i="8" s="1"/>
  <c r="M53" i="8" s="1"/>
  <c r="N33" i="8"/>
  <c r="N34" i="8" s="1"/>
  <c r="N38" i="8"/>
  <c r="O26" i="8"/>
  <c r="O30" i="8" s="1"/>
  <c r="O33" i="8" s="1"/>
  <c r="O46" i="8" s="1"/>
  <c r="I8" i="7"/>
  <c r="D14" i="7"/>
  <c r="D16" i="7"/>
  <c r="D15" i="7"/>
  <c r="D17" i="7"/>
  <c r="C19" i="7"/>
  <c r="C24" i="7"/>
  <c r="C22" i="7"/>
  <c r="C23" i="7"/>
  <c r="C11" i="7"/>
  <c r="L50" i="8" l="1"/>
  <c r="L53" i="8"/>
  <c r="N46" i="8"/>
  <c r="M50" i="8"/>
  <c r="N48" i="8"/>
  <c r="O34" i="8"/>
  <c r="O36" i="8"/>
  <c r="O47" i="8" s="1"/>
  <c r="O38" i="8"/>
  <c r="O48" i="8" s="1"/>
  <c r="I21" i="7"/>
  <c r="C14" i="7"/>
  <c r="I14" i="7" s="1"/>
  <c r="I11" i="7"/>
  <c r="I23" i="7"/>
  <c r="I24" i="7"/>
  <c r="I22" i="7"/>
  <c r="E5" i="8"/>
  <c r="F5" i="8" s="1"/>
  <c r="C15" i="7"/>
  <c r="I15" i="7" s="1"/>
  <c r="C16" i="7"/>
  <c r="I16" i="7" s="1"/>
  <c r="C17" i="7"/>
  <c r="I17" i="7" s="1"/>
  <c r="O49" i="8" l="1"/>
  <c r="O53" i="8" s="1"/>
  <c r="N49" i="8"/>
  <c r="G5" i="8"/>
  <c r="N50" i="8" l="1"/>
  <c r="N53" i="8"/>
  <c r="O50" i="8"/>
  <c r="H5" i="8"/>
  <c r="I5" i="8" l="1"/>
  <c r="J5" i="8" l="1"/>
  <c r="K5" i="8" l="1"/>
  <c r="L5" i="8" l="1"/>
  <c r="M5" i="8" l="1"/>
  <c r="N5" i="8" l="1"/>
  <c r="O5" i="8" l="1"/>
  <c r="E22" i="6" l="1"/>
  <c r="E25" i="6" s="1"/>
  <c r="H9" i="6"/>
  <c r="M9" i="6"/>
  <c r="E13" i="6" l="1"/>
  <c r="E19" i="6" s="1"/>
  <c r="E32" i="6"/>
  <c r="E33" i="6" s="1"/>
  <c r="E34" i="6" l="1"/>
  <c r="B6" i="8" s="1"/>
  <c r="P5" i="8" l="1"/>
  <c r="P53" i="8"/>
  <c r="L7" i="8"/>
  <c r="L8" i="8" s="1"/>
  <c r="G54" i="8"/>
  <c r="G55" i="8" s="1"/>
  <c r="H54" i="8"/>
  <c r="H55" i="8" s="1"/>
  <c r="I54" i="8"/>
  <c r="I55" i="8" s="1"/>
  <c r="F54" i="8"/>
  <c r="F55" i="8" s="1"/>
  <c r="J54" i="8"/>
  <c r="J55" i="8" s="1"/>
  <c r="F7" i="8"/>
  <c r="F8" i="8" s="1"/>
  <c r="K54" i="8"/>
  <c r="K55" i="8" s="1"/>
  <c r="O54" i="8"/>
  <c r="L54" i="8"/>
  <c r="L55" i="8" s="1"/>
  <c r="M54" i="8"/>
  <c r="M55" i="8" s="1"/>
  <c r="N54" i="8"/>
  <c r="N55" i="8" s="1"/>
  <c r="H7" i="8"/>
  <c r="H8" i="8" s="1"/>
  <c r="N7" i="8"/>
  <c r="N8" i="8" s="1"/>
  <c r="K7" i="8"/>
  <c r="K8" i="8" s="1"/>
  <c r="I7" i="8"/>
  <c r="I8" i="8" s="1"/>
  <c r="P7" i="8"/>
  <c r="J7" i="8"/>
  <c r="J8" i="8" s="1"/>
  <c r="G7" i="8"/>
  <c r="G8" i="8" s="1"/>
  <c r="O7" i="8"/>
  <c r="O8" i="8" s="1"/>
  <c r="M7" i="8"/>
  <c r="M8" i="8" s="1"/>
  <c r="O55" i="8" l="1"/>
  <c r="P54" i="8"/>
  <c r="P55" i="8" s="1"/>
  <c r="P8" i="8"/>
  <c r="E14" i="8" s="1"/>
  <c r="E12" i="8" s="1"/>
  <c r="E58" i="8" l="1"/>
  <c r="E60" i="8" s="1"/>
  <c r="E61" i="8" s="1"/>
  <c r="E11" i="8"/>
  <c r="I12"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Francesco Catalanotti</author>
  </authors>
  <commentList>
    <comment ref="B5" authorId="0" shapeId="0" xr:uid="{793D170B-23D0-44FD-988D-186B59E1C33C}">
      <text>
        <r>
          <rPr>
            <b/>
            <sz val="9"/>
            <color indexed="81"/>
            <rFont val="Tahoma"/>
            <family val="2"/>
          </rPr>
          <t>Francesco Catalanotti:</t>
        </r>
        <r>
          <rPr>
            <sz val="9"/>
            <color indexed="81"/>
            <rFont val="Tahoma"/>
            <family val="2"/>
          </rPr>
          <t xml:space="preserve">
Goal seek function
</t>
        </r>
      </text>
    </comment>
    <comment ref="E21" authorId="0" shapeId="0" xr:uid="{BA830EB1-200D-4189-AD48-23C1FFEA38F1}">
      <text>
        <r>
          <rPr>
            <b/>
            <sz val="9"/>
            <color indexed="81"/>
            <rFont val="Tahoma"/>
            <family val="2"/>
          </rPr>
          <t>Francesco Catalanotti:</t>
        </r>
        <r>
          <rPr>
            <sz val="9"/>
            <color indexed="81"/>
            <rFont val="Tahoma"/>
            <family val="2"/>
          </rPr>
          <t xml:space="preserve">
Q3 2024</t>
        </r>
      </text>
    </comment>
    <comment ref="F26" authorId="0" shapeId="0" xr:uid="{9F7C28D5-AD58-4A6F-922A-00F966945109}">
      <text>
        <r>
          <rPr>
            <b/>
            <sz val="9"/>
            <color indexed="81"/>
            <rFont val="Tahoma"/>
            <family val="2"/>
          </rPr>
          <t>Francesco Catalanotti:</t>
        </r>
        <r>
          <rPr>
            <sz val="9"/>
            <color indexed="81"/>
            <rFont val="Tahoma"/>
            <family val="2"/>
          </rPr>
          <t xml:space="preserve">
Guidance</t>
        </r>
      </text>
    </comment>
    <comment ref="G27" authorId="0" shapeId="0" xr:uid="{7DBEE504-A07A-4956-880A-F96EDEC1D84F}">
      <text>
        <r>
          <rPr>
            <b/>
            <sz val="9"/>
            <color indexed="81"/>
            <rFont val="Tahoma"/>
            <family val="2"/>
          </rPr>
          <t>Francesco Catalanotti:</t>
        </r>
        <r>
          <rPr>
            <sz val="9"/>
            <color indexed="81"/>
            <rFont val="Tahoma"/>
            <family val="2"/>
          </rPr>
          <t xml:space="preserve">
From the group guidance</t>
        </r>
      </text>
    </comment>
    <comment ref="F28" authorId="0" shapeId="0" xr:uid="{5FDAF774-76A0-4D0D-BAC0-EE6A9463EC4D}">
      <text>
        <r>
          <rPr>
            <b/>
            <sz val="9"/>
            <color indexed="81"/>
            <rFont val="Tahoma"/>
            <family val="2"/>
          </rPr>
          <t>Francesco Catalanotti:</t>
        </r>
        <r>
          <rPr>
            <sz val="9"/>
            <color indexed="81"/>
            <rFont val="Tahoma"/>
            <family val="2"/>
          </rPr>
          <t xml:space="preserve">
5 months guidance contribution</t>
        </r>
      </text>
    </comment>
    <comment ref="F37" authorId="0" shapeId="0" xr:uid="{5F99A13A-CE33-42F4-821B-533D32E906F7}">
      <text>
        <r>
          <rPr>
            <b/>
            <sz val="9"/>
            <color indexed="81"/>
            <rFont val="Tahoma"/>
            <family val="2"/>
          </rPr>
          <t>Francesco Catalanotti:</t>
        </r>
        <r>
          <rPr>
            <sz val="9"/>
            <color indexed="81"/>
            <rFont val="Tahoma"/>
            <family val="2"/>
          </rPr>
          <t xml:space="preserve">
Guidance</t>
        </r>
      </text>
    </comment>
    <comment ref="F39" authorId="0" shapeId="0" xr:uid="{997ADED9-D123-4724-A4C3-9DF391D07F2C}">
      <text>
        <r>
          <rPr>
            <b/>
            <sz val="9"/>
            <color indexed="81"/>
            <rFont val="Tahoma"/>
            <family val="2"/>
          </rPr>
          <t>Francesco Catalanotti:</t>
        </r>
        <r>
          <rPr>
            <sz val="9"/>
            <color indexed="81"/>
            <rFont val="Tahoma"/>
            <family val="2"/>
          </rPr>
          <t xml:space="preserve">
Guidance</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<sst xmlns="http://schemas.openxmlformats.org/spreadsheetml/2006/main" count="358" uniqueCount="240">
  <si>
    <t>2019 FY</t>
  </si>
  <si>
    <t>2020 FY</t>
  </si>
  <si>
    <t>2021 FY</t>
  </si>
  <si>
    <t>2022 FY</t>
  </si>
  <si>
    <t>2023 FY</t>
  </si>
  <si>
    <t>Depreciation &amp; Amort.</t>
  </si>
  <si>
    <t>NA</t>
  </si>
  <si>
    <t>EBITDA</t>
  </si>
  <si>
    <t>EBIT</t>
  </si>
  <si>
    <t>(in migliaia di Euro)</t>
  </si>
  <si>
    <t>31 dicembre 2023</t>
  </si>
  <si>
    <t>31 dicembre 2022</t>
  </si>
  <si>
    <t>ATTIVITÀ</t>
  </si>
  <si>
    <t>PATRIMONIO NETTO E PASSIVITÀ</t>
  </si>
  <si>
    <t>Attività non correnti</t>
  </si>
  <si>
    <t xml:space="preserve">PATRIMONIO NETTO </t>
  </si>
  <si>
    <t>Immobili, impianti e macchinari</t>
  </si>
  <si>
    <t>Capitale</t>
  </si>
  <si>
    <t>Avviamento</t>
  </si>
  <si>
    <t>Riserva sovrapprezzo azioni</t>
  </si>
  <si>
    <t>Altre attività immateriali</t>
  </si>
  <si>
    <t>Altre riserve</t>
  </si>
  <si>
    <t>Partecipazioni e altre attività non correnti</t>
  </si>
  <si>
    <t>Utile/(perdita) del periodo</t>
  </si>
  <si>
    <t>di cui partecipazioni valutate con il metodo del patrimonio netto</t>
  </si>
  <si>
    <t>Patrimonio netto attribuibile agli azionisti della controllante</t>
  </si>
  <si>
    <t>Net Debt</t>
  </si>
  <si>
    <t>Attività nette per imposte differite</t>
  </si>
  <si>
    <t>Patrimonio di terzi</t>
  </si>
  <si>
    <t>Totale attività non correnti</t>
  </si>
  <si>
    <t>TOTALE PATRIMONIO NETTO</t>
  </si>
  <si>
    <t>Attività correnti</t>
  </si>
  <si>
    <t>Passività non correnti</t>
  </si>
  <si>
    <t>Rimanenze</t>
  </si>
  <si>
    <t>Passività finanziarie non correnti</t>
  </si>
  <si>
    <t>Attività derivanti da contratti</t>
  </si>
  <si>
    <t>Fondi non correnti relativi al personale</t>
  </si>
  <si>
    <t>Altre attività finanziarie inclusi strumenti derivati</t>
  </si>
  <si>
    <t>Fondi per rischi e oneri non correnti</t>
  </si>
  <si>
    <t>Crediti commerciali</t>
  </si>
  <si>
    <t>Totale passività non correnti</t>
  </si>
  <si>
    <t>Altre attività correnti</t>
  </si>
  <si>
    <t>Passività correnti</t>
  </si>
  <si>
    <t>Disponibilità liquide e mezzi equivalenti</t>
  </si>
  <si>
    <t>Passività finanziarie correnti inclusi strumenti derivati</t>
  </si>
  <si>
    <t>Totale attività correnti</t>
  </si>
  <si>
    <t>Fondi per rischi e oneri correnti</t>
  </si>
  <si>
    <t>TOTALE ATTIVITÀ</t>
  </si>
  <si>
    <t>Debiti commerciali</t>
  </si>
  <si>
    <t>Passività derivanti da contratti</t>
  </si>
  <si>
    <t>Altre passività correnti</t>
  </si>
  <si>
    <t>Debiti tributari per altre imposte</t>
  </si>
  <si>
    <t>Passività nette per imposte sul reddito</t>
  </si>
  <si>
    <t>Totale passività correnti</t>
  </si>
  <si>
    <t>TOTALE PASSIVITÀ</t>
  </si>
  <si>
    <t>TOTALE PATRIMONIO NETTO E PASSIVITÀ</t>
  </si>
  <si>
    <t>Net Income - CF</t>
  </si>
  <si>
    <t>Amort. of Goodwill and Intangibles</t>
  </si>
  <si>
    <t xml:space="preserve">        Depreciation &amp; Amort., Total</t>
  </si>
  <si>
    <t>Other Amortization</t>
  </si>
  <si>
    <t>(Gain) Loss From Sale Of Assets</t>
  </si>
  <si>
    <t>Loss On Sale Of Investment</t>
  </si>
  <si>
    <t>Asset Writedown &amp; Restructuring Costs</t>
  </si>
  <si>
    <t>Other Operating Activities</t>
  </si>
  <si>
    <t>Change in Acc. Receivable</t>
  </si>
  <si>
    <t>Change In Inventories</t>
  </si>
  <si>
    <t>Change in Acc. Payable</t>
  </si>
  <si>
    <t>Change in Unearned Rev.</t>
  </si>
  <si>
    <t>Change in Other Net Operating Assets</t>
  </si>
  <si>
    <t xml:space="preserve">        Cash from Ops.</t>
  </si>
  <si>
    <t>Capital Expenditure</t>
  </si>
  <si>
    <t>Sale of Property, Plant and Equipment</t>
  </si>
  <si>
    <t>Cash Acquisitions</t>
  </si>
  <si>
    <t>Sale (Purchase) of Intangible assets</t>
  </si>
  <si>
    <t>Invest. in Marketable &amp; Equity Securt.</t>
  </si>
  <si>
    <t>Other Investing Activities</t>
  </si>
  <si>
    <t xml:space="preserve">        Cash from Investing</t>
  </si>
  <si>
    <t>Long-Term Debt Issued</t>
  </si>
  <si>
    <t xml:space="preserve">        Total Debt Issued</t>
  </si>
  <si>
    <t>Long-Term Debt Repaid</t>
  </si>
  <si>
    <t xml:space="preserve">        Total Debt Repaid</t>
  </si>
  <si>
    <t>Issuance of Common Stock</t>
  </si>
  <si>
    <t>Repurchase of Common Stock</t>
  </si>
  <si>
    <t>Common Dividends Paid</t>
  </si>
  <si>
    <t xml:space="preserve">        Total Dividends Paid</t>
  </si>
  <si>
    <t>Other Financing Activities</t>
  </si>
  <si>
    <t xml:space="preserve">        Cash from Financing</t>
  </si>
  <si>
    <t xml:space="preserve">        Net Change in Cash</t>
  </si>
  <si>
    <t>ROI</t>
  </si>
  <si>
    <t>EV</t>
  </si>
  <si>
    <t>NFP</t>
  </si>
  <si>
    <t>MktCap</t>
  </si>
  <si>
    <t>Leverage</t>
  </si>
  <si>
    <t>Adj Beta 3y</t>
  </si>
  <si>
    <t>Unlevered beta</t>
  </si>
  <si>
    <t>Ferretti</t>
  </si>
  <si>
    <t>The Italian Sea Group</t>
  </si>
  <si>
    <t>Sanlorenzo</t>
  </si>
  <si>
    <t>Tax rate</t>
  </si>
  <si>
    <t>31 dicembre 2021</t>
  </si>
  <si>
    <t>Capitale Circolante Netto Operativo</t>
  </si>
  <si>
    <t>Posizione Finanziaria Netta</t>
  </si>
  <si>
    <t>TOTALE PATRIMONIO NETTO E PFN</t>
  </si>
  <si>
    <t>Ricavi</t>
  </si>
  <si>
    <t>Costi di commercializzazione</t>
  </si>
  <si>
    <t>Costi per consumi di materie prime, materiali di consumo e prodotti finiti</t>
  </si>
  <si>
    <t>Variazione delle rimanenze di prodotti in corso di lavorazione, semilavorati e prodotti finiti</t>
  </si>
  <si>
    <t>Incrementi di immobilizzazioni per lavori interni</t>
  </si>
  <si>
    <t>Costi per lavorazioni esterne</t>
  </si>
  <si>
    <t>Altri costi per servizi</t>
  </si>
  <si>
    <t>Costi del lavoro</t>
  </si>
  <si>
    <t>Altri costi operativi</t>
  </si>
  <si>
    <t>Stanziamenti a fondi per rischi e oneri</t>
  </si>
  <si>
    <t>Proventi/(oneri) da partecipazioni</t>
  </si>
  <si>
    <t>Ammortamenti e svalutazioni delle immobilizzazioni</t>
  </si>
  <si>
    <t>Rettifiche di valore di attività finanziarie</t>
  </si>
  <si>
    <t>Proventi finanziari</t>
  </si>
  <si>
    <t>Oneri finanziari</t>
  </si>
  <si>
    <t>Imposte sul reddito</t>
  </si>
  <si>
    <t>Immobilizzazioni Operative Nette</t>
  </si>
  <si>
    <t>Attivo Gestione Patrimoniale</t>
  </si>
  <si>
    <t>TOTALE CAPITALE INVESTITO NETTO</t>
  </si>
  <si>
    <t>Financial liabilities</t>
  </si>
  <si>
    <t>Financial assets</t>
  </si>
  <si>
    <t>Cash equivalents</t>
  </si>
  <si>
    <t>Current non fianancial assets</t>
  </si>
  <si>
    <t>Current non financial liabilities</t>
  </si>
  <si>
    <t>ncWC</t>
  </si>
  <si>
    <t>31 dicembre 2020</t>
  </si>
  <si>
    <t>31 dicembre 2019</t>
  </si>
  <si>
    <t>31 dicembre 2018</t>
  </si>
  <si>
    <t>Ricavi netti</t>
  </si>
  <si>
    <t>Altri proventi</t>
  </si>
  <si>
    <t>TOTALE RICAVI E PROVENTI NETTI</t>
  </si>
  <si>
    <t>Totale costi operativi</t>
  </si>
  <si>
    <t>RISULTATO OPERATIVO PRIMA DEGLI AMMORTAMENTI</t>
  </si>
  <si>
    <t>RISULTATO OPERATIVO</t>
  </si>
  <si>
    <t>Proventi/(oneri) finanziari netti</t>
  </si>
  <si>
    <t>-</t>
  </si>
  <si>
    <t>RISULTATO PRIMA DELLE IMPOSTE</t>
  </si>
  <si>
    <t>UTILE/(PERDITA) DEL PERIODO</t>
  </si>
  <si>
    <t>Attribuibile a:</t>
  </si>
  <si>
    <t>Azionisti della capogruppo</t>
  </si>
  <si>
    <t>Azionisti di minoranza</t>
  </si>
  <si>
    <t>WACC</t>
  </si>
  <si>
    <t>Cost of debt</t>
  </si>
  <si>
    <t>Cost of equity</t>
  </si>
  <si>
    <t>Risk-free rate (10y BTP)</t>
  </si>
  <si>
    <t>EBIT/interests</t>
  </si>
  <si>
    <t>Relevered Beta</t>
  </si>
  <si>
    <t>FCFF</t>
  </si>
  <si>
    <t>NOPAT</t>
  </si>
  <si>
    <t>Gross cash flows</t>
  </si>
  <si>
    <t>Change in noncash WC</t>
  </si>
  <si>
    <t>CAPEX</t>
  </si>
  <si>
    <t>FCFF/revenues</t>
  </si>
  <si>
    <t>FCFF/EBITDA</t>
  </si>
  <si>
    <t>FCFF/EBIT</t>
  </si>
  <si>
    <t>FCFF/earnings</t>
  </si>
  <si>
    <t>Gross cash flow growth</t>
  </si>
  <si>
    <t>Average change</t>
  </si>
  <si>
    <t>GCF/revenues</t>
  </si>
  <si>
    <t>GCF/EBITDA</t>
  </si>
  <si>
    <t>GCF/EBIT</t>
  </si>
  <si>
    <t>GCF/earnings</t>
  </si>
  <si>
    <t>Assuptions</t>
  </si>
  <si>
    <t>"€000"</t>
  </si>
  <si>
    <t>TV</t>
  </si>
  <si>
    <t>growth</t>
  </si>
  <si>
    <t>FCFF growth</t>
  </si>
  <si>
    <t>g</t>
  </si>
  <si>
    <t>Discount factor</t>
  </si>
  <si>
    <t>Discounted FCFF</t>
  </si>
  <si>
    <t>Target Price</t>
  </si>
  <si>
    <t>Sensitivity analysis</t>
  </si>
  <si>
    <t>Equity value</t>
  </si>
  <si>
    <t>Share price</t>
  </si>
  <si>
    <t>Earnings</t>
  </si>
  <si>
    <t>Average GCF</t>
  </si>
  <si>
    <t>EV/EBITDA</t>
  </si>
  <si>
    <t>P/E</t>
  </si>
  <si>
    <t>EV/sales</t>
  </si>
  <si>
    <t>EV/EBIT</t>
  </si>
  <si>
    <t>P/Sales</t>
  </si>
  <si>
    <t>Median</t>
  </si>
  <si>
    <t>Valuation (using median)</t>
  </si>
  <si>
    <t>Equity Value</t>
  </si>
  <si>
    <t>Price</t>
  </si>
  <si>
    <t>Average</t>
  </si>
  <si>
    <t>Shares outstanding (000)</t>
  </si>
  <si>
    <t>Results</t>
  </si>
  <si>
    <t>Balance sheet</t>
  </si>
  <si>
    <t>Income statement</t>
  </si>
  <si>
    <t>Cash flow statement</t>
  </si>
  <si>
    <t>Net Invested Capital</t>
  </si>
  <si>
    <t>(EUR 000)</t>
  </si>
  <si>
    <t>Risk-free rate (10y Italian Bonds BTP)</t>
  </si>
  <si>
    <t>Market Risk Premium (source: Damodaran)</t>
  </si>
  <si>
    <t>Unlevered Beta (Industry average)</t>
  </si>
  <si>
    <t>Levered cost of equity</t>
  </si>
  <si>
    <t>Icnome statement</t>
  </si>
  <si>
    <t>Interests</t>
  </si>
  <si>
    <t>Spread on debt (source: Damodaran)</t>
  </si>
  <si>
    <t>D/(D+E)</t>
  </si>
  <si>
    <t>Balance Sheet</t>
  </si>
  <si>
    <t>E/(D+E)</t>
  </si>
  <si>
    <t>Market Value of Equity</t>
  </si>
  <si>
    <t>Market Value of Debt</t>
  </si>
  <si>
    <t>Book Value</t>
  </si>
  <si>
    <t>Sales</t>
  </si>
  <si>
    <t>Liquidity and cash equivalents</t>
  </si>
  <si>
    <t>Multiples</t>
  </si>
  <si>
    <t>Book Value of equity</t>
  </si>
  <si>
    <t>Net invested Capital</t>
  </si>
  <si>
    <t>Cash Flow Statement</t>
  </si>
  <si>
    <t>Depreciation &amp; Amortization</t>
  </si>
  <si>
    <t>Financial data</t>
  </si>
  <si>
    <t>Market value of Bonds</t>
  </si>
  <si>
    <t>P/Book</t>
  </si>
  <si>
    <t>Revenue growth</t>
  </si>
  <si>
    <t>Growth of new yachts revneues</t>
  </si>
  <si>
    <t>From yachts sales</t>
  </si>
  <si>
    <t>Refitting and others</t>
  </si>
  <si>
    <t>Growth of refitting</t>
  </si>
  <si>
    <t>Net revenues</t>
  </si>
  <si>
    <t>Swan contribution</t>
  </si>
  <si>
    <t>Swan growth</t>
  </si>
  <si>
    <t>EBITDA margin</t>
  </si>
  <si>
    <t>EBIT margin</t>
  </si>
  <si>
    <t>Group revenues from yacht sales</t>
  </si>
  <si>
    <t>Total revenues</t>
  </si>
  <si>
    <t>Growth</t>
  </si>
  <si>
    <t>Net debt</t>
  </si>
  <si>
    <t>Target price</t>
  </si>
  <si>
    <t>Market Capitalization</t>
  </si>
  <si>
    <t>Enterprise Value</t>
  </si>
  <si>
    <t>Mean</t>
  </si>
  <si>
    <t>Mean (excl. SNLZ)</t>
  </si>
  <si>
    <t>High</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</si>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</sst>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_(&quot;$&quot;* \(#,##0.00\);_(&quot;$&quot;* &quot;-&quot;??_);_(@_)"/>
    <numFmt numFmtId="43" formatCode="_(* #,##0.00_);_(* \(#,##0.00\);_(* &quot;-&quot;??_);_(@_)"/>
    <numFmt numFmtId="164" formatCode="#,##0;[Red]\(#,##0\)"/>
    <numFmt numFmtId="165" formatCode="_(&quot;$&quot;* #,##0_);_(&quot;$&quot;* \(#,##0\);_(&quot;$&quot;* &quot;-&quot;??_);_(@_)"/>
    <numFmt numFmtId="166" formatCode="0.0%"/>
    <numFmt numFmtId="167" formatCode="[$€-2]\ #,##0;[Red]\-[$€-2]\ #,##0"/>
    <numFmt numFmtId="168" formatCode="_([$€-2]\ * #,##0_);_([$€-2]\ * \(#,##0\);_([$€-2]\ * &quot;-&quot;??_);_(@_)"/>
    <numFmt numFmtId="169" formatCode="_([$€-2]\ * #,##0.00_);_([$€-2]\ * \(#,##0.00\);_([$€-2]\ * &quot;-&quot;??_);_(@_)"/>
    <numFmt numFmtId="170" formatCode="_(* #,##0_);_(* \(#,##0\);_(* &quot;-&quot;??_);_(@_)"/>
    <numFmt numFmtId="171" formatCode="#,##0.0;\(#,##0.0\);\-"/>
    <numFmt numFmtId="172" formatCode="_([$€-2]\ * #,##0_);_([$€-2]\ * \(#,##0\);_([$€-2]\ * &quot;-&quot;_);_(@_)"/>
    <numFmt numFmtId="173" formatCode="0.0"/>
  </numFmts>
  <fonts count="44">
    <font>
      <sz val="11"/>
      <color theme="1"/>
      <name val="Aptos Narrow"/>
      <family val="2"/>
      <scheme val="minor"/>
    </font>
    <font>
      <sz val="11"/>
      <color theme="1"/>
      <name val="Aptos Narrow"/>
      <family val="2"/>
      <scheme val="minor"/>
    </font>
    <font>
      <b/>
      <sz val="11"/>
      <color theme="1"/>
      <name val="Aptos Narrow"/>
      <family val="2"/>
      <scheme val="minor"/>
    </font>
    <font>
      <sz val="10"/>
      <name val="Arial"/>
      <family val="2"/>
    </font>
    <font>
      <b/>
      <sz val="10"/>
      <name val="Arial"/>
      <family val="2"/>
    </font>
    <font>
      <sz val="10"/>
      <name val="Arial"/>
      <family val="2"/>
    </font>
    <font>
      <b/>
      <sz val="11"/>
      <color theme="0"/>
      <name val="Aptos Narrow"/>
      <family val="2"/>
      <scheme val="minor"/>
    </font>
    <font>
      <sz val="11"/>
      <color theme="0"/>
      <name val="Aptos Narrow"/>
      <family val="2"/>
      <scheme val="minor"/>
    </font>
    <font>
      <sz val="14"/>
      <color rgb="FF000000"/>
      <name val="Times New Roman"/>
      <family val="1"/>
    </font>
    <font>
      <sz val="8"/>
      <color rgb="FF1D1D1B"/>
      <name val="Ff29"/>
    </font>
    <font>
      <sz val="8"/>
      <color rgb="FF1D1D1B"/>
      <name val="Ff2c"/>
    </font>
    <font>
      <sz val="8"/>
      <color rgb="FF1D1D1B"/>
      <name val="Ff2d"/>
    </font>
    <font>
      <sz val="8"/>
      <color rgb="FF1D1D1B"/>
      <name val="Ff2e"/>
    </font>
    <font>
      <b/>
      <sz val="8"/>
      <color rgb="FF1D1D1B"/>
      <name val="Ff29"/>
    </font>
    <font>
      <b/>
      <sz val="26"/>
      <color theme="1"/>
      <name val="Aptos Narrow"/>
      <family val="2"/>
      <scheme val="minor"/>
    </font>
    <font>
      <sz val="11"/>
      <color rgb="FF1D1D1B"/>
      <name val="Ff19"/>
    </font>
    <font>
      <sz val="8"/>
      <color rgb="FF1D1D1B"/>
      <name val="Ff20"/>
    </font>
    <font>
      <sz val="8"/>
      <color rgb="FF1D1D1B"/>
      <name val="Ff23"/>
    </font>
    <font>
      <sz val="8"/>
      <color rgb="FF1D1D1B"/>
      <name val="Ff24"/>
    </font>
    <font>
      <sz val="8"/>
      <color rgb="FF1D1D1B"/>
      <name val="Ff26"/>
    </font>
    <font>
      <sz val="9"/>
      <color rgb="FF1D1D1B"/>
      <name val="Ff29"/>
    </font>
    <font>
      <b/>
      <sz val="9"/>
      <color rgb="FF1D1D1B"/>
      <name val="Ff29"/>
    </font>
    <font>
      <sz val="9"/>
      <color rgb="FF1D1D1B"/>
      <name val="Ff2c"/>
    </font>
    <font>
      <sz val="9"/>
      <color theme="1"/>
      <name val="Aptos Narrow"/>
      <family val="2"/>
      <scheme val="minor"/>
    </font>
    <font>
      <sz val="9"/>
      <color rgb="FF1D1D1B"/>
      <name val="Ff2e"/>
    </font>
    <font>
      <sz val="9"/>
      <color rgb="FF1D1D1B"/>
      <name val="Ff31"/>
    </font>
    <font>
      <sz val="9"/>
      <color rgb="FF000000"/>
      <name val="Times New Roman"/>
      <family val="1"/>
    </font>
    <font>
      <b/>
      <sz val="11"/>
      <name val="Aptos Narrow"/>
      <family val="2"/>
      <scheme val="minor"/>
    </font>
    <font>
      <sz val="8"/>
      <color rgb="FF1D1D1B"/>
      <name val="Ff3"/>
    </font>
    <font>
      <sz val="8"/>
      <color rgb="FF1D1D1B"/>
      <name val="Ff15"/>
    </font>
    <font>
      <sz val="9"/>
      <name val="Ff2e"/>
    </font>
    <font>
      <b/>
      <sz val="9"/>
      <name val="Ff2e"/>
    </font>
    <font>
      <sz val="11"/>
      <color rgb="FF00B050"/>
      <name val="Aptos Narrow"/>
      <family val="2"/>
      <scheme val="minor"/>
    </font>
    <font>
      <sz val="11"/>
      <color rgb="FF0070C0"/>
      <name val="Aptos Narrow"/>
      <family val="2"/>
      <scheme val="minor"/>
    </font>
    <font>
      <sz val="9"/>
      <color indexed="81"/>
      <name val="Tahoma"/>
      <family val="2"/>
    </font>
    <font>
      <b/>
      <sz val="9"/>
      <color indexed="81"/>
      <name val="Tahoma"/>
      <family val="2"/>
    </font>
    <font>
      <sz val="8"/>
      <color rgb="FF0070C0"/>
      <name val="Ff2e"/>
    </font>
    <font>
      <sz val="8"/>
      <color rgb="FF0070C0"/>
      <name val="Ff2c"/>
    </font>
    <font>
      <b/>
      <sz val="8"/>
      <color rgb="FF0070C0"/>
      <name val="Ff29"/>
    </font>
    <font>
      <sz val="11"/>
      <name val="Aptos Narrow"/>
      <family val="2"/>
      <scheme val="minor"/>
    </font>
    <font>
      <i/>
      <sz val="11"/>
      <color theme="1"/>
      <name val="Aptos Narrow"/>
      <family val="2"/>
      <scheme val="minor"/>
    </font>
    <font>
      <i/>
      <sz val="11"/>
      <color rgb="FF0070C0"/>
      <name val="Aptos Narrow"/>
      <family val="2"/>
      <scheme val="minor"/>
    </font>
    <font>
      <i/>
      <sz val="11"/>
      <name val="Aptos Narrow"/>
      <family val="2"/>
      <scheme val="minor"/>
    </font>
    <font>
      <i/>
      <sz val="11"/>
      <color rgb="FF00B050"/>
      <name val="Aptos Narrow"/>
      <family val="2"/>
      <scheme val="minor"/>
    </font>
  </fonts>
  <fills count="10">
    <fill>
      <patternFill patternType="none"/>
    </fill>
    <fill>
      <patternFill patternType="gray125"/>
    </fill>
    <fill>
      <patternFill patternType="solid">
        <fgColor rgb="FFFFFFFF"/>
        <bgColor indexed="64"/>
      </patternFill>
    </fill>
    <fill>
      <patternFill patternType="solid">
        <fgColor rgb="FF002060"/>
        <bgColor indexed="64"/>
      </patternFill>
    </fill>
    <fill>
      <patternFill patternType="solid">
        <fgColor theme="3" tint="0.749992370372631"/>
        <bgColor indexed="64"/>
      </patternFill>
    </fill>
    <fill>
      <patternFill patternType="solid">
        <fgColor rgb="FFFF9999"/>
        <bgColor indexed="64"/>
      </patternFill>
    </fill>
    <fill>
      <patternFill patternType="solid">
        <fgColor rgb="FFFFCC99"/>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s>
  <borders count="28">
    <border>
      <left/>
      <right/>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9" fontId="1" fillId="0" borderId="0" applyFont="0" applyFill="0" applyBorder="0" applyAlignment="0" applyProtection="0"/>
    <xf numFmtId="0" fontId="3" fillId="0" borderId="0"/>
    <xf numFmtId="0" fontId="5" fillId="0" borderId="0"/>
    <xf numFmtId="43" fontId="1" fillId="0" borderId="0" applyFont="0" applyFill="0" applyBorder="0" applyAlignment="0" applyProtection="0"/>
  </cellStyleXfs>
  <cellXfs count="256">
    <xf numFmtId="0" fontId="0" fillId="0" borderId="0" xfId="0"/>
    <xf numFmtId="0" fontId="4" fillId="0" borderId="0" xfId="2" applyFont="1" applyAlignment="1">
      <alignment horizontal="left" vertical="top"/>
    </xf>
    <xf numFmtId="0" fontId="5" fillId="0" borderId="0" xfId="3" applyAlignment="1">
      <alignment horizontal="left" vertical="top"/>
    </xf>
    <xf numFmtId="0" fontId="5" fillId="0" borderId="0" xfId="3" applyAlignment="1">
      <alignment horizontal="right" vertical="top" wrapText="1"/>
    </xf>
    <xf numFmtId="164" fontId="5" fillId="0" borderId="0" xfId="3" applyNumberFormat="1" applyAlignment="1">
      <alignment horizontal="right" vertical="top" wrapText="1"/>
    </xf>
    <xf numFmtId="10" fontId="0" fillId="0" borderId="0" xfId="1" applyNumberFormat="1" applyFont="1"/>
    <xf numFmtId="10" fontId="0" fillId="0" borderId="0" xfId="1" applyNumberFormat="1" applyFont="1" applyBorder="1" applyAlignment="1">
      <alignment horizontal="center" vertical="center"/>
    </xf>
    <xf numFmtId="0" fontId="9" fillId="2" borderId="0" xfId="0" applyFont="1" applyFill="1" applyAlignment="1">
      <alignment vertical="center" wrapText="1"/>
    </xf>
    <xf numFmtId="0" fontId="9" fillId="2" borderId="2" xfId="0" applyFont="1" applyFill="1" applyBorder="1" applyAlignment="1">
      <alignment vertical="center" wrapText="1"/>
    </xf>
    <xf numFmtId="44" fontId="8" fillId="2" borderId="0" xfId="0" applyNumberFormat="1" applyFont="1" applyFill="1" applyAlignment="1">
      <alignment vertical="center" wrapText="1"/>
    </xf>
    <xf numFmtId="0" fontId="14" fillId="0" borderId="0" xfId="0" applyFont="1"/>
    <xf numFmtId="0" fontId="6" fillId="3" borderId="0" xfId="0" applyFont="1" applyFill="1"/>
    <xf numFmtId="0" fontId="2" fillId="0" borderId="0" xfId="0" applyFont="1"/>
    <xf numFmtId="10" fontId="2" fillId="0" borderId="13" xfId="0" applyNumberFormat="1" applyFont="1" applyBorder="1"/>
    <xf numFmtId="167" fontId="0" fillId="0" borderId="0" xfId="0" applyNumberFormat="1"/>
    <xf numFmtId="168" fontId="0" fillId="0" borderId="0" xfId="0" applyNumberFormat="1"/>
    <xf numFmtId="168" fontId="2" fillId="0" borderId="0" xfId="0" applyNumberFormat="1" applyFont="1"/>
    <xf numFmtId="0" fontId="0" fillId="0" borderId="0" xfId="0" quotePrefix="1"/>
    <xf numFmtId="1" fontId="0" fillId="0" borderId="0" xfId="0" applyNumberFormat="1"/>
    <xf numFmtId="43" fontId="0" fillId="0" borderId="0" xfId="4" applyFont="1"/>
    <xf numFmtId="43" fontId="0" fillId="0" borderId="0" xfId="0" applyNumberFormat="1"/>
    <xf numFmtId="2" fontId="0" fillId="0" borderId="0" xfId="1" applyNumberFormat="1" applyFont="1" applyBorder="1"/>
    <xf numFmtId="170" fontId="0" fillId="0" borderId="0" xfId="4" applyNumberFormat="1" applyFont="1" applyBorder="1"/>
    <xf numFmtId="166" fontId="0" fillId="0" borderId="0" xfId="0" applyNumberFormat="1"/>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6" fillId="3" borderId="2" xfId="0" applyFont="1" applyFill="1" applyBorder="1" applyAlignment="1">
      <alignment horizontal="left"/>
    </xf>
    <xf numFmtId="0" fontId="13" fillId="4" borderId="11" xfId="0" applyFont="1" applyFill="1" applyBorder="1" applyAlignment="1">
      <alignment horizontal="left" vertical="center" wrapText="1" indent="4"/>
    </xf>
    <xf numFmtId="168" fontId="13" fillId="4" borderId="3" xfId="0" applyNumberFormat="1" applyFont="1" applyFill="1" applyBorder="1" applyAlignment="1">
      <alignment horizontal="left" vertical="center" wrapText="1" indent="4"/>
    </xf>
    <xf numFmtId="168" fontId="13" fillId="4" borderId="6" xfId="0" applyNumberFormat="1" applyFont="1" applyFill="1" applyBorder="1" applyAlignment="1">
      <alignment horizontal="left" vertical="center" wrapText="1" indent="4"/>
    </xf>
    <xf numFmtId="168" fontId="13" fillId="4" borderId="7" xfId="0" applyNumberFormat="1" applyFont="1" applyFill="1" applyBorder="1" applyAlignment="1">
      <alignment horizontal="left" vertical="center" wrapText="1" indent="4"/>
    </xf>
    <xf numFmtId="168" fontId="13" fillId="4" borderId="4" xfId="0" applyNumberFormat="1" applyFont="1" applyFill="1" applyBorder="1" applyAlignment="1">
      <alignment horizontal="left" vertical="center" wrapText="1" indent="4"/>
    </xf>
    <xf numFmtId="0" fontId="0" fillId="0" borderId="0" xfId="0" applyAlignment="1">
      <alignment horizontal="left"/>
    </xf>
    <xf numFmtId="0" fontId="22" fillId="2" borderId="8" xfId="0" applyFont="1" applyFill="1" applyBorder="1" applyAlignment="1">
      <alignment horizontal="left" vertical="center" wrapText="1" indent="4"/>
    </xf>
    <xf numFmtId="168" fontId="22" fillId="2" borderId="9" xfId="0" applyNumberFormat="1" applyFont="1" applyFill="1" applyBorder="1" applyAlignment="1">
      <alignment horizontal="left" vertical="center" wrapText="1" indent="4"/>
    </xf>
    <xf numFmtId="0" fontId="22" fillId="2" borderId="2" xfId="0" applyFont="1" applyFill="1" applyBorder="1" applyAlignment="1">
      <alignment horizontal="left" vertical="center" wrapText="1" indent="4"/>
    </xf>
    <xf numFmtId="0" fontId="22" fillId="2" borderId="11" xfId="0" applyFont="1" applyFill="1" applyBorder="1" applyAlignment="1">
      <alignment horizontal="left" vertical="center" wrapText="1" indent="4"/>
    </xf>
    <xf numFmtId="168" fontId="22" fillId="2" borderId="3" xfId="0" applyNumberFormat="1" applyFont="1" applyFill="1" applyBorder="1" applyAlignment="1">
      <alignment horizontal="left" vertical="center" wrapText="1" indent="4"/>
    </xf>
    <xf numFmtId="0" fontId="21" fillId="2" borderId="5" xfId="0" applyFont="1" applyFill="1" applyBorder="1" applyAlignment="1">
      <alignment horizontal="left" vertical="center" wrapText="1" indent="4"/>
    </xf>
    <xf numFmtId="168" fontId="21" fillId="2" borderId="6" xfId="0" applyNumberFormat="1" applyFont="1" applyFill="1" applyBorder="1" applyAlignment="1">
      <alignment horizontal="left" vertical="center" wrapText="1" indent="4"/>
    </xf>
    <xf numFmtId="168" fontId="21" fillId="2" borderId="3" xfId="0" applyNumberFormat="1" applyFont="1" applyFill="1" applyBorder="1" applyAlignment="1">
      <alignment horizontal="left" vertical="center" wrapText="1" indent="4"/>
    </xf>
    <xf numFmtId="0" fontId="24" fillId="2" borderId="2" xfId="0" applyFont="1" applyFill="1" applyBorder="1" applyAlignment="1">
      <alignment horizontal="left" vertical="center" wrapText="1" indent="4"/>
    </xf>
    <xf numFmtId="0" fontId="20" fillId="2" borderId="11" xfId="0" applyFont="1" applyFill="1" applyBorder="1" applyAlignment="1">
      <alignment horizontal="left" vertical="center" wrapText="1" indent="4"/>
    </xf>
    <xf numFmtId="168" fontId="20" fillId="2" borderId="3" xfId="0" applyNumberFormat="1" applyFont="1" applyFill="1" applyBorder="1" applyAlignment="1">
      <alignment horizontal="left" vertical="center" wrapText="1" indent="4"/>
    </xf>
    <xf numFmtId="0" fontId="24" fillId="2" borderId="11" xfId="0" applyFont="1" applyFill="1" applyBorder="1" applyAlignment="1">
      <alignment horizontal="left" vertical="center" wrapText="1" indent="4"/>
    </xf>
    <xf numFmtId="0" fontId="25" fillId="2" borderId="2" xfId="0" applyFont="1" applyFill="1" applyBorder="1" applyAlignment="1">
      <alignment horizontal="left" vertical="center" wrapText="1" indent="4"/>
    </xf>
    <xf numFmtId="0" fontId="20" fillId="2" borderId="2" xfId="0" applyFont="1" applyFill="1" applyBorder="1" applyAlignment="1">
      <alignment vertical="center" wrapText="1"/>
    </xf>
    <xf numFmtId="0" fontId="23" fillId="0" borderId="0" xfId="0" applyFont="1"/>
    <xf numFmtId="2" fontId="0" fillId="0" borderId="0" xfId="1" applyNumberFormat="1" applyFont="1" applyBorder="1" applyAlignment="1">
      <alignment horizontal="center" vertical="center"/>
    </xf>
    <xf numFmtId="0" fontId="0" fillId="0" borderId="21" xfId="0" applyBorder="1"/>
    <xf numFmtId="0" fontId="0" fillId="0" borderId="22" xfId="0" applyBorder="1"/>
    <xf numFmtId="0" fontId="0" fillId="0" borderId="23" xfId="0" applyBorder="1"/>
    <xf numFmtId="0" fontId="6" fillId="3" borderId="0" xfId="0" applyFont="1" applyFill="1" applyAlignment="1">
      <alignment horizontal="center" vertical="center"/>
    </xf>
    <xf numFmtId="10" fontId="0" fillId="0" borderId="0" xfId="0" applyNumberFormat="1"/>
    <xf numFmtId="10" fontId="0" fillId="0" borderId="0" xfId="1" applyNumberFormat="1" applyFont="1" applyBorder="1"/>
    <xf numFmtId="168" fontId="0" fillId="0" borderId="0" xfId="1" applyNumberFormat="1" applyFont="1" applyBorder="1" applyAlignment="1">
      <alignment horizontal="center" vertical="center"/>
    </xf>
    <xf numFmtId="0" fontId="6" fillId="3" borderId="2" xfId="0" applyFont="1" applyFill="1" applyBorder="1" applyAlignment="1">
      <alignment horizontal="right"/>
    </xf>
    <xf numFmtId="9" fontId="0" fillId="0" borderId="0" xfId="1" quotePrefix="1" applyFont="1"/>
    <xf numFmtId="168" fontId="22" fillId="2" borderId="10" xfId="0" applyNumberFormat="1" applyFont="1" applyFill="1" applyBorder="1" applyAlignment="1">
      <alignment horizontal="left" vertical="center" wrapText="1" indent="4"/>
    </xf>
    <xf numFmtId="168" fontId="22" fillId="2" borderId="0" xfId="0" applyNumberFormat="1" applyFont="1" applyFill="1" applyAlignment="1">
      <alignment horizontal="left" vertical="center" wrapText="1" indent="4"/>
    </xf>
    <xf numFmtId="168" fontId="22" fillId="2" borderId="1" xfId="0" applyNumberFormat="1" applyFont="1" applyFill="1" applyBorder="1" applyAlignment="1">
      <alignment horizontal="left" vertical="center" wrapText="1" indent="4"/>
    </xf>
    <xf numFmtId="168" fontId="20" fillId="2" borderId="0" xfId="0" applyNumberFormat="1" applyFont="1" applyFill="1" applyAlignment="1">
      <alignment horizontal="left" vertical="center" wrapText="1" indent="4"/>
    </xf>
    <xf numFmtId="168" fontId="20" fillId="2" borderId="1" xfId="0" applyNumberFormat="1" applyFont="1" applyFill="1" applyBorder="1" applyAlignment="1">
      <alignment horizontal="left" vertical="center" wrapText="1" indent="4"/>
    </xf>
    <xf numFmtId="168" fontId="22" fillId="2" borderId="4" xfId="0" applyNumberFormat="1" applyFont="1" applyFill="1" applyBorder="1" applyAlignment="1">
      <alignment horizontal="left" vertical="center" wrapText="1" indent="4"/>
    </xf>
    <xf numFmtId="168" fontId="21" fillId="2" borderId="4" xfId="0" applyNumberFormat="1" applyFont="1" applyFill="1" applyBorder="1" applyAlignment="1">
      <alignment horizontal="left" vertical="center" wrapText="1" indent="4"/>
    </xf>
    <xf numFmtId="168" fontId="20" fillId="2" borderId="4" xfId="0" applyNumberFormat="1" applyFont="1" applyFill="1" applyBorder="1" applyAlignment="1">
      <alignment horizontal="left" vertical="center" wrapText="1" indent="4"/>
    </xf>
    <xf numFmtId="168" fontId="26" fillId="2" borderId="0" xfId="0" applyNumberFormat="1" applyFont="1" applyFill="1" applyAlignment="1">
      <alignment vertical="center" wrapText="1"/>
    </xf>
    <xf numFmtId="168" fontId="26" fillId="2" borderId="1" xfId="0" applyNumberFormat="1" applyFont="1" applyFill="1" applyBorder="1" applyAlignment="1">
      <alignment vertical="center" wrapText="1"/>
    </xf>
    <xf numFmtId="166" fontId="0" fillId="0" borderId="0" xfId="1" applyNumberFormat="1" applyFont="1" applyBorder="1" applyAlignment="1">
      <alignment horizontal="right"/>
    </xf>
    <xf numFmtId="166" fontId="0" fillId="0" borderId="0" xfId="1" applyNumberFormat="1" applyFont="1" applyBorder="1"/>
    <xf numFmtId="2" fontId="0" fillId="0" borderId="0" xfId="0" applyNumberFormat="1"/>
    <xf numFmtId="0" fontId="6" fillId="3" borderId="8" xfId="0" applyFont="1" applyFill="1" applyBorder="1"/>
    <xf numFmtId="0" fontId="6" fillId="3" borderId="2" xfId="0" applyFont="1" applyFill="1" applyBorder="1"/>
    <xf numFmtId="0" fontId="6" fillId="3" borderId="11" xfId="0" applyFont="1" applyFill="1" applyBorder="1"/>
    <xf numFmtId="0" fontId="6" fillId="0" borderId="0" xfId="0" applyFont="1" applyAlignment="1">
      <alignment horizontal="left"/>
    </xf>
    <xf numFmtId="44" fontId="8" fillId="2" borderId="1" xfId="0" applyNumberFormat="1" applyFont="1" applyFill="1" applyBorder="1" applyAlignment="1">
      <alignment vertical="center"/>
    </xf>
    <xf numFmtId="168" fontId="0" fillId="0" borderId="1" xfId="0" applyNumberFormat="1" applyBorder="1"/>
    <xf numFmtId="0" fontId="4" fillId="0" borderId="0" xfId="3" applyFont="1" applyAlignment="1">
      <alignment horizontal="left" vertical="top"/>
    </xf>
    <xf numFmtId="0" fontId="28" fillId="0" borderId="0" xfId="0" applyFont="1" applyAlignment="1">
      <alignment vertical="center"/>
    </xf>
    <xf numFmtId="0" fontId="29" fillId="0" borderId="0" xfId="0" applyFont="1" applyAlignment="1">
      <alignment vertical="center"/>
    </xf>
    <xf numFmtId="168" fontId="0" fillId="0" borderId="4" xfId="0" applyNumberFormat="1" applyBorder="1"/>
    <xf numFmtId="168" fontId="0" fillId="0" borderId="3" xfId="0" applyNumberFormat="1" applyBorder="1"/>
    <xf numFmtId="2" fontId="0" fillId="0" borderId="1" xfId="0" applyNumberFormat="1" applyBorder="1"/>
    <xf numFmtId="171" fontId="0" fillId="0" borderId="0" xfId="0" applyNumberFormat="1"/>
    <xf numFmtId="168" fontId="32" fillId="0" borderId="0" xfId="0" applyNumberFormat="1" applyFont="1"/>
    <xf numFmtId="10" fontId="33" fillId="0" borderId="16" xfId="0" applyNumberFormat="1" applyFont="1" applyBorder="1"/>
    <xf numFmtId="0" fontId="6" fillId="3" borderId="0" xfId="0" applyFont="1" applyFill="1" applyAlignment="1">
      <alignment horizontal="center"/>
    </xf>
    <xf numFmtId="9" fontId="0" fillId="0" borderId="0" xfId="0" applyNumberFormat="1"/>
    <xf numFmtId="1" fontId="33" fillId="0" borderId="1" xfId="0" applyNumberFormat="1" applyFont="1" applyBorder="1"/>
    <xf numFmtId="43" fontId="0" fillId="0" borderId="10" xfId="0" applyNumberFormat="1" applyBorder="1"/>
    <xf numFmtId="10" fontId="33" fillId="0" borderId="14" xfId="1" applyNumberFormat="1" applyFont="1" applyBorder="1"/>
    <xf numFmtId="10" fontId="32" fillId="0" borderId="15" xfId="0" applyNumberFormat="1" applyFont="1" applyBorder="1"/>
    <xf numFmtId="0" fontId="6" fillId="0" borderId="0" xfId="0" applyFont="1"/>
    <xf numFmtId="0" fontId="30" fillId="0" borderId="0" xfId="0" applyFont="1" applyAlignment="1">
      <alignment vertical="center"/>
    </xf>
    <xf numFmtId="1" fontId="2" fillId="0" borderId="0" xfId="0" applyNumberFormat="1" applyFont="1"/>
    <xf numFmtId="10" fontId="0" fillId="0" borderId="0" xfId="1" applyNumberFormat="1" applyFont="1" applyFill="1" applyBorder="1"/>
    <xf numFmtId="0" fontId="10" fillId="0" borderId="2" xfId="0" applyFont="1" applyBorder="1" applyAlignment="1">
      <alignment horizontal="left" vertical="center" wrapText="1" indent="4"/>
    </xf>
    <xf numFmtId="168" fontId="10" fillId="0" borderId="0" xfId="0" applyNumberFormat="1" applyFont="1" applyAlignment="1">
      <alignment horizontal="left" vertical="center" wrapText="1" indent="4"/>
    </xf>
    <xf numFmtId="168" fontId="10" fillId="0" borderId="1" xfId="0" applyNumberFormat="1" applyFont="1" applyBorder="1" applyAlignment="1">
      <alignment horizontal="left" vertical="center" wrapText="1" indent="4"/>
    </xf>
    <xf numFmtId="0" fontId="11" fillId="0" borderId="2" xfId="0" applyFont="1" applyBorder="1" applyAlignment="1">
      <alignment horizontal="left" vertical="center" wrapText="1" indent="5"/>
    </xf>
    <xf numFmtId="168" fontId="11" fillId="0" borderId="0" xfId="0" applyNumberFormat="1" applyFont="1" applyAlignment="1">
      <alignment horizontal="left" vertical="center" wrapText="1" indent="4"/>
    </xf>
    <xf numFmtId="168" fontId="9" fillId="0" borderId="0" xfId="0" applyNumberFormat="1" applyFont="1" applyAlignment="1">
      <alignment horizontal="left" vertical="center" wrapText="1" indent="4"/>
    </xf>
    <xf numFmtId="168" fontId="9" fillId="0" borderId="1" xfId="0" applyNumberFormat="1" applyFont="1" applyBorder="1" applyAlignment="1">
      <alignment horizontal="left" vertical="center" wrapText="1" indent="4"/>
    </xf>
    <xf numFmtId="0" fontId="10" fillId="0" borderId="11" xfId="0" applyFont="1" applyBorder="1" applyAlignment="1">
      <alignment horizontal="left" vertical="center" wrapText="1" indent="4"/>
    </xf>
    <xf numFmtId="168" fontId="10" fillId="0" borderId="3" xfId="0" applyNumberFormat="1" applyFont="1" applyBorder="1" applyAlignment="1">
      <alignment horizontal="left" vertical="center" wrapText="1" indent="4"/>
    </xf>
    <xf numFmtId="168" fontId="10" fillId="0" borderId="4" xfId="0" applyNumberFormat="1" applyFont="1" applyBorder="1" applyAlignment="1">
      <alignment horizontal="left" vertical="center" wrapText="1" indent="4"/>
    </xf>
    <xf numFmtId="0" fontId="13" fillId="0" borderId="5" xfId="0" applyFont="1" applyBorder="1" applyAlignment="1">
      <alignment horizontal="left" vertical="center" wrapText="1" indent="4"/>
    </xf>
    <xf numFmtId="168" fontId="13" fillId="0" borderId="6" xfId="0" applyNumberFormat="1" applyFont="1" applyBorder="1" applyAlignment="1">
      <alignment horizontal="left" vertical="center" wrapText="1" indent="4"/>
    </xf>
    <xf numFmtId="168" fontId="13" fillId="0" borderId="7" xfId="0" applyNumberFormat="1" applyFont="1" applyBorder="1" applyAlignment="1">
      <alignment horizontal="left" vertical="center" wrapText="1" indent="4"/>
    </xf>
    <xf numFmtId="0" fontId="9" fillId="0" borderId="2" xfId="0" applyFont="1" applyBorder="1" applyAlignment="1">
      <alignment vertical="center" wrapText="1"/>
    </xf>
    <xf numFmtId="168" fontId="8" fillId="0" borderId="0" xfId="0" applyNumberFormat="1" applyFont="1" applyAlignment="1">
      <alignment vertical="center" wrapText="1"/>
    </xf>
    <xf numFmtId="168" fontId="9" fillId="0" borderId="0" xfId="0" applyNumberFormat="1" applyFont="1" applyAlignment="1">
      <alignment vertical="center" wrapText="1"/>
    </xf>
    <xf numFmtId="168" fontId="8" fillId="0" borderId="1" xfId="0" applyNumberFormat="1" applyFont="1" applyBorder="1" applyAlignment="1">
      <alignment vertical="center" wrapText="1"/>
    </xf>
    <xf numFmtId="168" fontId="12" fillId="0" borderId="0" xfId="0" applyNumberFormat="1" applyFont="1" applyAlignment="1">
      <alignment horizontal="left" vertical="center" wrapText="1" indent="4"/>
    </xf>
    <xf numFmtId="0" fontId="12" fillId="0" borderId="2" xfId="0" applyFont="1" applyBorder="1" applyAlignment="1">
      <alignment horizontal="left" vertical="center" wrapText="1" indent="4"/>
    </xf>
    <xf numFmtId="0" fontId="12" fillId="0" borderId="11" xfId="0" applyFont="1" applyBorder="1" applyAlignment="1">
      <alignment horizontal="left" vertical="center" wrapText="1" indent="4"/>
    </xf>
    <xf numFmtId="0" fontId="0" fillId="0" borderId="2" xfId="0" applyBorder="1"/>
    <xf numFmtId="168" fontId="12" fillId="0" borderId="3" xfId="0" applyNumberFormat="1" applyFont="1" applyBorder="1" applyAlignment="1">
      <alignment horizontal="left" vertical="center" wrapText="1" indent="4"/>
    </xf>
    <xf numFmtId="168" fontId="13" fillId="0" borderId="3" xfId="0" applyNumberFormat="1" applyFont="1" applyBorder="1" applyAlignment="1">
      <alignment horizontal="left" vertical="center" wrapText="1" indent="4"/>
    </xf>
    <xf numFmtId="168" fontId="13" fillId="0" borderId="4" xfId="0" applyNumberFormat="1" applyFont="1" applyBorder="1" applyAlignment="1">
      <alignment horizontal="left" vertical="center" wrapText="1" indent="4"/>
    </xf>
    <xf numFmtId="0" fontId="9" fillId="0" borderId="8" xfId="0" applyFont="1" applyBorder="1" applyAlignment="1">
      <alignment vertical="center" wrapText="1"/>
    </xf>
    <xf numFmtId="168" fontId="8" fillId="0" borderId="9" xfId="0" applyNumberFormat="1" applyFont="1" applyBorder="1" applyAlignment="1">
      <alignment vertical="center" wrapText="1"/>
    </xf>
    <xf numFmtId="168" fontId="9" fillId="0" borderId="9" xfId="0" applyNumberFormat="1" applyFont="1" applyBorder="1" applyAlignment="1">
      <alignment vertical="center" wrapText="1"/>
    </xf>
    <xf numFmtId="168" fontId="8" fillId="0" borderId="10" xfId="0" applyNumberFormat="1" applyFont="1" applyBorder="1" applyAlignment="1">
      <alignment vertical="center" wrapText="1"/>
    </xf>
    <xf numFmtId="0" fontId="13" fillId="0" borderId="11" xfId="0" applyFont="1" applyBorder="1" applyAlignment="1">
      <alignment horizontal="left" vertical="center" wrapText="1" indent="4"/>
    </xf>
    <xf numFmtId="0" fontId="11" fillId="0" borderId="11" xfId="0" applyFont="1" applyBorder="1" applyAlignment="1">
      <alignment horizontal="left" vertical="center" wrapText="1" indent="5"/>
    </xf>
    <xf numFmtId="168" fontId="11" fillId="0" borderId="3" xfId="0" applyNumberFormat="1" applyFont="1" applyBorder="1" applyAlignment="1">
      <alignment horizontal="left" vertical="center" wrapText="1" indent="4"/>
    </xf>
    <xf numFmtId="0" fontId="36" fillId="0" borderId="0" xfId="0" applyFont="1" applyAlignment="1">
      <alignment horizontal="left" vertical="center" wrapText="1" indent="4"/>
    </xf>
    <xf numFmtId="168" fontId="37" fillId="0" borderId="0" xfId="0" applyNumberFormat="1" applyFont="1" applyAlignment="1">
      <alignment horizontal="left" vertical="center" wrapText="1" indent="4"/>
    </xf>
    <xf numFmtId="0" fontId="36" fillId="0" borderId="3" xfId="0" applyFont="1" applyBorder="1" applyAlignment="1">
      <alignment horizontal="left" vertical="center" wrapText="1" indent="4"/>
    </xf>
    <xf numFmtId="168" fontId="37" fillId="0" borderId="3" xfId="0" applyNumberFormat="1" applyFont="1" applyBorder="1" applyAlignment="1">
      <alignment horizontal="left" vertical="center" wrapText="1" indent="4"/>
    </xf>
    <xf numFmtId="0" fontId="38" fillId="0" borderId="3" xfId="0" applyFont="1" applyBorder="1" applyAlignment="1">
      <alignment horizontal="left" vertical="center" wrapText="1" indent="4"/>
    </xf>
    <xf numFmtId="168" fontId="38" fillId="0" borderId="6" xfId="0" applyNumberFormat="1" applyFont="1" applyBorder="1" applyAlignment="1">
      <alignment horizontal="left" vertical="center" wrapText="1" indent="4"/>
    </xf>
    <xf numFmtId="0" fontId="33" fillId="0" borderId="0" xfId="0" applyFont="1"/>
    <xf numFmtId="168" fontId="36" fillId="0" borderId="0" xfId="0" applyNumberFormat="1" applyFont="1" applyAlignment="1">
      <alignment horizontal="left" vertical="center" wrapText="1" indent="4"/>
    </xf>
    <xf numFmtId="10" fontId="0" fillId="0" borderId="0" xfId="1" applyNumberFormat="1" applyFont="1" applyFill="1"/>
    <xf numFmtId="9" fontId="0" fillId="0" borderId="0" xfId="1" applyFont="1" applyFill="1" applyBorder="1"/>
    <xf numFmtId="0" fontId="0" fillId="0" borderId="0" xfId="1" applyNumberFormat="1" applyFont="1" applyFill="1" applyBorder="1" applyAlignment="1">
      <alignment horizontal="center" vertical="center"/>
    </xf>
    <xf numFmtId="0" fontId="15" fillId="0" borderId="0" xfId="0" applyFont="1" applyAlignment="1">
      <alignment vertical="center"/>
    </xf>
    <xf numFmtId="1" fontId="15" fillId="0" borderId="0" xfId="0" applyNumberFormat="1" applyFont="1" applyAlignment="1">
      <alignment horizontal="center" vertical="center"/>
    </xf>
    <xf numFmtId="9" fontId="15" fillId="0" borderId="0" xfId="1" applyFont="1" applyFill="1" applyBorder="1" applyAlignment="1">
      <alignment horizontal="center" vertical="center"/>
    </xf>
    <xf numFmtId="166" fontId="0" fillId="0" borderId="0" xfId="1" applyNumberFormat="1" applyFont="1" applyFill="1" applyBorder="1"/>
    <xf numFmtId="0" fontId="39" fillId="0" borderId="0" xfId="0" applyFont="1"/>
    <xf numFmtId="0" fontId="7" fillId="3" borderId="0" xfId="0" applyFont="1" applyFill="1" applyAlignment="1">
      <alignment horizontal="center"/>
    </xf>
    <xf numFmtId="0" fontId="39" fillId="0" borderId="13" xfId="0" applyFont="1" applyBorder="1"/>
    <xf numFmtId="168" fontId="0" fillId="0" borderId="13" xfId="1" applyNumberFormat="1" applyFont="1" applyBorder="1" applyAlignment="1">
      <alignment horizontal="center" vertical="center"/>
    </xf>
    <xf numFmtId="10" fontId="0" fillId="0" borderId="13" xfId="1" applyNumberFormat="1" applyFont="1" applyBorder="1" applyAlignment="1">
      <alignment horizontal="center" vertical="center"/>
    </xf>
    <xf numFmtId="2" fontId="0" fillId="0" borderId="13" xfId="1" applyNumberFormat="1" applyFont="1" applyBorder="1" applyAlignment="1">
      <alignment horizontal="center" vertical="center"/>
    </xf>
    <xf numFmtId="0" fontId="39" fillId="8" borderId="0" xfId="0" applyFont="1" applyFill="1"/>
    <xf numFmtId="168" fontId="0" fillId="8" borderId="0" xfId="1" applyNumberFormat="1" applyFont="1" applyFill="1" applyBorder="1" applyAlignment="1">
      <alignment horizontal="center" vertical="center"/>
    </xf>
    <xf numFmtId="10" fontId="0" fillId="8" borderId="0" xfId="1" applyNumberFormat="1" applyFont="1" applyFill="1" applyBorder="1" applyAlignment="1">
      <alignment horizontal="center" vertical="center"/>
    </xf>
    <xf numFmtId="2" fontId="0" fillId="8" borderId="0" xfId="1" applyNumberFormat="1" applyFont="1" applyFill="1" applyBorder="1" applyAlignment="1">
      <alignment horizontal="center" vertical="center"/>
    </xf>
    <xf numFmtId="2" fontId="2" fillId="0" borderId="13" xfId="1" applyNumberFormat="1" applyFont="1" applyBorder="1" applyAlignment="1">
      <alignment horizontal="center" vertical="center"/>
    </xf>
    <xf numFmtId="0" fontId="0" fillId="3" borderId="0" xfId="0" applyFill="1"/>
    <xf numFmtId="2" fontId="33" fillId="0" borderId="0" xfId="1" applyNumberFormat="1" applyFont="1" applyBorder="1" applyAlignment="1">
      <alignment horizontal="center" vertical="center"/>
    </xf>
    <xf numFmtId="2" fontId="33" fillId="8" borderId="0" xfId="1" applyNumberFormat="1" applyFont="1" applyFill="1" applyBorder="1" applyAlignment="1">
      <alignment horizontal="center" vertical="center"/>
    </xf>
    <xf numFmtId="0" fontId="18" fillId="3" borderId="0" xfId="0" applyFont="1" applyFill="1" applyAlignment="1">
      <alignment vertical="center"/>
    </xf>
    <xf numFmtId="9" fontId="39" fillId="0" borderId="0" xfId="0" applyNumberFormat="1" applyFont="1"/>
    <xf numFmtId="10" fontId="33" fillId="0" borderId="0" xfId="0" applyNumberFormat="1" applyFont="1"/>
    <xf numFmtId="2" fontId="39" fillId="0" borderId="0" xfId="0" applyNumberFormat="1" applyFont="1"/>
    <xf numFmtId="9" fontId="33" fillId="0" borderId="0" xfId="1" applyFont="1" applyBorder="1"/>
    <xf numFmtId="0" fontId="2" fillId="0" borderId="13" xfId="0" applyFont="1" applyBorder="1"/>
    <xf numFmtId="0" fontId="0" fillId="0" borderId="13" xfId="0" applyBorder="1"/>
    <xf numFmtId="0" fontId="27" fillId="0" borderId="13" xfId="0" applyFont="1" applyBorder="1"/>
    <xf numFmtId="172" fontId="32" fillId="0" borderId="0" xfId="0" applyNumberFormat="1" applyFont="1"/>
    <xf numFmtId="0" fontId="6" fillId="0" borderId="0" xfId="0" applyFont="1" applyAlignment="1">
      <alignment horizontal="center"/>
    </xf>
    <xf numFmtId="0" fontId="32" fillId="0" borderId="0" xfId="0" applyFont="1"/>
    <xf numFmtId="169" fontId="0" fillId="0" borderId="10" xfId="0" applyNumberFormat="1" applyBorder="1"/>
    <xf numFmtId="2" fontId="0" fillId="7" borderId="19" xfId="0" applyNumberFormat="1" applyFill="1" applyBorder="1"/>
    <xf numFmtId="2" fontId="0" fillId="6" borderId="19" xfId="0" applyNumberFormat="1" applyFill="1" applyBorder="1"/>
    <xf numFmtId="2" fontId="0" fillId="5" borderId="19" xfId="0" applyNumberFormat="1" applyFill="1" applyBorder="1"/>
    <xf numFmtId="168" fontId="33" fillId="0" borderId="0" xfId="1" applyNumberFormat="1" applyFont="1" applyBorder="1" applyAlignment="1">
      <alignment horizontal="center" vertical="center"/>
    </xf>
    <xf numFmtId="168" fontId="32" fillId="8" borderId="0" xfId="1" applyNumberFormat="1" applyFont="1" applyFill="1" applyBorder="1" applyAlignment="1">
      <alignment horizontal="center" vertical="center"/>
    </xf>
    <xf numFmtId="168" fontId="32" fillId="0" borderId="0" xfId="1" applyNumberFormat="1" applyFont="1" applyFill="1" applyBorder="1"/>
    <xf numFmtId="168" fontId="0" fillId="0" borderId="13" xfId="0" applyNumberFormat="1" applyBorder="1"/>
    <xf numFmtId="168" fontId="33" fillId="0" borderId="0" xfId="0" applyNumberFormat="1" applyFont="1"/>
    <xf numFmtId="168" fontId="2" fillId="0" borderId="13" xfId="0" applyNumberFormat="1" applyFont="1" applyBorder="1"/>
    <xf numFmtId="0" fontId="0" fillId="0" borderId="17" xfId="0" applyBorder="1"/>
    <xf numFmtId="166" fontId="0" fillId="0" borderId="13" xfId="1" applyNumberFormat="1" applyFont="1" applyBorder="1"/>
    <xf numFmtId="166" fontId="0" fillId="0" borderId="16" xfId="0" applyNumberFormat="1" applyBorder="1"/>
    <xf numFmtId="0" fontId="0" fillId="0" borderId="18" xfId="0" applyBorder="1"/>
    <xf numFmtId="166" fontId="0" fillId="0" borderId="15" xfId="0" applyNumberFormat="1" applyBorder="1"/>
    <xf numFmtId="0" fontId="0" fillId="0" borderId="24" xfId="0" applyBorder="1"/>
    <xf numFmtId="166" fontId="0" fillId="0" borderId="12" xfId="1" applyNumberFormat="1" applyFont="1" applyBorder="1" applyAlignment="1">
      <alignment horizontal="right"/>
    </xf>
    <xf numFmtId="166" fontId="0" fillId="0" borderId="14" xfId="0" applyNumberFormat="1" applyBorder="1"/>
    <xf numFmtId="0" fontId="0" fillId="0" borderId="25" xfId="0" applyBorder="1"/>
    <xf numFmtId="9" fontId="0" fillId="0" borderId="26" xfId="1" quotePrefix="1" applyFont="1" applyBorder="1"/>
    <xf numFmtId="9" fontId="0" fillId="0" borderId="27" xfId="1" quotePrefix="1" applyFont="1" applyBorder="1"/>
    <xf numFmtId="9" fontId="0" fillId="0" borderId="16" xfId="0" applyNumberFormat="1" applyBorder="1"/>
    <xf numFmtId="9" fontId="0" fillId="0" borderId="15" xfId="0" applyNumberFormat="1" applyBorder="1"/>
    <xf numFmtId="166" fontId="0" fillId="0" borderId="12" xfId="1" applyNumberFormat="1" applyFont="1" applyBorder="1"/>
    <xf numFmtId="9" fontId="0" fillId="0" borderId="14" xfId="0" applyNumberFormat="1" applyBorder="1"/>
    <xf numFmtId="166" fontId="0" fillId="0" borderId="16" xfId="1" applyNumberFormat="1" applyFont="1" applyBorder="1"/>
    <xf numFmtId="166" fontId="0" fillId="0" borderId="15" xfId="1" applyNumberFormat="1" applyFont="1" applyBorder="1"/>
    <xf numFmtId="166" fontId="0" fillId="0" borderId="14" xfId="1" applyNumberFormat="1" applyFont="1" applyBorder="1"/>
    <xf numFmtId="166" fontId="0" fillId="0" borderId="15" xfId="1" applyNumberFormat="1" applyFont="1" applyBorder="1" applyAlignment="1">
      <alignment horizontal="right"/>
    </xf>
    <xf numFmtId="166" fontId="0" fillId="0" borderId="14" xfId="1" applyNumberFormat="1" applyFont="1" applyBorder="1" applyAlignment="1">
      <alignment horizontal="right"/>
    </xf>
    <xf numFmtId="0" fontId="6" fillId="3" borderId="20" xfId="0" applyFont="1" applyFill="1" applyBorder="1" applyAlignment="1">
      <alignment horizontal="center"/>
    </xf>
    <xf numFmtId="0" fontId="39" fillId="8" borderId="17" xfId="0" applyFont="1" applyFill="1" applyBorder="1" applyAlignment="1">
      <alignment horizontal="center"/>
    </xf>
    <xf numFmtId="0" fontId="39" fillId="8" borderId="13" xfId="0" applyFont="1" applyFill="1" applyBorder="1" applyAlignment="1">
      <alignment horizontal="center"/>
    </xf>
    <xf numFmtId="0" fontId="39" fillId="8" borderId="16" xfId="0" applyFont="1" applyFill="1" applyBorder="1" applyAlignment="1">
      <alignment horizontal="center"/>
    </xf>
    <xf numFmtId="0" fontId="0" fillId="3" borderId="0" xfId="0" applyFill="1" applyAlignment="1">
      <alignment horizontal="center"/>
    </xf>
    <xf numFmtId="2" fontId="33" fillId="0" borderId="0" xfId="0" applyNumberFormat="1" applyFont="1" applyAlignment="1">
      <alignment horizontal="center"/>
    </xf>
    <xf numFmtId="2" fontId="0" fillId="0" borderId="0" xfId="0" applyNumberFormat="1" applyAlignment="1">
      <alignment horizontal="center"/>
    </xf>
    <xf numFmtId="2" fontId="0" fillId="0" borderId="13" xfId="0" applyNumberFormat="1" applyBorder="1" applyAlignment="1">
      <alignment horizontal="center"/>
    </xf>
    <xf numFmtId="172" fontId="0" fillId="0" borderId="0" xfId="0" applyNumberFormat="1"/>
    <xf numFmtId="172" fontId="0" fillId="0" borderId="13" xfId="0" applyNumberFormat="1" applyBorder="1"/>
    <xf numFmtId="171" fontId="0" fillId="0" borderId="13" xfId="0" applyNumberFormat="1" applyBorder="1"/>
    <xf numFmtId="0" fontId="0" fillId="0" borderId="16" xfId="0" applyBorder="1" applyAlignment="1">
      <alignment horizontal="center" vertical="center"/>
    </xf>
    <xf numFmtId="171" fontId="0" fillId="0" borderId="12" xfId="0" applyNumberFormat="1" applyBorder="1"/>
    <xf numFmtId="0" fontId="0" fillId="0" borderId="14" xfId="0" applyBorder="1" applyAlignment="1">
      <alignment horizontal="center" vertical="center"/>
    </xf>
    <xf numFmtId="168" fontId="39" fillId="8" borderId="0" xfId="1" applyNumberFormat="1" applyFont="1" applyFill="1" applyBorder="1" applyAlignment="1">
      <alignment horizontal="center" vertical="center"/>
    </xf>
    <xf numFmtId="172" fontId="33" fillId="0" borderId="0" xfId="0" applyNumberFormat="1" applyFont="1"/>
    <xf numFmtId="172" fontId="32" fillId="0" borderId="13" xfId="0" applyNumberFormat="1" applyFont="1" applyBorder="1"/>
    <xf numFmtId="0" fontId="0" fillId="0" borderId="26" xfId="0" applyBorder="1"/>
    <xf numFmtId="172" fontId="32" fillId="0" borderId="26" xfId="0" applyNumberFormat="1" applyFont="1" applyBorder="1"/>
    <xf numFmtId="0" fontId="6" fillId="3" borderId="2" xfId="0" applyFont="1" applyFill="1" applyBorder="1" applyAlignment="1">
      <alignment horizontal="center"/>
    </xf>
    <xf numFmtId="0" fontId="0" fillId="0" borderId="0" xfId="0" applyAlignment="1">
      <alignment horizontal="center" vertical="center"/>
    </xf>
    <xf numFmtId="0" fontId="0" fillId="0" borderId="0" xfId="0" applyAlignment="1">
      <alignment horizontal="center"/>
    </xf>
    <xf numFmtId="173" fontId="0" fillId="0" borderId="0" xfId="0" applyNumberFormat="1"/>
    <xf numFmtId="0" fontId="0" fillId="8" borderId="0" xfId="0" applyFill="1"/>
    <xf numFmtId="2" fontId="0" fillId="8" borderId="0" xfId="0" applyNumberFormat="1" applyFill="1" applyAlignment="1">
      <alignment horizontal="center"/>
    </xf>
    <xf numFmtId="10" fontId="40" fillId="0" borderId="0" xfId="0" applyNumberFormat="1" applyFont="1"/>
    <xf numFmtId="0" fontId="0" fillId="0" borderId="0" xfId="0" applyAlignment="1">
      <alignment horizontal="left" indent="1"/>
    </xf>
    <xf numFmtId="0" fontId="40" fillId="0" borderId="0" xfId="0" applyFont="1"/>
    <xf numFmtId="0" fontId="0" fillId="0" borderId="13" xfId="0" applyBorder="1" applyAlignment="1">
      <alignment horizontal="left" indent="1"/>
    </xf>
    <xf numFmtId="0" fontId="40" fillId="8" borderId="0" xfId="0" applyFont="1" applyFill="1" applyAlignment="1">
      <alignment horizontal="left" indent="1"/>
    </xf>
    <xf numFmtId="10" fontId="40" fillId="8" borderId="0" xfId="0" applyNumberFormat="1" applyFont="1" applyFill="1"/>
    <xf numFmtId="10" fontId="41" fillId="8" borderId="0" xfId="0" applyNumberFormat="1" applyFont="1" applyFill="1"/>
    <xf numFmtId="0" fontId="0" fillId="0" borderId="13" xfId="0" applyBorder="1" applyAlignment="1">
      <alignment horizontal="left"/>
    </xf>
    <xf numFmtId="0" fontId="40" fillId="8" borderId="0" xfId="0" applyFont="1" applyFill="1"/>
    <xf numFmtId="166" fontId="40" fillId="8" borderId="0" xfId="1" applyNumberFormat="1" applyFont="1" applyFill="1" applyBorder="1"/>
    <xf numFmtId="166" fontId="40" fillId="8" borderId="0" xfId="0" applyNumberFormat="1" applyFont="1" applyFill="1"/>
    <xf numFmtId="166" fontId="40" fillId="0" borderId="0" xfId="0" applyNumberFormat="1" applyFont="1"/>
    <xf numFmtId="166" fontId="40" fillId="0" borderId="0" xfId="1" applyNumberFormat="1" applyFont="1" applyFill="1" applyBorder="1"/>
    <xf numFmtId="166" fontId="41" fillId="0" borderId="0" xfId="0" applyNumberFormat="1" applyFont="1"/>
    <xf numFmtId="166" fontId="43" fillId="0" borderId="0" xfId="1" applyNumberFormat="1" applyFont="1" applyBorder="1"/>
    <xf numFmtId="165" fontId="39" fillId="0" borderId="1" xfId="0" applyNumberFormat="1" applyFont="1" applyBorder="1"/>
    <xf numFmtId="165" fontId="33" fillId="0" borderId="1" xfId="0" applyNumberFormat="1" applyFont="1" applyBorder="1"/>
    <xf numFmtId="170" fontId="0" fillId="0" borderId="0" xfId="4" applyNumberFormat="1" applyFont="1" applyFill="1" applyBorder="1"/>
    <xf numFmtId="170" fontId="0" fillId="0" borderId="0" xfId="0" applyNumberFormat="1"/>
    <xf numFmtId="170" fontId="33" fillId="0" borderId="0" xfId="0" applyNumberFormat="1" applyFont="1"/>
    <xf numFmtId="10" fontId="2" fillId="0" borderId="0" xfId="1" applyNumberFormat="1" applyFont="1" applyFill="1" applyBorder="1"/>
    <xf numFmtId="165" fontId="0" fillId="0" borderId="0" xfId="0" applyNumberFormat="1"/>
    <xf numFmtId="169" fontId="0" fillId="0" borderId="0" xfId="0" applyNumberFormat="1"/>
    <xf numFmtId="10" fontId="42" fillId="8" borderId="0" xfId="0" applyNumberFormat="1" applyFont="1" applyFill="1"/>
    <xf numFmtId="0" fontId="0" fillId="9" borderId="0" xfId="0" applyFill="1"/>
    <xf numFmtId="2" fontId="0" fillId="9" borderId="0" xfId="0" applyNumberFormat="1" applyFill="1" applyAlignment="1">
      <alignment horizontal="center"/>
    </xf>
    <xf numFmtId="0" fontId="2" fillId="9" borderId="0" xfId="0" applyFont="1" applyFill="1"/>
    <xf numFmtId="0" fontId="2" fillId="9" borderId="0" xfId="0" applyFont="1" applyFill="1" applyAlignment="1">
      <alignment horizontal="center"/>
    </xf>
    <xf numFmtId="2" fontId="2" fillId="9" borderId="0" xfId="0" applyNumberFormat="1" applyFont="1" applyFill="1" applyAlignment="1">
      <alignment horizontal="center"/>
    </xf>
    <xf numFmtId="0" fontId="30" fillId="0" borderId="0" xfId="0" applyFont="1" applyAlignment="1">
      <alignment vertical="center"/>
    </xf>
    <xf numFmtId="0" fontId="31" fillId="0" borderId="0" xfId="0" applyFont="1" applyAlignment="1">
      <alignment vertical="center"/>
    </xf>
    <xf numFmtId="0" fontId="6" fillId="3" borderId="0" xfId="0" applyFont="1" applyFill="1" applyAlignment="1">
      <alignment horizontal="center" vertical="center"/>
    </xf>
  </cellXfs>
  <cellStyles count="5">
    <cellStyle name="Migliaia" xfId="4" builtinId="3"/>
    <cellStyle name="Normal 2" xfId="2" xr:uid="{F4B150F6-2635-4E93-9A6C-66D15BA75015}"/>
    <cellStyle name="Normal 3" xfId="3" xr:uid="{EFF3FEFF-E1D5-484E-A39B-4D5C2FB890E7}"/>
    <cellStyle name="Normale" xfId="0" builtinId="0"/>
    <cellStyle name="Percentuale" xfId="1" builtinId="5"/>
  </cellStyles>
  <dxfs count="2">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9EBACB"/>
      <color rgb="FFFFCC99"/>
      <color rgb="FFFFFF99"/>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US"/>
              <a:t>Mercato</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lotArea>
      <c:layout/>
      <c:pieChart>
        <c:varyColors val="1"/>
        <c:ser>
          <c:idx val="0"/>
          <c:order val="0"/>
          <c:spPr>
            <a:solidFill>
              <a:srgbClr val="9EBACB"/>
            </a:solidFill>
          </c:spPr>
          <c:dPt>
            <c:idx val="0"/>
            <c:bubble3D val="0"/>
            <c:spPr>
              <a:solidFill>
                <a:srgbClr val="9EBACB"/>
              </a:solidFill>
              <a:ln w="19050">
                <a:solidFill>
                  <a:schemeClr val="lt1"/>
                </a:solidFill>
              </a:ln>
              <a:effectLst/>
            </c:spPr>
            <c:extLst>
              <c:ext xmlns:c16="http://schemas.microsoft.com/office/drawing/2014/chart" uri="{C3380CC4-5D6E-409C-BE32-E72D297353CC}">
                <c16:uniqueId val="{00000001-CBF2-5049-B867-902202483B26}"/>
              </c:ext>
            </c:extLst>
          </c:dPt>
          <c:dPt>
            <c:idx val="1"/>
            <c:bubble3D val="0"/>
            <c:spPr>
              <a:solidFill>
                <a:srgbClr val="9EBACB"/>
              </a:solidFill>
              <a:ln w="19050">
                <a:solidFill>
                  <a:schemeClr val="lt1"/>
                </a:solidFill>
              </a:ln>
              <a:effectLst/>
            </c:spPr>
            <c:extLst>
              <c:ext xmlns:c16="http://schemas.microsoft.com/office/drawing/2014/chart" uri="{C3380CC4-5D6E-409C-BE32-E72D297353CC}">
                <c16:uniqueId val="{00000003-CBF2-5049-B867-902202483B26}"/>
              </c:ext>
            </c:extLst>
          </c:dPt>
          <c:dPt>
            <c:idx val="2"/>
            <c:bubble3D val="0"/>
            <c:spPr>
              <a:solidFill>
                <a:srgbClr val="9EBACB"/>
              </a:solidFill>
              <a:ln w="19050">
                <a:solidFill>
                  <a:schemeClr val="lt1"/>
                </a:solidFill>
              </a:ln>
              <a:effectLst/>
            </c:spPr>
            <c:extLst>
              <c:ext xmlns:c16="http://schemas.microsoft.com/office/drawing/2014/chart" uri="{C3380CC4-5D6E-409C-BE32-E72D297353CC}">
                <c16:uniqueId val="{00000005-CBF2-5049-B867-902202483B26}"/>
              </c:ext>
            </c:extLst>
          </c:dPt>
          <c:dPt>
            <c:idx val="3"/>
            <c:bubble3D val="0"/>
            <c:spPr>
              <a:solidFill>
                <a:srgbClr val="9EBACB"/>
              </a:solidFill>
              <a:ln w="19050">
                <a:solidFill>
                  <a:schemeClr val="lt1"/>
                </a:solidFill>
              </a:ln>
              <a:effectLst/>
            </c:spPr>
            <c:extLst>
              <c:ext xmlns:c16="http://schemas.microsoft.com/office/drawing/2014/chart" uri="{C3380CC4-5D6E-409C-BE32-E72D297353CC}">
                <c16:uniqueId val="{00000007-CBF2-5049-B867-902202483B26}"/>
              </c:ext>
            </c:extLst>
          </c:dPt>
          <c:dPt>
            <c:idx val="4"/>
            <c:bubble3D val="0"/>
            <c:spPr>
              <a:solidFill>
                <a:srgbClr val="9EBACB"/>
              </a:solidFill>
              <a:ln w="19050">
                <a:solidFill>
                  <a:schemeClr val="lt1"/>
                </a:solidFill>
              </a:ln>
              <a:effectLst/>
            </c:spPr>
            <c:extLst>
              <c:ext xmlns:c16="http://schemas.microsoft.com/office/drawing/2014/chart" uri="{C3380CC4-5D6E-409C-BE32-E72D297353CC}">
                <c16:uniqueId val="{00000009-CBF2-5049-B867-902202483B26}"/>
              </c:ext>
            </c:extLst>
          </c:dPt>
          <c:dPt>
            <c:idx val="5"/>
            <c:bubble3D val="0"/>
            <c:spPr>
              <a:solidFill>
                <a:srgbClr val="9EBACB"/>
              </a:solidFill>
              <a:ln w="19050">
                <a:solidFill>
                  <a:schemeClr val="lt1"/>
                </a:solidFill>
              </a:ln>
              <a:effectLst/>
            </c:spPr>
            <c:extLst>
              <c:ext xmlns:c16="http://schemas.microsoft.com/office/drawing/2014/chart" uri="{C3380CC4-5D6E-409C-BE32-E72D297353CC}">
                <c16:uniqueId val="{0000000B-CBF2-5049-B867-902202483B26}"/>
              </c:ext>
            </c:extLst>
          </c:dPt>
          <c:dPt>
            <c:idx val="6"/>
            <c:bubble3D val="0"/>
            <c:spPr>
              <a:solidFill>
                <a:srgbClr val="9EBACB"/>
              </a:solidFill>
              <a:ln w="19050">
                <a:solidFill>
                  <a:schemeClr val="lt1"/>
                </a:solidFill>
              </a:ln>
              <a:effectLst/>
            </c:spPr>
            <c:extLst>
              <c:ext xmlns:c16="http://schemas.microsoft.com/office/drawing/2014/chart" uri="{C3380CC4-5D6E-409C-BE32-E72D297353CC}">
                <c16:uniqueId val="{0000000D-CBF2-5049-B867-902202483B26}"/>
              </c:ext>
            </c:extLst>
          </c:dPt>
          <c:dPt>
            <c:idx val="7"/>
            <c:bubble3D val="0"/>
            <c:spPr>
              <a:solidFill>
                <a:srgbClr val="9EBACB"/>
              </a:solidFill>
              <a:ln w="19050">
                <a:solidFill>
                  <a:schemeClr val="lt1"/>
                </a:solidFill>
              </a:ln>
              <a:effectLst/>
            </c:spPr>
            <c:extLst>
              <c:ext xmlns:c16="http://schemas.microsoft.com/office/drawing/2014/chart" uri="{C3380CC4-5D6E-409C-BE32-E72D297353CC}">
                <c16:uniqueId val="{0000000F-CBF2-5049-B867-902202483B26}"/>
              </c:ext>
            </c:extLst>
          </c:dPt>
          <c:dPt>
            <c:idx val="8"/>
            <c:bubble3D val="0"/>
            <c:spPr>
              <a:solidFill>
                <a:srgbClr val="9EBACB"/>
              </a:solidFill>
              <a:ln w="19050">
                <a:solidFill>
                  <a:schemeClr val="lt1"/>
                </a:solidFill>
              </a:ln>
              <a:effectLst/>
            </c:spPr>
            <c:extLst>
              <c:ext xmlns:c16="http://schemas.microsoft.com/office/drawing/2014/chart" uri="{C3380CC4-5D6E-409C-BE32-E72D297353CC}">
                <c16:uniqueId val="{00000011-CBF2-5049-B867-902202483B26}"/>
              </c:ext>
            </c:extLst>
          </c:dPt>
          <c:dPt>
            <c:idx val="9"/>
            <c:bubble3D val="0"/>
            <c:spPr>
              <a:solidFill>
                <a:srgbClr val="9EBACB"/>
              </a:solidFill>
              <a:ln w="19050">
                <a:solidFill>
                  <a:schemeClr val="lt1"/>
                </a:solidFill>
              </a:ln>
              <a:effectLst/>
            </c:spPr>
            <c:extLst>
              <c:ext xmlns:c16="http://schemas.microsoft.com/office/drawing/2014/chart" uri="{C3380CC4-5D6E-409C-BE32-E72D297353CC}">
                <c16:uniqueId val="{00000013-CBF2-5049-B867-902202483B26}"/>
              </c:ext>
            </c:extLst>
          </c:dPt>
          <c:dPt>
            <c:idx val="10"/>
            <c:bubble3D val="0"/>
            <c:spPr>
              <a:solidFill>
                <a:srgbClr val="9EBACB"/>
              </a:solidFill>
              <a:ln w="19050">
                <a:solidFill>
                  <a:schemeClr val="lt1"/>
                </a:solidFill>
              </a:ln>
              <a:effectLst/>
            </c:spPr>
            <c:extLst>
              <c:ext xmlns:c16="http://schemas.microsoft.com/office/drawing/2014/chart" uri="{C3380CC4-5D6E-409C-BE32-E72D297353CC}">
                <c16:uniqueId val="{00000015-C785-4C60-869F-62289A492585}"/>
              </c:ext>
            </c:extLst>
          </c:dPt>
          <c:dPt>
            <c:idx val="11"/>
            <c:bubble3D val="0"/>
            <c:spPr>
              <a:solidFill>
                <a:srgbClr val="9EBACB"/>
              </a:solidFill>
              <a:ln w="19050">
                <a:solidFill>
                  <a:schemeClr val="lt1"/>
                </a:solidFill>
              </a:ln>
              <a:effectLst/>
            </c:spPr>
            <c:extLst>
              <c:ext xmlns:c16="http://schemas.microsoft.com/office/drawing/2014/chart" uri="{C3380CC4-5D6E-409C-BE32-E72D297353CC}">
                <c16:uniqueId val="{00000017-C785-4C60-869F-62289A492585}"/>
              </c:ext>
            </c:extLst>
          </c:dPt>
          <c:cat>
            <c:numRef>
              <c:f>Multiples!$R$1:$R$12</c:f>
              <c:numCache>
                <c:formatCode>General</c:formatCode>
                <c:ptCount val="12"/>
              </c:numCache>
            </c:numRef>
          </c:cat>
          <c:val>
            <c:numRef>
              <c:f>Multiples!$V$1:$V$12</c:f>
              <c:numCache>
                <c:formatCode>0%</c:formatCode>
                <c:ptCount val="12"/>
              </c:numCache>
            </c:numRef>
          </c:val>
          <c:extLst>
            <c:ext xmlns:c16="http://schemas.microsoft.com/office/drawing/2014/chart" uri="{C3380CC4-5D6E-409C-BE32-E72D297353CC}">
              <c16:uniqueId val="{00000000-C0F4-4B1D-80FC-FEA8F8A1F60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lt1">
            <a:alpha val="50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000"/>
          <a:lumOff val="90000"/>
        </a:schemeClr>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388620</xdr:colOff>
      <xdr:row>16</xdr:row>
      <xdr:rowOff>139065</xdr:rowOff>
    </xdr:from>
    <xdr:to>
      <xdr:col>25</xdr:col>
      <xdr:colOff>483870</xdr:colOff>
      <xdr:row>31</xdr:row>
      <xdr:rowOff>120015</xdr:rowOff>
    </xdr:to>
    <xdr:graphicFrame macro="">
      <xdr:nvGraphicFramePr>
        <xdr:cNvPr id="9" name="Chart 1">
          <a:extLst>
            <a:ext uri="{FF2B5EF4-FFF2-40B4-BE49-F238E27FC236}">
              <a16:creationId xmlns:a16="http://schemas.microsoft.com/office/drawing/2014/main" id="{1E23BD22-EA88-8E97-6222-BA2E9843E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https://www.bing.com/financeapi/forcetrigger?t=bt65a2&amp;q=XMIL%3aSL&amp;form=skydnc</v>
    <v>Learn more on Bing</v>
  </rv>
  <rv s="1">
    <v>en-US</v>
    <v>bt65a2</v>
    <v>268435456</v>
    <v>1</v>
    <v>Powered by Refinitiv</v>
    <v>0</v>
    <v>Sanlorenzo SpA (XMIL:SL)</v>
    <v>2</v>
    <v>3</v>
    <v>Finance</v>
    <v>4</v>
    <v>42</v>
    <v>25.2</v>
    <v>0.54139999999999999</v>
    <v>-0.6</v>
    <v>-2.0548E-2</v>
    <v>EUR</v>
    <v>Sanlorenzo SpA is an Italy-based company active in the luxury market as a shipyard specialized in the design, manufacturing and distribution of yachts and superyachts over 30m. It manufactures tailor-made yachts and superyachts. The Shipyard has three business divisions: Yacht Division, which manufactures composite 24-38 meters yachts; Superyacht Division, manufacturing 40-68 meters aluminum and steel superyachts and Bluegame Division, producing 13-21 meters sports utility yachts in composite. All the Company’s products are marketed under the Sanlorenzo and Bluegame brands. The Company’s manufacturing activities are carried out through four shipyards located in La Spezia, Ameglia, Viareggio and Massa. It operates in Europe, the Americas, Asia Pacific (APAC) and Middle East and Africa (MEA). In addition, it cooperates with a network of more than 1,500 artisan companies and count on an international distribution and service network for customers worldwide.</v>
    <v>1660</v>
    <v>Borsa Italiana</v>
    <v>XMIL</v>
    <v>XMIL</v>
    <v>Via Armezzone, 3, AMEGLIA, LA SPEZIA, 19031 IT</v>
    <v>29.35</v>
    <v>Leisure Products</v>
    <v>Stock</v>
    <v>45831.666666666664</v>
    <v>0</v>
    <v>28.6</v>
    <v>1038901000</v>
    <v>Sanlorenzo SpA</v>
    <v>Sanlorenzo SpA</v>
    <v>29.05</v>
    <v>9.5662000000000003</v>
    <v>29.2</v>
    <v>28.6</v>
    <v>35578800</v>
    <v>SL</v>
    <v>Sanlorenzo SpA (XMIL:SL)</v>
    <v>50999</v>
    <v>59970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27" formatCode="m/d/yyyy\ h:mm"/>
    </x:dxf>
    <x:dxf>
      <x:numFmt numFmtId="14" formatCode="0.00%"/>
    </x:dxf>
    <x:dxf>
      <x:numFmt numFmtId="3" formatCode="#,##0"/>
    </x:dxf>
    <x:dxf>
      <x:numFmt numFmtId="4" formatCode="#,##0.0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0">
      <rpv i="0">0.00</rpv>
    </rSty>
  </richStyles>
</richStyleSheet>
</file>

<file path=xl/theme/theme1.xml><?xml version="1.0" encoding="utf-8"?>
<a:theme xmlns:a="http://schemas.openxmlformats.org/drawingml/2006/main" name="Tema di Office">
  <a:themeElements>
    <a:clrScheme name="Blu caldo">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112FBDF-7DFD-4FF6-8253-42C99BD12BBB}">
  <we:reference id="026e7b2b-fa4d-4fe0-bf3b-b965f6f25bee" version="1.0.0.78" store="EXCatalog" storeType="EXCatalog"/>
  <we:alternateReferences>
    <we:reference id="WA200000565" version="1.0.0.78"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ebextensions/webextension2.xml><?xml version="1.0" encoding="utf-8"?>
<we:webextension xmlns:we="http://schemas.microsoft.com/office/webextensions/webextension/2010/11" id="{FC4E5B58-318B-43DD-9C12-70BC0AEBFBE6}">
  <we:reference id="367f4e28-f27a-41a8-92a6-9f79d56cb19e" version="2.1.0.0" store="EXCatalog" storeType="EXCatalog"/>
  <we:alternateReferences>
    <we:reference id="WA200001456" version="2.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FDS</we:customFunctionIds>
        <we:customFunctionIds>FDSN</we:customFunctionIds>
        <we:customFunctionIds>FDSZ</we:customFunctionIds>
        <we:customFunctionIds>FDSB</we:customFunctionIds>
        <we:customFunctionIds>FDSC</we:customFunctionIds>
        <we:customFunctionIds>FDSR</we:customFunctionIds>
        <we:customFunctionIds>FDSRN</we:customFunctionIds>
        <we:customFunctionIds>FDSRZ</we:customFunctionIds>
        <we:customFunctionIds>FDSRB</we:customFunctionIds>
        <we:customFunctionIds>FDSRC</we:customFunctionIds>
        <we:customFunctionIds>FDSLIVE</we:customFunctionIds>
        <we:customFunctionIds>FactSetLive.RTDFunction.1.FDSLIVE</we:customFunctionIds>
      </we:customFunctionIdList>
    </a:ext>
  </we:extLst>
</we:webextension>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EC11E-AE38-417B-8D16-40070FE8AAAA}">
  <dimension ref="B1:H76"/>
  <sheetViews>
    <sheetView showGridLines="0" tabSelected="1" zoomScale="84" workbookViewId="0">
      <selection activeCell="I53" sqref="I53"/>
    </sheetView>
  </sheetViews>
  <sheetFormatPr defaultColWidth="8.83984375" defaultRowHeight="15" customHeight="1"/>
  <cols>
    <col min="2" max="2" width="29.83984375" customWidth="1"/>
    <col min="3" max="4" width="18.15625" customWidth="1"/>
    <col min="5" max="5" width="28.3125" customWidth="1"/>
    <col min="6" max="6" width="18.15625" customWidth="1"/>
    <col min="7" max="8" width="18" customWidth="1"/>
    <col min="10" max="10" width="15.47265625" customWidth="1"/>
    <col min="11" max="11" width="12.47265625" bestFit="1" customWidth="1"/>
    <col min="12" max="12" width="9.47265625" bestFit="1" customWidth="1"/>
  </cols>
  <sheetData>
    <row r="1" spans="2:8" ht="14.4" customHeight="1"/>
    <row r="2" spans="2:8" ht="42.3" customHeight="1">
      <c r="B2" s="10" t="s">
        <v>191</v>
      </c>
    </row>
    <row r="4" spans="2:8" ht="14.4">
      <c r="B4" s="11" t="s">
        <v>9</v>
      </c>
      <c r="C4" s="11" t="s">
        <v>10</v>
      </c>
      <c r="D4" s="11" t="s">
        <v>11</v>
      </c>
      <c r="E4" s="11" t="s">
        <v>9</v>
      </c>
      <c r="F4" s="11" t="s">
        <v>10</v>
      </c>
      <c r="G4" s="11" t="s">
        <v>11</v>
      </c>
    </row>
    <row r="5" spans="2:8" ht="14.4">
      <c r="B5" s="11" t="s">
        <v>12</v>
      </c>
      <c r="C5" s="11"/>
      <c r="D5" s="11"/>
      <c r="E5" s="11" t="s">
        <v>13</v>
      </c>
      <c r="F5" s="11"/>
      <c r="G5" s="11"/>
    </row>
    <row r="6" spans="2:8" ht="17.7">
      <c r="B6" s="8" t="s">
        <v>14</v>
      </c>
      <c r="C6" s="9"/>
      <c r="D6" s="9"/>
      <c r="E6" s="7" t="s">
        <v>15</v>
      </c>
      <c r="F6" s="9"/>
      <c r="G6" s="77"/>
    </row>
    <row r="7" spans="2:8" ht="14.4">
      <c r="B7" s="98" t="s">
        <v>16</v>
      </c>
      <c r="C7" s="99">
        <v>179820</v>
      </c>
      <c r="D7" s="99">
        <v>158710</v>
      </c>
      <c r="E7" s="99" t="s">
        <v>17</v>
      </c>
      <c r="F7" s="99">
        <v>34978</v>
      </c>
      <c r="G7" s="100">
        <v>34784</v>
      </c>
    </row>
    <row r="8" spans="2:8" ht="14.4">
      <c r="B8" s="98" t="s">
        <v>18</v>
      </c>
      <c r="C8" s="99">
        <v>17486</v>
      </c>
      <c r="D8" s="99">
        <v>10756</v>
      </c>
      <c r="E8" s="99" t="s">
        <v>19</v>
      </c>
      <c r="F8" s="99">
        <v>84442</v>
      </c>
      <c r="G8" s="100">
        <v>81236</v>
      </c>
    </row>
    <row r="9" spans="2:8" ht="14.4">
      <c r="B9" s="98" t="s">
        <v>20</v>
      </c>
      <c r="C9" s="99">
        <v>55162</v>
      </c>
      <c r="D9" s="99">
        <v>51374</v>
      </c>
      <c r="E9" s="99" t="s">
        <v>21</v>
      </c>
      <c r="F9" s="99">
        <v>146012</v>
      </c>
      <c r="G9" s="100">
        <v>98357</v>
      </c>
    </row>
    <row r="10" spans="2:8" ht="20.399999999999999">
      <c r="B10" s="98" t="s">
        <v>22</v>
      </c>
      <c r="C10" s="99">
        <v>6564</v>
      </c>
      <c r="D10" s="99">
        <v>11426</v>
      </c>
      <c r="E10" s="99" t="s">
        <v>23</v>
      </c>
      <c r="F10" s="99">
        <v>92839</v>
      </c>
      <c r="G10" s="100">
        <v>74154</v>
      </c>
    </row>
    <row r="11" spans="2:8" ht="20.399999999999999">
      <c r="B11" s="101" t="s">
        <v>24</v>
      </c>
      <c r="C11" s="102">
        <v>3829</v>
      </c>
      <c r="D11" s="102">
        <v>7241</v>
      </c>
      <c r="E11" s="103" t="s">
        <v>25</v>
      </c>
      <c r="F11" s="103">
        <v>358271</v>
      </c>
      <c r="G11" s="104">
        <v>288531</v>
      </c>
    </row>
    <row r="12" spans="2:8" ht="14.7" thickBot="1">
      <c r="B12" s="105" t="s">
        <v>27</v>
      </c>
      <c r="C12" s="106">
        <v>12255</v>
      </c>
      <c r="D12" s="106">
        <v>5495</v>
      </c>
      <c r="E12" s="106" t="s">
        <v>28</v>
      </c>
      <c r="F12" s="106">
        <v>1690</v>
      </c>
      <c r="G12" s="107">
        <v>1550</v>
      </c>
      <c r="H12" s="15"/>
    </row>
    <row r="13" spans="2:8" ht="14.7" thickBot="1">
      <c r="B13" s="108" t="s">
        <v>29</v>
      </c>
      <c r="C13" s="109">
        <v>271287</v>
      </c>
      <c r="D13" s="109">
        <v>237761</v>
      </c>
      <c r="E13" s="109" t="s">
        <v>30</v>
      </c>
      <c r="F13" s="109">
        <v>359961</v>
      </c>
      <c r="G13" s="110">
        <v>290081</v>
      </c>
      <c r="H13" s="15"/>
    </row>
    <row r="14" spans="2:8" ht="17.7">
      <c r="B14" s="111" t="s">
        <v>31</v>
      </c>
      <c r="C14" s="112"/>
      <c r="D14" s="112"/>
      <c r="E14" s="113" t="s">
        <v>32</v>
      </c>
      <c r="F14" s="112"/>
      <c r="G14" s="114"/>
    </row>
    <row r="15" spans="2:8" ht="14.4">
      <c r="B15" s="98" t="s">
        <v>33</v>
      </c>
      <c r="C15" s="99">
        <v>85421</v>
      </c>
      <c r="D15" s="99">
        <v>53444</v>
      </c>
      <c r="E15" s="115" t="s">
        <v>34</v>
      </c>
      <c r="F15" s="99">
        <v>28795</v>
      </c>
      <c r="G15" s="100">
        <v>49259</v>
      </c>
    </row>
    <row r="16" spans="2:8" ht="19.5" customHeight="1">
      <c r="B16" s="98" t="s">
        <v>35</v>
      </c>
      <c r="C16" s="99">
        <v>185572</v>
      </c>
      <c r="D16" s="99">
        <v>168635</v>
      </c>
      <c r="E16" s="99" t="s">
        <v>36</v>
      </c>
      <c r="F16" s="99">
        <v>2491</v>
      </c>
      <c r="G16" s="100">
        <v>1109</v>
      </c>
    </row>
    <row r="17" spans="2:7" ht="20.7" thickBot="1">
      <c r="B17" s="116" t="s">
        <v>37</v>
      </c>
      <c r="C17" s="99">
        <v>24045</v>
      </c>
      <c r="D17" s="99">
        <v>55459</v>
      </c>
      <c r="E17" s="106" t="s">
        <v>38</v>
      </c>
      <c r="F17" s="106">
        <v>14404</v>
      </c>
      <c r="G17" s="107">
        <v>9944</v>
      </c>
    </row>
    <row r="18" spans="2:7" ht="14.7" thickBot="1">
      <c r="B18" s="98" t="s">
        <v>39</v>
      </c>
      <c r="C18" s="99">
        <v>22522</v>
      </c>
      <c r="D18" s="99">
        <v>21784</v>
      </c>
      <c r="E18" s="109" t="s">
        <v>40</v>
      </c>
      <c r="F18" s="109">
        <v>45690</v>
      </c>
      <c r="G18" s="110">
        <v>60312</v>
      </c>
    </row>
    <row r="19" spans="2:7" ht="17.7">
      <c r="B19" s="98" t="s">
        <v>41</v>
      </c>
      <c r="C19" s="99">
        <v>59725</v>
      </c>
      <c r="D19" s="99">
        <v>60388</v>
      </c>
      <c r="E19" s="113" t="s">
        <v>42</v>
      </c>
      <c r="F19" s="112"/>
      <c r="G19" s="114"/>
    </row>
    <row r="20" spans="2:7" ht="20.7" thickBot="1">
      <c r="B20" s="117" t="s">
        <v>43</v>
      </c>
      <c r="C20" s="106">
        <v>192506</v>
      </c>
      <c r="D20" s="106">
        <v>146317</v>
      </c>
      <c r="E20" s="115" t="s">
        <v>44</v>
      </c>
      <c r="F20" s="99">
        <v>47270</v>
      </c>
      <c r="G20" s="100">
        <v>52180</v>
      </c>
    </row>
    <row r="21" spans="2:7" ht="14.7" thickBot="1">
      <c r="B21" s="108" t="s">
        <v>45</v>
      </c>
      <c r="C21" s="109">
        <v>569791</v>
      </c>
      <c r="D21" s="109">
        <v>506027</v>
      </c>
      <c r="E21" s="99" t="s">
        <v>46</v>
      </c>
      <c r="F21" s="99">
        <v>8571</v>
      </c>
      <c r="G21" s="100">
        <v>8039</v>
      </c>
    </row>
    <row r="22" spans="2:7" ht="14.4">
      <c r="B22" s="118"/>
      <c r="C22" s="15"/>
      <c r="D22" s="15"/>
      <c r="E22" s="99" t="s">
        <v>48</v>
      </c>
      <c r="F22" s="99">
        <v>203812</v>
      </c>
      <c r="G22" s="100">
        <v>155979</v>
      </c>
    </row>
    <row r="23" spans="2:7" ht="14.4">
      <c r="B23" s="118"/>
      <c r="C23" s="15"/>
      <c r="D23" s="15"/>
      <c r="E23" s="99" t="s">
        <v>49</v>
      </c>
      <c r="F23" s="99">
        <v>125441</v>
      </c>
      <c r="G23" s="100">
        <v>132369</v>
      </c>
    </row>
    <row r="24" spans="2:7" ht="14.4">
      <c r="B24" s="118"/>
      <c r="C24" s="15"/>
      <c r="D24" s="15"/>
      <c r="E24" s="99" t="s">
        <v>50</v>
      </c>
      <c r="F24" s="99">
        <v>37597</v>
      </c>
      <c r="G24" s="100">
        <v>31859</v>
      </c>
    </row>
    <row r="25" spans="2:7" ht="14.4">
      <c r="B25" s="118"/>
      <c r="C25" s="15"/>
      <c r="D25" s="15"/>
      <c r="E25" s="115" t="s">
        <v>51</v>
      </c>
      <c r="F25" s="99">
        <v>2241</v>
      </c>
      <c r="G25" s="100">
        <v>3021</v>
      </c>
    </row>
    <row r="26" spans="2:7" ht="20.7" thickBot="1">
      <c r="B26" s="118"/>
      <c r="C26" s="15"/>
      <c r="D26" s="15"/>
      <c r="E26" s="119" t="s">
        <v>52</v>
      </c>
      <c r="F26" s="106">
        <v>10495</v>
      </c>
      <c r="G26" s="107">
        <v>9948</v>
      </c>
    </row>
    <row r="27" spans="2:7" ht="14.7" thickBot="1">
      <c r="B27" s="118"/>
      <c r="C27" s="15"/>
      <c r="D27" s="15"/>
      <c r="E27" s="109" t="s">
        <v>53</v>
      </c>
      <c r="F27" s="109">
        <v>435427</v>
      </c>
      <c r="G27" s="110">
        <v>393395</v>
      </c>
    </row>
    <row r="28" spans="2:7" ht="14.7" thickBot="1">
      <c r="B28" s="118"/>
      <c r="C28" s="15"/>
      <c r="D28" s="15"/>
      <c r="E28" s="120" t="s">
        <v>54</v>
      </c>
      <c r="F28" s="120">
        <v>481117</v>
      </c>
      <c r="G28" s="121">
        <v>453707</v>
      </c>
    </row>
    <row r="29" spans="2:7" ht="21.3" thickBot="1">
      <c r="B29" s="29" t="s">
        <v>47</v>
      </c>
      <c r="C29" s="30">
        <v>841078</v>
      </c>
      <c r="D29" s="30">
        <v>743788</v>
      </c>
      <c r="E29" s="31" t="s">
        <v>55</v>
      </c>
      <c r="F29" s="31">
        <v>841078</v>
      </c>
      <c r="G29" s="32">
        <v>743788</v>
      </c>
    </row>
    <row r="30" spans="2:7" ht="14.4">
      <c r="C30" s="15"/>
      <c r="D30" s="15"/>
      <c r="E30" s="15"/>
      <c r="F30" s="15"/>
      <c r="G30" s="15"/>
    </row>
    <row r="31" spans="2:7" ht="14.4">
      <c r="B31" s="11" t="s">
        <v>9</v>
      </c>
      <c r="C31" s="11" t="s">
        <v>10</v>
      </c>
      <c r="D31" s="11" t="s">
        <v>11</v>
      </c>
      <c r="E31" s="11" t="s">
        <v>9</v>
      </c>
      <c r="F31" s="11" t="s">
        <v>10</v>
      </c>
      <c r="G31" s="11" t="s">
        <v>11</v>
      </c>
    </row>
    <row r="32" spans="2:7" ht="14.7" thickBot="1">
      <c r="B32" s="11" t="s">
        <v>12</v>
      </c>
      <c r="C32" s="11"/>
      <c r="D32" s="11"/>
      <c r="E32" s="11" t="s">
        <v>13</v>
      </c>
      <c r="F32" s="11"/>
      <c r="G32" s="11"/>
    </row>
    <row r="33" spans="2:7" ht="17.7">
      <c r="B33" s="122" t="s">
        <v>100</v>
      </c>
      <c r="C33" s="123"/>
      <c r="D33" s="123"/>
      <c r="E33" s="124" t="s">
        <v>15</v>
      </c>
      <c r="F33" s="123"/>
      <c r="G33" s="125"/>
    </row>
    <row r="34" spans="2:7" ht="14.4">
      <c r="B34" s="98" t="s">
        <v>33</v>
      </c>
      <c r="C34" s="99">
        <v>85421</v>
      </c>
      <c r="D34" s="99">
        <v>53444</v>
      </c>
      <c r="E34" s="99" t="s">
        <v>17</v>
      </c>
      <c r="F34" s="99">
        <v>34978</v>
      </c>
      <c r="G34" s="100">
        <v>34784</v>
      </c>
    </row>
    <row r="35" spans="2:7" ht="14.4">
      <c r="B35" s="98" t="s">
        <v>35</v>
      </c>
      <c r="C35" s="99">
        <v>185572</v>
      </c>
      <c r="D35" s="99">
        <v>168635</v>
      </c>
      <c r="E35" s="99" t="s">
        <v>19</v>
      </c>
      <c r="F35" s="99">
        <v>84442</v>
      </c>
      <c r="G35" s="100">
        <v>81236</v>
      </c>
    </row>
    <row r="36" spans="2:7" ht="14.4">
      <c r="B36" s="98" t="s">
        <v>39</v>
      </c>
      <c r="C36" s="99">
        <v>22522</v>
      </c>
      <c r="D36" s="99">
        <v>21784</v>
      </c>
      <c r="E36" s="99" t="s">
        <v>21</v>
      </c>
      <c r="F36" s="99">
        <v>146012</v>
      </c>
      <c r="G36" s="100">
        <v>98357</v>
      </c>
    </row>
    <row r="37" spans="2:7" ht="14.4">
      <c r="B37" s="98" t="s">
        <v>41</v>
      </c>
      <c r="C37" s="99">
        <v>59725</v>
      </c>
      <c r="D37" s="99">
        <v>60388</v>
      </c>
      <c r="E37" s="99" t="s">
        <v>23</v>
      </c>
      <c r="F37" s="99">
        <v>92839</v>
      </c>
      <c r="G37" s="100">
        <v>74154</v>
      </c>
    </row>
    <row r="38" spans="2:7" ht="20.399999999999999">
      <c r="B38" s="98" t="s">
        <v>46</v>
      </c>
      <c r="C38" s="99">
        <v>-8571</v>
      </c>
      <c r="D38" s="99">
        <v>-8039</v>
      </c>
      <c r="E38" s="103" t="s">
        <v>25</v>
      </c>
      <c r="F38" s="103">
        <v>358271</v>
      </c>
      <c r="G38" s="104">
        <v>288531</v>
      </c>
    </row>
    <row r="39" spans="2:7" ht="14.7" thickBot="1">
      <c r="B39" s="98" t="s">
        <v>48</v>
      </c>
      <c r="C39" s="99">
        <v>-203812</v>
      </c>
      <c r="D39" s="99">
        <v>-155979</v>
      </c>
      <c r="E39" s="106" t="s">
        <v>28</v>
      </c>
      <c r="F39" s="106">
        <v>1690</v>
      </c>
      <c r="G39" s="107">
        <v>1550</v>
      </c>
    </row>
    <row r="40" spans="2:7" ht="14.7" thickBot="1">
      <c r="B40" s="98" t="s">
        <v>49</v>
      </c>
      <c r="C40" s="99">
        <v>-125441</v>
      </c>
      <c r="D40" s="99">
        <v>-132369</v>
      </c>
      <c r="E40" s="120" t="s">
        <v>30</v>
      </c>
      <c r="F40" s="120">
        <v>359961</v>
      </c>
      <c r="G40" s="121">
        <v>290081</v>
      </c>
    </row>
    <row r="41" spans="2:7" ht="17.7">
      <c r="B41" s="98" t="s">
        <v>50</v>
      </c>
      <c r="C41" s="99">
        <v>-37597</v>
      </c>
      <c r="D41" s="99">
        <v>-31859</v>
      </c>
      <c r="E41" s="113" t="s">
        <v>101</v>
      </c>
      <c r="F41" s="112"/>
      <c r="G41" s="114"/>
    </row>
    <row r="42" spans="2:7" ht="20.399999999999999">
      <c r="B42" s="98" t="s">
        <v>51</v>
      </c>
      <c r="C42" s="99">
        <v>-2241</v>
      </c>
      <c r="D42" s="99">
        <v>-3021</v>
      </c>
      <c r="E42" s="115" t="s">
        <v>37</v>
      </c>
      <c r="F42" s="99">
        <v>-24045</v>
      </c>
      <c r="G42" s="100">
        <v>-55459</v>
      </c>
    </row>
    <row r="43" spans="2:7" ht="14.4">
      <c r="B43" s="98" t="s">
        <v>52</v>
      </c>
      <c r="C43" s="99">
        <v>-10495</v>
      </c>
      <c r="D43" s="99">
        <v>-9948</v>
      </c>
      <c r="E43" s="115" t="s">
        <v>34</v>
      </c>
      <c r="F43" s="99">
        <v>28795</v>
      </c>
      <c r="G43" s="100">
        <v>49259</v>
      </c>
    </row>
    <row r="44" spans="2:7" ht="20.399999999999999">
      <c r="B44" s="98" t="s">
        <v>36</v>
      </c>
      <c r="C44" s="99">
        <v>-2491</v>
      </c>
      <c r="D44" s="99">
        <v>-1109</v>
      </c>
      <c r="E44" s="115" t="s">
        <v>44</v>
      </c>
      <c r="F44" s="99">
        <v>47270</v>
      </c>
      <c r="G44" s="100">
        <v>52180</v>
      </c>
    </row>
    <row r="45" spans="2:7" ht="20.7" thickBot="1">
      <c r="B45" s="105" t="s">
        <v>38</v>
      </c>
      <c r="C45" s="106">
        <v>-14404</v>
      </c>
      <c r="D45" s="106">
        <v>-9944</v>
      </c>
      <c r="E45" s="119" t="s">
        <v>43</v>
      </c>
      <c r="F45" s="106">
        <v>-192506</v>
      </c>
      <c r="G45" s="107">
        <v>-146317</v>
      </c>
    </row>
    <row r="46" spans="2:7" ht="14.7" thickBot="1">
      <c r="B46" s="126" t="s">
        <v>100</v>
      </c>
      <c r="C46" s="120">
        <f>SUM(C34:C45)</f>
        <v>-51812</v>
      </c>
      <c r="D46" s="120">
        <f>SUM(D34:D45)</f>
        <v>-48017</v>
      </c>
      <c r="E46" s="120" t="s">
        <v>101</v>
      </c>
      <c r="F46" s="120">
        <f>SUM(F42:F45)</f>
        <v>-140486</v>
      </c>
      <c r="G46" s="121">
        <f>SUM(G42:G45)</f>
        <v>-100337</v>
      </c>
    </row>
    <row r="47" spans="2:7" ht="17.7">
      <c r="B47" s="111" t="s">
        <v>119</v>
      </c>
      <c r="C47" s="112"/>
      <c r="D47" s="112"/>
      <c r="E47" s="115"/>
      <c r="F47" s="99"/>
      <c r="G47" s="100"/>
    </row>
    <row r="48" spans="2:7" ht="14.4">
      <c r="B48" s="98" t="s">
        <v>16</v>
      </c>
      <c r="C48" s="99">
        <v>179820</v>
      </c>
      <c r="D48" s="99">
        <v>158710</v>
      </c>
      <c r="E48" s="115"/>
      <c r="F48" s="99"/>
      <c r="G48" s="100"/>
    </row>
    <row r="49" spans="2:7" ht="14.4">
      <c r="B49" s="98" t="s">
        <v>18</v>
      </c>
      <c r="C49" s="99">
        <v>17486</v>
      </c>
      <c r="D49" s="99">
        <v>10756</v>
      </c>
      <c r="E49" s="115"/>
      <c r="F49" s="99"/>
      <c r="G49" s="100"/>
    </row>
    <row r="50" spans="2:7" ht="14.4">
      <c r="B50" s="98" t="s">
        <v>20</v>
      </c>
      <c r="C50" s="99">
        <v>55162</v>
      </c>
      <c r="D50" s="99">
        <v>51374</v>
      </c>
      <c r="E50" s="115"/>
      <c r="F50" s="99"/>
      <c r="G50" s="100"/>
    </row>
    <row r="51" spans="2:7" ht="14.7" thickBot="1">
      <c r="B51" s="105" t="s">
        <v>27</v>
      </c>
      <c r="C51" s="106">
        <v>12255</v>
      </c>
      <c r="D51" s="106">
        <v>5495</v>
      </c>
      <c r="E51" s="99"/>
      <c r="F51" s="99"/>
      <c r="G51" s="100"/>
    </row>
    <row r="52" spans="2:7" ht="14.7" thickBot="1">
      <c r="B52" s="126" t="s">
        <v>119</v>
      </c>
      <c r="C52" s="120">
        <f>SUM(C48:C51)</f>
        <v>264723</v>
      </c>
      <c r="D52" s="120">
        <f>SUM(D48:D51)</f>
        <v>226335</v>
      </c>
      <c r="E52" s="115"/>
      <c r="F52" s="99"/>
      <c r="G52" s="100"/>
    </row>
    <row r="53" spans="2:7" ht="14.4">
      <c r="B53" s="111" t="s">
        <v>120</v>
      </c>
      <c r="C53" s="15"/>
      <c r="D53" s="15"/>
      <c r="E53" s="115"/>
      <c r="F53" s="99"/>
      <c r="G53" s="100"/>
    </row>
    <row r="54" spans="2:7" ht="20.399999999999999">
      <c r="B54" s="98" t="s">
        <v>22</v>
      </c>
      <c r="C54" s="99">
        <v>6564</v>
      </c>
      <c r="D54" s="99">
        <v>11426</v>
      </c>
      <c r="E54" s="115"/>
      <c r="F54" s="99"/>
      <c r="G54" s="100"/>
    </row>
    <row r="55" spans="2:7" ht="20.7" thickBot="1">
      <c r="B55" s="127" t="s">
        <v>24</v>
      </c>
      <c r="C55" s="128">
        <v>3829</v>
      </c>
      <c r="D55" s="128">
        <v>7241</v>
      </c>
      <c r="E55" s="115"/>
      <c r="F55" s="99"/>
      <c r="G55" s="100"/>
    </row>
    <row r="56" spans="2:7" ht="14.7" thickBot="1">
      <c r="B56" s="126" t="s">
        <v>120</v>
      </c>
      <c r="C56" s="120">
        <f>C54</f>
        <v>6564</v>
      </c>
      <c r="D56" s="120">
        <f>D54</f>
        <v>11426</v>
      </c>
      <c r="E56" s="120"/>
      <c r="F56" s="120"/>
      <c r="G56" s="121"/>
    </row>
    <row r="57" spans="2:7" ht="21.3" thickBot="1">
      <c r="B57" s="29" t="s">
        <v>121</v>
      </c>
      <c r="C57" s="30">
        <f>C56+C52+C46</f>
        <v>219475</v>
      </c>
      <c r="D57" s="30">
        <f>D56+D52+D46</f>
        <v>189744</v>
      </c>
      <c r="E57" s="30" t="s">
        <v>102</v>
      </c>
      <c r="F57" s="30">
        <f>F40+F46</f>
        <v>219475</v>
      </c>
      <c r="G57" s="33">
        <f>G40+G46</f>
        <v>189744</v>
      </c>
    </row>
    <row r="59" spans="2:7" ht="15" customHeight="1">
      <c r="C59" s="15"/>
    </row>
    <row r="60" spans="2:7" ht="14.4">
      <c r="B60" s="76"/>
      <c r="C60" s="58">
        <v>2023</v>
      </c>
    </row>
    <row r="61" spans="2:7" ht="14.4">
      <c r="B61" s="28" t="s">
        <v>122</v>
      </c>
      <c r="C61" s="15">
        <f>SUM(F43:F44)</f>
        <v>76065</v>
      </c>
    </row>
    <row r="62" spans="2:7" ht="14.4">
      <c r="B62" s="28" t="s">
        <v>123</v>
      </c>
      <c r="C62" s="15">
        <f>F42</f>
        <v>-24045</v>
      </c>
    </row>
    <row r="63" spans="2:7" ht="14.7" thickBot="1">
      <c r="B63" s="28" t="s">
        <v>124</v>
      </c>
      <c r="C63" s="83">
        <f>-C20</f>
        <v>-192506</v>
      </c>
    </row>
    <row r="65" spans="2:8" ht="14.4">
      <c r="C65" s="58">
        <v>2023</v>
      </c>
      <c r="D65" s="58">
        <v>2022</v>
      </c>
      <c r="E65" s="58">
        <v>2021</v>
      </c>
      <c r="F65" s="58">
        <v>2020</v>
      </c>
      <c r="G65" s="58">
        <v>2019</v>
      </c>
      <c r="H65" s="58">
        <v>2018</v>
      </c>
    </row>
    <row r="66" spans="2:8" ht="14.4">
      <c r="B66" s="28" t="s">
        <v>125</v>
      </c>
      <c r="C66" s="15">
        <f t="shared" ref="C66:H66" si="0">C73-C72-C71</f>
        <v>353240</v>
      </c>
      <c r="D66" s="15">
        <f t="shared" si="0"/>
        <v>304251</v>
      </c>
      <c r="E66" s="15">
        <f t="shared" si="0"/>
        <v>258110</v>
      </c>
      <c r="F66" s="15">
        <f t="shared" si="0"/>
        <v>304251</v>
      </c>
      <c r="G66" s="15">
        <f t="shared" si="0"/>
        <v>216476</v>
      </c>
      <c r="H66" s="15">
        <f t="shared" si="0"/>
        <v>200843</v>
      </c>
    </row>
    <row r="67" spans="2:8" ht="14.7" thickBot="1">
      <c r="B67" s="28" t="s">
        <v>126</v>
      </c>
      <c r="C67" s="83">
        <f t="shared" ref="C67:H67" si="1">C76-C75</f>
        <v>388157</v>
      </c>
      <c r="D67" s="83">
        <f t="shared" si="1"/>
        <v>341215</v>
      </c>
      <c r="E67" s="83">
        <f t="shared" si="1"/>
        <v>260823</v>
      </c>
      <c r="F67" s="83">
        <f t="shared" si="1"/>
        <v>223565</v>
      </c>
      <c r="G67" s="83">
        <f t="shared" si="1"/>
        <v>204929</v>
      </c>
      <c r="H67" s="83">
        <f t="shared" si="1"/>
        <v>183832</v>
      </c>
    </row>
    <row r="68" spans="2:8" ht="14.4">
      <c r="B68" s="28" t="s">
        <v>127</v>
      </c>
      <c r="C68" s="16">
        <f t="shared" ref="C68:H68" si="2">C66-C67</f>
        <v>-34917</v>
      </c>
      <c r="D68" s="16">
        <f t="shared" si="2"/>
        <v>-36964</v>
      </c>
      <c r="E68" s="16">
        <f t="shared" si="2"/>
        <v>-2713</v>
      </c>
      <c r="F68" s="16">
        <f t="shared" si="2"/>
        <v>80686</v>
      </c>
      <c r="G68" s="16">
        <f t="shared" si="2"/>
        <v>11547</v>
      </c>
      <c r="H68" s="16">
        <f t="shared" si="2"/>
        <v>17011</v>
      </c>
    </row>
    <row r="70" spans="2:8" ht="14.4">
      <c r="C70" s="58">
        <v>2023</v>
      </c>
      <c r="D70" s="58">
        <v>2022</v>
      </c>
      <c r="E70" s="58">
        <v>2021</v>
      </c>
      <c r="F70" s="58">
        <v>2020</v>
      </c>
      <c r="G70" s="58">
        <v>2019</v>
      </c>
      <c r="H70" s="58">
        <v>2018</v>
      </c>
    </row>
    <row r="71" spans="2:8" ht="20.399999999999999">
      <c r="B71" s="129" t="s">
        <v>37</v>
      </c>
      <c r="C71" s="130">
        <v>24045</v>
      </c>
      <c r="D71" s="130">
        <v>55459</v>
      </c>
      <c r="E71" s="130">
        <v>317</v>
      </c>
      <c r="F71" s="130">
        <v>55459</v>
      </c>
      <c r="G71" s="130">
        <v>6654</v>
      </c>
      <c r="H71" s="130">
        <v>16461</v>
      </c>
    </row>
    <row r="72" spans="2:8" ht="20.7" thickBot="1">
      <c r="B72" s="131" t="s">
        <v>43</v>
      </c>
      <c r="C72" s="132">
        <v>192506</v>
      </c>
      <c r="D72" s="132">
        <v>146317</v>
      </c>
      <c r="E72" s="132">
        <v>141272</v>
      </c>
      <c r="F72" s="132">
        <v>146317</v>
      </c>
      <c r="G72" s="132">
        <v>60186</v>
      </c>
      <c r="H72" s="132">
        <v>48732</v>
      </c>
    </row>
    <row r="73" spans="2:8" ht="14.7" thickBot="1">
      <c r="B73" s="133" t="s">
        <v>45</v>
      </c>
      <c r="C73" s="134">
        <v>569791</v>
      </c>
      <c r="D73" s="134">
        <v>506027</v>
      </c>
      <c r="E73" s="134">
        <v>399699</v>
      </c>
      <c r="F73" s="134">
        <v>506027</v>
      </c>
      <c r="G73" s="134">
        <v>283316</v>
      </c>
      <c r="H73" s="134">
        <v>266036</v>
      </c>
    </row>
    <row r="74" spans="2:8" ht="15" customHeight="1">
      <c r="B74" s="135"/>
      <c r="C74" s="135"/>
      <c r="D74" s="135"/>
      <c r="E74" s="135"/>
      <c r="F74" s="135"/>
      <c r="G74" s="135"/>
      <c r="H74" s="135"/>
    </row>
    <row r="75" spans="2:8" ht="20.7" thickBot="1">
      <c r="B75" s="136" t="s">
        <v>44</v>
      </c>
      <c r="C75" s="130">
        <v>47270</v>
      </c>
      <c r="D75" s="130">
        <v>52180</v>
      </c>
      <c r="E75" s="130">
        <v>33475</v>
      </c>
      <c r="F75" s="130">
        <v>28432</v>
      </c>
      <c r="G75" s="130">
        <v>19294</v>
      </c>
      <c r="H75" s="130">
        <v>24021</v>
      </c>
    </row>
    <row r="76" spans="2:8" ht="14.7" thickBot="1">
      <c r="B76" s="134" t="s">
        <v>53</v>
      </c>
      <c r="C76" s="134">
        <v>435427</v>
      </c>
      <c r="D76" s="134">
        <v>393395</v>
      </c>
      <c r="E76" s="134">
        <v>294298</v>
      </c>
      <c r="F76" s="134">
        <v>251997</v>
      </c>
      <c r="G76" s="134">
        <v>224223</v>
      </c>
      <c r="H76" s="134">
        <v>207853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0027-34A5-4CEC-BC8D-39AF1FD0216A}">
  <dimension ref="B2:J64"/>
  <sheetViews>
    <sheetView showGridLines="0" workbookViewId="0">
      <selection activeCell="B21" sqref="B21"/>
    </sheetView>
  </sheetViews>
  <sheetFormatPr defaultColWidth="8.83984375" defaultRowHeight="14.4"/>
  <cols>
    <col min="2" max="2" width="41.15625" customWidth="1"/>
    <col min="3" max="8" width="20" customWidth="1"/>
    <col min="9" max="9" width="10.3125" customWidth="1"/>
  </cols>
  <sheetData>
    <row r="2" spans="2:10" ht="31.8" customHeight="1">
      <c r="B2" s="10" t="s">
        <v>192</v>
      </c>
    </row>
    <row r="4" spans="2:10" ht="17.5" customHeight="1" thickBot="1">
      <c r="B4" s="11" t="s">
        <v>9</v>
      </c>
      <c r="C4" s="11" t="s">
        <v>10</v>
      </c>
      <c r="D4" s="11" t="s">
        <v>11</v>
      </c>
      <c r="E4" s="11" t="s">
        <v>99</v>
      </c>
      <c r="F4" s="11" t="s">
        <v>128</v>
      </c>
      <c r="G4" s="11" t="s">
        <v>129</v>
      </c>
      <c r="H4" s="11" t="s">
        <v>130</v>
      </c>
    </row>
    <row r="5" spans="2:10">
      <c r="B5" s="35" t="s">
        <v>103</v>
      </c>
      <c r="C5" s="36">
        <v>896364</v>
      </c>
      <c r="D5" s="36">
        <v>811034</v>
      </c>
      <c r="E5" s="36">
        <v>687970</v>
      </c>
      <c r="F5" s="36">
        <v>548803</v>
      </c>
      <c r="G5" s="36">
        <v>518991</v>
      </c>
      <c r="H5" s="60">
        <v>386384</v>
      </c>
    </row>
    <row r="6" spans="2:10">
      <c r="B6" s="37" t="s">
        <v>104</v>
      </c>
      <c r="C6" s="61">
        <v>-42063</v>
      </c>
      <c r="D6" s="61">
        <v>-59902</v>
      </c>
      <c r="E6" s="61">
        <v>19925</v>
      </c>
      <c r="F6" s="61">
        <v>-21335</v>
      </c>
      <c r="G6" s="61">
        <v>-12747</v>
      </c>
      <c r="H6" s="62">
        <v>-11168</v>
      </c>
      <c r="J6" s="25"/>
    </row>
    <row r="7" spans="2:10">
      <c r="B7" s="37" t="s">
        <v>131</v>
      </c>
      <c r="C7" s="63">
        <v>854301</v>
      </c>
      <c r="D7" s="63">
        <v>751132</v>
      </c>
      <c r="E7" s="63">
        <v>668045</v>
      </c>
      <c r="F7" s="63">
        <v>527468</v>
      </c>
      <c r="G7" s="63">
        <v>506244</v>
      </c>
      <c r="H7" s="64">
        <v>375216</v>
      </c>
      <c r="J7" s="25"/>
    </row>
    <row r="8" spans="2:10" ht="14.7" thickBot="1">
      <c r="B8" s="38" t="s">
        <v>132</v>
      </c>
      <c r="C8" s="39">
        <v>11367</v>
      </c>
      <c r="D8" s="39">
        <v>7412</v>
      </c>
      <c r="E8" s="39">
        <v>5488</v>
      </c>
      <c r="F8" s="39">
        <v>5728</v>
      </c>
      <c r="G8" s="39">
        <v>3445</v>
      </c>
      <c r="H8" s="65">
        <v>4504</v>
      </c>
      <c r="J8" s="24"/>
    </row>
    <row r="9" spans="2:10" ht="14.7" thickBot="1">
      <c r="B9" s="40" t="s">
        <v>133</v>
      </c>
      <c r="C9" s="41">
        <v>865668</v>
      </c>
      <c r="D9" s="42">
        <v>758544</v>
      </c>
      <c r="E9" s="42">
        <v>673533</v>
      </c>
      <c r="F9" s="42">
        <v>533196</v>
      </c>
      <c r="G9" s="42">
        <v>509689</v>
      </c>
      <c r="H9" s="66">
        <v>379720</v>
      </c>
      <c r="J9" s="25"/>
    </row>
    <row r="10" spans="2:10">
      <c r="B10" s="37" t="s">
        <v>107</v>
      </c>
      <c r="C10" s="61">
        <v>2075</v>
      </c>
      <c r="D10" s="61">
        <v>2106</v>
      </c>
      <c r="E10" s="61">
        <v>1978</v>
      </c>
      <c r="F10" s="61">
        <v>1904</v>
      </c>
      <c r="G10" s="61">
        <v>1952</v>
      </c>
      <c r="H10" s="62">
        <v>1326</v>
      </c>
      <c r="J10" s="24"/>
    </row>
    <row r="11" spans="2:10" ht="22.8">
      <c r="B11" s="43" t="s">
        <v>105</v>
      </c>
      <c r="C11" s="61">
        <v>-270863</v>
      </c>
      <c r="D11" s="61">
        <v>-247677</v>
      </c>
      <c r="E11" s="61">
        <v>-247780</v>
      </c>
      <c r="F11" s="61">
        <v>-219798</v>
      </c>
      <c r="G11" s="61">
        <v>-217882</v>
      </c>
      <c r="H11" s="62">
        <v>-123863</v>
      </c>
      <c r="J11" s="25"/>
    </row>
    <row r="12" spans="2:10">
      <c r="B12" s="37" t="s">
        <v>108</v>
      </c>
      <c r="C12" s="61">
        <v>-295025</v>
      </c>
      <c r="D12" s="61">
        <v>-251486</v>
      </c>
      <c r="E12" s="61">
        <v>-198750</v>
      </c>
      <c r="F12" s="61">
        <v>-171826</v>
      </c>
      <c r="G12" s="61">
        <v>-166358</v>
      </c>
      <c r="H12" s="62">
        <v>-116828</v>
      </c>
      <c r="I12" s="15"/>
      <c r="J12" s="26"/>
    </row>
    <row r="13" spans="2:10" ht="22.8">
      <c r="B13" s="43" t="s">
        <v>106</v>
      </c>
      <c r="C13" s="61">
        <v>17961</v>
      </c>
      <c r="D13" s="61">
        <v>1876</v>
      </c>
      <c r="E13" s="61">
        <v>-18765</v>
      </c>
      <c r="F13" s="61">
        <v>23457</v>
      </c>
      <c r="G13" s="61">
        <v>26297</v>
      </c>
      <c r="H13" s="62">
        <v>-26110</v>
      </c>
      <c r="J13" s="25"/>
    </row>
    <row r="14" spans="2:10">
      <c r="B14" s="37" t="s">
        <v>109</v>
      </c>
      <c r="C14" s="61">
        <v>-73994</v>
      </c>
      <c r="D14" s="61">
        <v>-63444</v>
      </c>
      <c r="E14" s="61">
        <v>-54146</v>
      </c>
      <c r="F14" s="61">
        <v>-45722</v>
      </c>
      <c r="G14" s="61">
        <v>-47845</v>
      </c>
      <c r="H14" s="62">
        <v>-41247</v>
      </c>
      <c r="J14" s="26"/>
    </row>
    <row r="15" spans="2:10">
      <c r="B15" s="37" t="s">
        <v>110</v>
      </c>
      <c r="C15" s="61">
        <v>-64013</v>
      </c>
      <c r="D15" s="61">
        <v>-53299</v>
      </c>
      <c r="E15" s="61">
        <v>-45527</v>
      </c>
      <c r="F15" s="61">
        <v>-37992</v>
      </c>
      <c r="G15" s="61">
        <v>-35165</v>
      </c>
      <c r="H15" s="62">
        <v>-29478</v>
      </c>
      <c r="J15" s="25"/>
    </row>
    <row r="16" spans="2:10">
      <c r="B16" s="37" t="s">
        <v>111</v>
      </c>
      <c r="C16" s="61">
        <v>-5948</v>
      </c>
      <c r="D16" s="61">
        <v>-6595</v>
      </c>
      <c r="E16" s="61">
        <v>-5598</v>
      </c>
      <c r="F16" s="61">
        <v>-3931</v>
      </c>
      <c r="G16" s="61">
        <v>-4128</v>
      </c>
      <c r="H16" s="62">
        <v>-4785</v>
      </c>
      <c r="J16" s="25"/>
    </row>
    <row r="17" spans="2:10">
      <c r="B17" s="37" t="s">
        <v>112</v>
      </c>
      <c r="C17" s="61">
        <v>-18375</v>
      </c>
      <c r="D17" s="61">
        <v>-10387</v>
      </c>
      <c r="E17" s="61">
        <v>-10318</v>
      </c>
      <c r="F17" s="61">
        <v>-10052</v>
      </c>
      <c r="G17" s="61">
        <v>-6596</v>
      </c>
      <c r="H17" s="62">
        <v>-3190</v>
      </c>
      <c r="J17" s="25"/>
    </row>
    <row r="18" spans="2:10" ht="14.7" thickBot="1">
      <c r="B18" s="44" t="s">
        <v>134</v>
      </c>
      <c r="C18" s="45">
        <v>-708182</v>
      </c>
      <c r="D18" s="45">
        <v>-628906</v>
      </c>
      <c r="E18" s="45">
        <v>-578908</v>
      </c>
      <c r="F18" s="45">
        <v>-463960</v>
      </c>
      <c r="G18" s="45">
        <v>-449725</v>
      </c>
      <c r="H18" s="67">
        <v>-344175</v>
      </c>
      <c r="J18" s="25"/>
    </row>
    <row r="19" spans="2:10" ht="23.1" thickBot="1">
      <c r="B19" s="40" t="s">
        <v>135</v>
      </c>
      <c r="C19" s="41">
        <v>157486</v>
      </c>
      <c r="D19" s="42">
        <v>129638</v>
      </c>
      <c r="E19" s="42">
        <v>94627</v>
      </c>
      <c r="F19" s="42">
        <v>69236</v>
      </c>
      <c r="G19" s="42">
        <v>59964</v>
      </c>
      <c r="H19" s="66">
        <v>35545</v>
      </c>
      <c r="J19" s="24"/>
    </row>
    <row r="20" spans="2:10" ht="14.7" thickBot="1">
      <c r="B20" s="46" t="s">
        <v>114</v>
      </c>
      <c r="C20" s="39">
        <v>-31604</v>
      </c>
      <c r="D20" s="39">
        <v>-26909</v>
      </c>
      <c r="E20" s="39">
        <v>-22440</v>
      </c>
      <c r="F20" s="39">
        <v>-20208</v>
      </c>
      <c r="G20" s="39">
        <v>-16868</v>
      </c>
      <c r="H20" s="65">
        <v>-12119</v>
      </c>
      <c r="J20" s="24"/>
    </row>
    <row r="21" spans="2:10" ht="14.7" thickBot="1">
      <c r="B21" s="40" t="s">
        <v>136</v>
      </c>
      <c r="C21" s="41">
        <v>125882</v>
      </c>
      <c r="D21" s="42">
        <v>102729</v>
      </c>
      <c r="E21" s="42">
        <v>72187</v>
      </c>
      <c r="F21" s="42">
        <v>49028</v>
      </c>
      <c r="G21" s="42">
        <v>43096</v>
      </c>
      <c r="H21" s="66">
        <v>23426</v>
      </c>
      <c r="J21" s="25"/>
    </row>
    <row r="22" spans="2:10">
      <c r="B22" s="43" t="s">
        <v>116</v>
      </c>
      <c r="C22" s="61">
        <v>6131</v>
      </c>
      <c r="D22" s="61">
        <v>281</v>
      </c>
      <c r="E22" s="61">
        <v>193</v>
      </c>
      <c r="F22" s="61">
        <v>13</v>
      </c>
      <c r="G22" s="61">
        <v>42</v>
      </c>
      <c r="H22" s="62">
        <v>21</v>
      </c>
      <c r="J22" s="24"/>
    </row>
    <row r="23" spans="2:10">
      <c r="B23" s="43" t="s">
        <v>117</v>
      </c>
      <c r="C23" s="61">
        <v>-2518</v>
      </c>
      <c r="D23" s="61">
        <v>-826</v>
      </c>
      <c r="E23" s="61">
        <v>-1353</v>
      </c>
      <c r="F23" s="61">
        <v>-2187</v>
      </c>
      <c r="G23" s="61">
        <v>-5293</v>
      </c>
      <c r="H23" s="62">
        <v>-3546</v>
      </c>
      <c r="J23" s="26"/>
    </row>
    <row r="24" spans="2:10">
      <c r="B24" s="47" t="s">
        <v>137</v>
      </c>
      <c r="C24" s="63">
        <v>3613</v>
      </c>
      <c r="D24" s="63">
        <v>-545</v>
      </c>
      <c r="E24" s="63">
        <v>-1160</v>
      </c>
      <c r="F24" s="63">
        <v>-2174</v>
      </c>
      <c r="G24" s="63">
        <v>-5251</v>
      </c>
      <c r="H24" s="64">
        <v>-3525</v>
      </c>
      <c r="J24" s="26"/>
    </row>
    <row r="25" spans="2:10">
      <c r="B25" s="37" t="s">
        <v>113</v>
      </c>
      <c r="C25" s="61">
        <v>-71</v>
      </c>
      <c r="D25" s="61">
        <v>46</v>
      </c>
      <c r="E25" s="61">
        <v>4</v>
      </c>
      <c r="F25" s="61">
        <v>34</v>
      </c>
      <c r="G25" s="61" t="s">
        <v>138</v>
      </c>
      <c r="H25" s="62" t="s">
        <v>138</v>
      </c>
      <c r="J25" s="27"/>
    </row>
    <row r="26" spans="2:10" ht="14.7" thickBot="1">
      <c r="B26" s="46" t="s">
        <v>115</v>
      </c>
      <c r="C26" s="39">
        <v>248</v>
      </c>
      <c r="D26" s="39">
        <v>49</v>
      </c>
      <c r="E26" s="39">
        <v>-25</v>
      </c>
      <c r="F26" s="39" t="s">
        <v>138</v>
      </c>
      <c r="G26" s="39">
        <v>32</v>
      </c>
      <c r="H26" s="65">
        <v>-918</v>
      </c>
      <c r="J26" s="25"/>
    </row>
    <row r="27" spans="2:10" ht="14.7" thickBot="1">
      <c r="B27" s="40" t="s">
        <v>139</v>
      </c>
      <c r="C27" s="41">
        <v>129672</v>
      </c>
      <c r="D27" s="42">
        <v>102279</v>
      </c>
      <c r="E27" s="42">
        <v>71006</v>
      </c>
      <c r="F27" s="42">
        <v>46888</v>
      </c>
      <c r="G27" s="42">
        <v>37877</v>
      </c>
      <c r="H27" s="66">
        <v>18983</v>
      </c>
      <c r="J27" s="26"/>
    </row>
    <row r="28" spans="2:10" ht="14.7" thickBot="1">
      <c r="B28" s="46" t="s">
        <v>118</v>
      </c>
      <c r="C28" s="39">
        <v>-36385</v>
      </c>
      <c r="D28" s="39">
        <v>-27540</v>
      </c>
      <c r="E28" s="39">
        <v>-19655</v>
      </c>
      <c r="F28" s="39">
        <v>-12480</v>
      </c>
      <c r="G28" s="39">
        <v>-11059</v>
      </c>
      <c r="H28" s="65">
        <v>-6320</v>
      </c>
      <c r="J28" s="25"/>
    </row>
    <row r="29" spans="2:10" ht="14.7" thickBot="1">
      <c r="B29" s="40" t="s">
        <v>140</v>
      </c>
      <c r="C29" s="41">
        <v>93287</v>
      </c>
      <c r="D29" s="42">
        <v>74739</v>
      </c>
      <c r="E29" s="42">
        <v>51351</v>
      </c>
      <c r="F29" s="42">
        <v>34408</v>
      </c>
      <c r="G29" s="42">
        <v>26818</v>
      </c>
      <c r="H29" s="66">
        <v>12663</v>
      </c>
      <c r="J29" s="26"/>
    </row>
    <row r="30" spans="2:10">
      <c r="B30" s="48" t="s">
        <v>141</v>
      </c>
      <c r="C30" s="68"/>
      <c r="D30" s="68"/>
      <c r="E30" s="68"/>
      <c r="F30" s="68"/>
      <c r="G30" s="68"/>
      <c r="H30" s="69"/>
      <c r="J30" s="24"/>
    </row>
    <row r="31" spans="2:10">
      <c r="B31" s="43" t="s">
        <v>142</v>
      </c>
      <c r="C31" s="61">
        <v>92839</v>
      </c>
      <c r="D31" s="61">
        <v>74154</v>
      </c>
      <c r="E31" s="61">
        <v>51007</v>
      </c>
      <c r="F31" s="61">
        <v>34508</v>
      </c>
      <c r="G31" s="61">
        <v>27030</v>
      </c>
      <c r="H31" s="62">
        <v>12436</v>
      </c>
      <c r="J31" s="25"/>
    </row>
    <row r="32" spans="2:10" ht="14.7" thickBot="1">
      <c r="B32" s="38" t="s">
        <v>143</v>
      </c>
      <c r="C32" s="39">
        <v>448</v>
      </c>
      <c r="D32" s="39">
        <v>585</v>
      </c>
      <c r="E32" s="39">
        <v>344</v>
      </c>
      <c r="F32" s="39">
        <v>-100</v>
      </c>
      <c r="G32" s="39">
        <v>-212</v>
      </c>
      <c r="H32" s="65">
        <v>227</v>
      </c>
      <c r="J32" s="24"/>
    </row>
    <row r="33" spans="2:10">
      <c r="B33" s="49"/>
      <c r="C33" s="49"/>
      <c r="D33" s="49"/>
      <c r="E33" s="49"/>
      <c r="F33" s="49"/>
      <c r="G33" s="49"/>
      <c r="H33" s="49"/>
      <c r="J33" s="24"/>
    </row>
    <row r="34" spans="2:10">
      <c r="J34" s="25"/>
    </row>
    <row r="35" spans="2:10">
      <c r="J35" s="25"/>
    </row>
    <row r="46" spans="2:10">
      <c r="B46" s="49"/>
      <c r="C46" s="49"/>
      <c r="D46" s="49"/>
      <c r="E46" s="49"/>
      <c r="F46" s="49"/>
      <c r="G46" s="49"/>
      <c r="H46" s="49"/>
    </row>
    <row r="47" spans="2:10">
      <c r="B47" s="49"/>
      <c r="C47" s="49"/>
      <c r="D47" s="49"/>
      <c r="E47" s="49"/>
      <c r="F47" s="49"/>
      <c r="G47" s="49"/>
      <c r="H47" s="49"/>
    </row>
    <row r="48" spans="2:10">
      <c r="B48" s="94"/>
      <c r="C48" s="49"/>
      <c r="D48" s="49"/>
      <c r="E48" s="49"/>
      <c r="F48" s="49"/>
      <c r="G48" s="49"/>
      <c r="H48" s="49"/>
    </row>
    <row r="49" spans="3:5">
      <c r="C49" s="253"/>
      <c r="D49" s="253"/>
      <c r="E49" s="15"/>
    </row>
    <row r="50" spans="3:5">
      <c r="C50" s="253"/>
      <c r="D50" s="253"/>
      <c r="E50" s="15"/>
    </row>
    <row r="51" spans="3:5">
      <c r="C51" s="253"/>
      <c r="D51" s="253"/>
      <c r="E51" s="15"/>
    </row>
    <row r="52" spans="3:5">
      <c r="C52" s="254"/>
      <c r="D52" s="254"/>
      <c r="E52" s="16"/>
    </row>
    <row r="53" spans="3:5">
      <c r="C53" s="253"/>
      <c r="D53" s="253"/>
      <c r="E53" s="15"/>
    </row>
    <row r="54" spans="3:5">
      <c r="C54" s="253"/>
      <c r="D54" s="253"/>
      <c r="E54" s="15"/>
    </row>
    <row r="55" spans="3:5">
      <c r="C55" s="253"/>
      <c r="D55" s="253"/>
      <c r="E55" s="15"/>
    </row>
    <row r="56" spans="3:5">
      <c r="C56" s="254"/>
      <c r="D56" s="254"/>
      <c r="E56" s="16"/>
    </row>
    <row r="57" spans="3:5">
      <c r="C57" s="253"/>
      <c r="D57" s="253"/>
    </row>
    <row r="58" spans="3:5">
      <c r="C58" s="254"/>
      <c r="D58" s="254"/>
      <c r="E58" s="96"/>
    </row>
    <row r="59" spans="3:5">
      <c r="C59" s="253"/>
      <c r="D59" s="253"/>
      <c r="E59" s="15"/>
    </row>
    <row r="60" spans="3:5">
      <c r="C60" s="95"/>
      <c r="D60" s="95"/>
      <c r="E60" s="15"/>
    </row>
    <row r="61" spans="3:5">
      <c r="C61" s="254"/>
      <c r="D61" s="254"/>
      <c r="E61" s="16"/>
    </row>
    <row r="63" spans="3:5">
      <c r="C63" s="253"/>
      <c r="D63" s="253"/>
      <c r="E63" s="18"/>
    </row>
    <row r="64" spans="3:5">
      <c r="C64" s="253"/>
      <c r="D64" s="253"/>
      <c r="E64" s="97"/>
    </row>
  </sheetData>
  <mergeCells count="14">
    <mergeCell ref="C54:D54"/>
    <mergeCell ref="C49:D49"/>
    <mergeCell ref="C50:D50"/>
    <mergeCell ref="C51:D51"/>
    <mergeCell ref="C52:D52"/>
    <mergeCell ref="C53:D53"/>
    <mergeCell ref="C64:D64"/>
    <mergeCell ref="C59:D59"/>
    <mergeCell ref="C55:D55"/>
    <mergeCell ref="C56:D56"/>
    <mergeCell ref="C57:D57"/>
    <mergeCell ref="C58:D58"/>
    <mergeCell ref="C61:D61"/>
    <mergeCell ref="C63:D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743FD-BA3A-4FB4-900A-113F37586800}">
  <dimension ref="A2:F41"/>
  <sheetViews>
    <sheetView showGridLines="0" topLeftCell="A3" workbookViewId="0">
      <selection activeCell="B23" sqref="B23"/>
    </sheetView>
  </sheetViews>
  <sheetFormatPr defaultColWidth="8.83984375" defaultRowHeight="14.4"/>
  <cols>
    <col min="1" max="1" width="31" customWidth="1"/>
    <col min="2" max="6" width="15" customWidth="1"/>
  </cols>
  <sheetData>
    <row r="2" spans="1:6" ht="27.9" customHeight="1">
      <c r="B2" s="10" t="s">
        <v>193</v>
      </c>
    </row>
    <row r="4" spans="1:6">
      <c r="B4" t="s">
        <v>0</v>
      </c>
      <c r="C4" t="s">
        <v>1</v>
      </c>
      <c r="D4" t="s">
        <v>2</v>
      </c>
      <c r="E4" t="s">
        <v>3</v>
      </c>
      <c r="F4" t="s">
        <v>4</v>
      </c>
    </row>
    <row r="5" spans="1:6">
      <c r="A5" s="79"/>
      <c r="B5" s="3"/>
      <c r="C5" s="3"/>
      <c r="D5" s="3"/>
      <c r="E5" s="3"/>
      <c r="F5" s="3"/>
    </row>
    <row r="6" spans="1:6">
      <c r="A6" s="2" t="s">
        <v>56</v>
      </c>
      <c r="B6" s="4">
        <v>27030</v>
      </c>
      <c r="C6" s="4">
        <v>34508</v>
      </c>
      <c r="D6" s="4">
        <v>51007</v>
      </c>
      <c r="E6" s="4">
        <v>74154</v>
      </c>
      <c r="F6" s="4">
        <v>92839</v>
      </c>
    </row>
    <row r="7" spans="1:6">
      <c r="A7" s="2" t="s">
        <v>5</v>
      </c>
      <c r="B7" s="4">
        <v>10350</v>
      </c>
      <c r="C7" s="4">
        <v>13604</v>
      </c>
      <c r="D7" s="4">
        <v>16064</v>
      </c>
      <c r="E7" s="4">
        <v>19365</v>
      </c>
      <c r="F7" s="4">
        <v>22963</v>
      </c>
    </row>
    <row r="8" spans="1:6">
      <c r="A8" s="2" t="s">
        <v>57</v>
      </c>
      <c r="B8" s="4">
        <v>6518</v>
      </c>
      <c r="C8" s="4">
        <v>6604</v>
      </c>
      <c r="D8" s="4">
        <v>1706</v>
      </c>
      <c r="E8" s="4">
        <v>1593</v>
      </c>
      <c r="F8" s="4">
        <v>1794</v>
      </c>
    </row>
    <row r="9" spans="1:6">
      <c r="A9" s="2" t="s">
        <v>58</v>
      </c>
      <c r="B9" s="4">
        <v>16868</v>
      </c>
      <c r="C9" s="4">
        <v>20208</v>
      </c>
      <c r="D9" s="4">
        <v>17770</v>
      </c>
      <c r="E9" s="4">
        <v>20958</v>
      </c>
      <c r="F9" s="4">
        <v>24757</v>
      </c>
    </row>
    <row r="10" spans="1:6">
      <c r="A10" s="2" t="s">
        <v>59</v>
      </c>
      <c r="B10" s="3" t="s">
        <v>6</v>
      </c>
      <c r="C10" s="3" t="s">
        <v>6</v>
      </c>
      <c r="D10" s="4">
        <v>4670</v>
      </c>
      <c r="E10" s="4">
        <v>5784</v>
      </c>
      <c r="F10" s="4">
        <v>6847</v>
      </c>
    </row>
    <row r="11" spans="1:6">
      <c r="A11" s="2" t="s">
        <v>60</v>
      </c>
      <c r="B11" s="4">
        <v>-7</v>
      </c>
      <c r="C11" s="4">
        <v>-46</v>
      </c>
      <c r="D11" s="4">
        <v>58</v>
      </c>
      <c r="E11" s="4">
        <v>-267</v>
      </c>
      <c r="F11" s="4">
        <v>-987</v>
      </c>
    </row>
    <row r="12" spans="1:6">
      <c r="A12" s="2" t="s">
        <v>61</v>
      </c>
      <c r="B12" s="4">
        <v>-32</v>
      </c>
      <c r="C12" s="4">
        <v>-34</v>
      </c>
      <c r="D12" s="4">
        <v>21</v>
      </c>
      <c r="E12" s="4">
        <v>-95</v>
      </c>
      <c r="F12" s="4">
        <v>-177</v>
      </c>
    </row>
    <row r="13" spans="1:6">
      <c r="A13" s="2" t="s">
        <v>62</v>
      </c>
      <c r="B13" s="3" t="s">
        <v>6</v>
      </c>
      <c r="C13" s="3" t="s">
        <v>6</v>
      </c>
      <c r="D13" s="3" t="s">
        <v>6</v>
      </c>
      <c r="E13" s="4">
        <v>167</v>
      </c>
      <c r="F13" s="3" t="s">
        <v>6</v>
      </c>
    </row>
    <row r="14" spans="1:6">
      <c r="A14" s="2" t="s">
        <v>63</v>
      </c>
      <c r="B14" s="4">
        <v>7310</v>
      </c>
      <c r="C14" s="4">
        <v>3266</v>
      </c>
      <c r="D14" s="4">
        <v>-1965</v>
      </c>
      <c r="E14" s="4">
        <v>8817</v>
      </c>
      <c r="F14" s="4">
        <v>-6178</v>
      </c>
    </row>
    <row r="15" spans="1:6">
      <c r="A15" s="2" t="s">
        <v>64</v>
      </c>
      <c r="B15" s="4">
        <v>18041</v>
      </c>
      <c r="C15" s="4">
        <v>-22013</v>
      </c>
      <c r="D15" s="4">
        <v>-5333</v>
      </c>
      <c r="E15" s="4">
        <v>-54915</v>
      </c>
      <c r="F15" s="4">
        <v>-17675</v>
      </c>
    </row>
    <row r="16" spans="1:6">
      <c r="A16" s="2" t="s">
        <v>65</v>
      </c>
      <c r="B16" s="4">
        <v>-22988</v>
      </c>
      <c r="C16" s="4">
        <v>-19903</v>
      </c>
      <c r="D16" s="4">
        <v>13945</v>
      </c>
      <c r="E16" s="4">
        <v>14825</v>
      </c>
      <c r="F16" s="4">
        <v>-31977</v>
      </c>
    </row>
    <row r="17" spans="1:6">
      <c r="A17" s="2" t="s">
        <v>66</v>
      </c>
      <c r="B17" s="4">
        <v>38870</v>
      </c>
      <c r="C17" s="4">
        <v>-14951</v>
      </c>
      <c r="D17" s="4">
        <v>-17113</v>
      </c>
      <c r="E17" s="4">
        <v>35854</v>
      </c>
      <c r="F17" s="4">
        <v>47833</v>
      </c>
    </row>
    <row r="18" spans="1:6">
      <c r="A18" s="2" t="s">
        <v>67</v>
      </c>
      <c r="B18" s="4">
        <v>-33538</v>
      </c>
      <c r="C18" s="4">
        <v>26714</v>
      </c>
      <c r="D18" s="4">
        <v>56792</v>
      </c>
      <c r="E18" s="4">
        <v>29421</v>
      </c>
      <c r="F18" s="4">
        <v>-6928</v>
      </c>
    </row>
    <row r="19" spans="1:6">
      <c r="A19" s="2" t="s">
        <v>68</v>
      </c>
      <c r="B19" s="4">
        <v>1633</v>
      </c>
      <c r="C19" s="4">
        <v>18250</v>
      </c>
      <c r="D19" s="4">
        <v>-22024</v>
      </c>
      <c r="E19" s="4">
        <v>10408</v>
      </c>
      <c r="F19" s="4">
        <v>8794</v>
      </c>
    </row>
    <row r="20" spans="1:6">
      <c r="A20" s="79" t="s">
        <v>69</v>
      </c>
      <c r="B20" s="1">
        <v>53187</v>
      </c>
      <c r="C20" s="1">
        <v>45999</v>
      </c>
      <c r="D20" s="1">
        <v>97828</v>
      </c>
      <c r="E20" s="1">
        <v>145111</v>
      </c>
      <c r="F20" s="1">
        <v>117148</v>
      </c>
    </row>
    <row r="21" spans="1:6">
      <c r="A21" s="79"/>
      <c r="B21" s="3"/>
      <c r="C21" s="3"/>
      <c r="D21" s="3"/>
      <c r="E21" s="3"/>
      <c r="F21" s="3"/>
    </row>
    <row r="22" spans="1:6">
      <c r="A22" s="2" t="s">
        <v>70</v>
      </c>
      <c r="B22" s="4">
        <v>-35453</v>
      </c>
      <c r="C22" s="4">
        <v>-23038</v>
      </c>
      <c r="D22" s="4">
        <v>-38066</v>
      </c>
      <c r="E22" s="4">
        <v>-36673</v>
      </c>
      <c r="F22" s="4">
        <v>-31997</v>
      </c>
    </row>
    <row r="23" spans="1:6">
      <c r="A23" s="2" t="s">
        <v>71</v>
      </c>
      <c r="B23" s="4">
        <v>59</v>
      </c>
      <c r="C23" s="4">
        <v>258</v>
      </c>
      <c r="D23" s="4">
        <v>135</v>
      </c>
      <c r="E23" s="4">
        <v>273</v>
      </c>
      <c r="F23" s="4">
        <v>212</v>
      </c>
    </row>
    <row r="24" spans="1:6">
      <c r="A24" s="2" t="s">
        <v>72</v>
      </c>
      <c r="B24" s="3" t="s">
        <v>6</v>
      </c>
      <c r="C24" s="3" t="s">
        <v>6</v>
      </c>
      <c r="D24" s="4">
        <v>-55</v>
      </c>
      <c r="E24" s="4">
        <v>-16262</v>
      </c>
      <c r="F24" s="4">
        <v>-20207</v>
      </c>
    </row>
    <row r="25" spans="1:6">
      <c r="A25" s="2" t="s">
        <v>73</v>
      </c>
      <c r="B25" s="4">
        <v>-15994</v>
      </c>
      <c r="C25" s="4">
        <v>-7783</v>
      </c>
      <c r="D25" s="4">
        <v>-11147</v>
      </c>
      <c r="E25" s="4">
        <v>-13279</v>
      </c>
      <c r="F25" s="4">
        <v>-12504</v>
      </c>
    </row>
    <row r="26" spans="1:6">
      <c r="A26" s="2" t="s">
        <v>74</v>
      </c>
      <c r="B26" s="4">
        <v>99</v>
      </c>
      <c r="C26" s="4">
        <v>-522</v>
      </c>
      <c r="D26" s="4">
        <v>-684</v>
      </c>
      <c r="E26" s="4">
        <v>-3494</v>
      </c>
      <c r="F26" s="4">
        <v>7290</v>
      </c>
    </row>
    <row r="27" spans="1:6">
      <c r="A27" s="2" t="s">
        <v>75</v>
      </c>
      <c r="B27" s="4">
        <v>43</v>
      </c>
      <c r="C27" s="4">
        <v>13</v>
      </c>
      <c r="D27" s="4">
        <v>193</v>
      </c>
      <c r="E27" s="4">
        <v>281</v>
      </c>
      <c r="F27" s="4">
        <v>6131</v>
      </c>
    </row>
    <row r="28" spans="1:6">
      <c r="A28" s="79" t="s">
        <v>76</v>
      </c>
      <c r="B28" s="1">
        <v>-51246</v>
      </c>
      <c r="C28" s="1">
        <v>-31072</v>
      </c>
      <c r="D28" s="1">
        <v>-49624</v>
      </c>
      <c r="E28" s="1">
        <v>-69154</v>
      </c>
      <c r="F28" s="1">
        <v>-51075</v>
      </c>
    </row>
    <row r="29" spans="1:6">
      <c r="A29" s="79"/>
      <c r="B29" s="3"/>
      <c r="C29" s="3"/>
      <c r="D29" s="3"/>
      <c r="E29" s="3"/>
      <c r="F29" s="3"/>
    </row>
    <row r="30" spans="1:6">
      <c r="A30" s="2" t="s">
        <v>77</v>
      </c>
      <c r="B30" s="4">
        <v>50885</v>
      </c>
      <c r="C30" s="4">
        <v>47012</v>
      </c>
      <c r="D30" s="4">
        <v>48380</v>
      </c>
      <c r="E30" s="4">
        <v>12345</v>
      </c>
      <c r="F30" s="4">
        <v>27530</v>
      </c>
    </row>
    <row r="31" spans="1:6">
      <c r="A31" s="2" t="s">
        <v>78</v>
      </c>
      <c r="B31" s="4">
        <v>50885</v>
      </c>
      <c r="C31" s="4">
        <v>47012</v>
      </c>
      <c r="D31" s="4">
        <v>48380</v>
      </c>
      <c r="E31" s="4">
        <v>12345</v>
      </c>
      <c r="F31" s="4">
        <v>27530</v>
      </c>
    </row>
    <row r="32" spans="1:6">
      <c r="A32" s="2" t="s">
        <v>79</v>
      </c>
      <c r="B32" s="4">
        <v>-63153</v>
      </c>
      <c r="C32" s="4">
        <v>-31563</v>
      </c>
      <c r="D32" s="4">
        <v>-38638</v>
      </c>
      <c r="E32" s="4">
        <v>-29862</v>
      </c>
      <c r="F32" s="4">
        <v>-34414</v>
      </c>
    </row>
    <row r="33" spans="1:6">
      <c r="A33" s="2" t="s">
        <v>80</v>
      </c>
      <c r="B33" s="4">
        <v>-63153</v>
      </c>
      <c r="C33" s="4">
        <v>-31563</v>
      </c>
      <c r="D33" s="4">
        <v>-38638</v>
      </c>
      <c r="E33" s="4">
        <v>-29862</v>
      </c>
      <c r="F33" s="4">
        <v>-34414</v>
      </c>
    </row>
    <row r="34" spans="1:6">
      <c r="A34" s="2" t="s">
        <v>81</v>
      </c>
      <c r="B34" s="4">
        <v>69660</v>
      </c>
      <c r="C34" s="3" t="s">
        <v>6</v>
      </c>
      <c r="D34" s="4">
        <v>687</v>
      </c>
      <c r="E34" s="4">
        <v>4284</v>
      </c>
      <c r="F34" s="4">
        <v>3400</v>
      </c>
    </row>
    <row r="35" spans="1:6">
      <c r="A35" s="2" t="s">
        <v>82</v>
      </c>
      <c r="B35" s="3" t="s">
        <v>6</v>
      </c>
      <c r="C35" s="4">
        <v>-899</v>
      </c>
      <c r="D35" s="3" t="s">
        <v>6</v>
      </c>
      <c r="E35" s="4">
        <v>-2051</v>
      </c>
      <c r="F35" s="4">
        <v>-3313</v>
      </c>
    </row>
    <row r="36" spans="1:6">
      <c r="A36" s="2" t="s">
        <v>83</v>
      </c>
      <c r="B36" s="4">
        <v>-3800</v>
      </c>
      <c r="C36" s="3" t="s">
        <v>6</v>
      </c>
      <c r="D36" s="4">
        <v>-10331</v>
      </c>
      <c r="E36" s="4">
        <v>-20649</v>
      </c>
      <c r="F36" s="4">
        <v>-22978</v>
      </c>
    </row>
    <row r="37" spans="1:6">
      <c r="A37" s="2" t="s">
        <v>84</v>
      </c>
      <c r="B37" s="4">
        <v>-3800</v>
      </c>
      <c r="C37" s="3" t="s">
        <v>6</v>
      </c>
      <c r="D37" s="4">
        <v>-10331</v>
      </c>
      <c r="E37" s="4">
        <v>-20649</v>
      </c>
      <c r="F37" s="4">
        <v>-22978</v>
      </c>
    </row>
    <row r="38" spans="1:6">
      <c r="A38" s="2" t="s">
        <v>85</v>
      </c>
      <c r="B38" s="4">
        <v>-44079</v>
      </c>
      <c r="C38" s="4">
        <v>4696</v>
      </c>
      <c r="D38" s="4">
        <v>-1389</v>
      </c>
      <c r="E38" s="4">
        <v>-34979</v>
      </c>
      <c r="F38" s="4">
        <v>9891</v>
      </c>
    </row>
    <row r="39" spans="1:6">
      <c r="A39" s="79" t="s">
        <v>86</v>
      </c>
      <c r="B39" s="1">
        <v>9513</v>
      </c>
      <c r="C39" s="1">
        <v>19246</v>
      </c>
      <c r="D39" s="1">
        <v>-1291</v>
      </c>
      <c r="E39" s="1">
        <v>-70912</v>
      </c>
      <c r="F39" s="1">
        <v>-19884</v>
      </c>
    </row>
    <row r="40" spans="1:6">
      <c r="A40" s="79"/>
      <c r="B40" s="3"/>
      <c r="C40" s="3"/>
      <c r="D40" s="3"/>
      <c r="E40" s="3"/>
      <c r="F40" s="3"/>
    </row>
    <row r="41" spans="1:6">
      <c r="A41" s="79" t="s">
        <v>87</v>
      </c>
      <c r="B41" s="1">
        <v>11454</v>
      </c>
      <c r="C41" s="1">
        <v>34173</v>
      </c>
      <c r="D41" s="1">
        <v>46913</v>
      </c>
      <c r="E41" s="1">
        <v>5045</v>
      </c>
      <c r="F41" s="1">
        <v>46189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146A-6F43-477A-A4A8-957CBA6D3499}">
  <dimension ref="B2:J26"/>
  <sheetViews>
    <sheetView showGridLines="0" topLeftCell="A11" workbookViewId="0">
      <selection activeCell="E8" sqref="E8"/>
    </sheetView>
  </sheetViews>
  <sheetFormatPr defaultRowHeight="14.4"/>
  <cols>
    <col min="2" max="2" width="15.47265625" bestFit="1" customWidth="1"/>
    <col min="5" max="5" width="11.9453125" bestFit="1" customWidth="1"/>
    <col min="6" max="6" width="10.3125" bestFit="1" customWidth="1"/>
    <col min="7" max="10" width="9.734375" bestFit="1" customWidth="1"/>
  </cols>
  <sheetData>
    <row r="2" spans="2:10" ht="34.200000000000003">
      <c r="B2" s="10" t="s">
        <v>216</v>
      </c>
    </row>
    <row r="4" spans="2:10">
      <c r="B4" s="28" t="s">
        <v>200</v>
      </c>
      <c r="C4" s="155"/>
      <c r="D4" s="155"/>
      <c r="E4" s="218">
        <v>2023</v>
      </c>
      <c r="F4" s="218">
        <v>2022</v>
      </c>
      <c r="G4" s="218">
        <v>2021</v>
      </c>
      <c r="H4" s="218">
        <v>2020</v>
      </c>
      <c r="I4" s="218">
        <v>2019</v>
      </c>
      <c r="J4" s="218">
        <v>2018</v>
      </c>
    </row>
    <row r="5" spans="2:10">
      <c r="B5" s="144" t="s">
        <v>209</v>
      </c>
      <c r="E5" s="207">
        <f>Income_statement!C5</f>
        <v>896364</v>
      </c>
      <c r="F5" s="207">
        <f>Income_statement!D5</f>
        <v>811034</v>
      </c>
      <c r="G5" s="207">
        <f>Income_statement!E5</f>
        <v>687970</v>
      </c>
      <c r="H5" s="207">
        <f>Income_statement!F5</f>
        <v>548803</v>
      </c>
      <c r="I5" s="207">
        <f>Income_statement!G5</f>
        <v>518991</v>
      </c>
      <c r="J5" s="207">
        <f>Income_statement!H5</f>
        <v>386384</v>
      </c>
    </row>
    <row r="6" spans="2:10">
      <c r="B6" s="144" t="s">
        <v>224</v>
      </c>
      <c r="E6" s="207">
        <f>Income_statement!C7</f>
        <v>854301</v>
      </c>
      <c r="F6" s="207">
        <f>Income_statement!D7</f>
        <v>751132</v>
      </c>
      <c r="G6" s="207">
        <f>Income_statement!E7</f>
        <v>668045</v>
      </c>
      <c r="H6" s="207">
        <f>Income_statement!F7</f>
        <v>527468</v>
      </c>
      <c r="I6" s="207">
        <f>Income_statement!G7</f>
        <v>506244</v>
      </c>
      <c r="J6" s="207">
        <f>Income_statement!H7</f>
        <v>375216</v>
      </c>
    </row>
    <row r="7" spans="2:10">
      <c r="B7" s="144" t="s">
        <v>7</v>
      </c>
      <c r="E7" s="207">
        <f>Income_statement!C19</f>
        <v>157486</v>
      </c>
      <c r="F7" s="207">
        <f>Income_statement!D19</f>
        <v>129638</v>
      </c>
      <c r="G7" s="207">
        <f>Income_statement!E19</f>
        <v>94627</v>
      </c>
      <c r="H7" s="207">
        <f>Income_statement!F19</f>
        <v>69236</v>
      </c>
      <c r="I7" s="207">
        <f>Income_statement!G19</f>
        <v>59964</v>
      </c>
      <c r="J7" s="207">
        <f>Income_statement!H19</f>
        <v>35545</v>
      </c>
    </row>
    <row r="8" spans="2:10">
      <c r="B8" t="s">
        <v>8</v>
      </c>
      <c r="E8" s="207">
        <f>Income_statement!C21</f>
        <v>125882</v>
      </c>
      <c r="F8" s="207">
        <f>Income_statement!D21</f>
        <v>102729</v>
      </c>
      <c r="G8" s="207">
        <f>Income_statement!E21</f>
        <v>72187</v>
      </c>
      <c r="H8" s="207">
        <f>Income_statement!F21</f>
        <v>49028</v>
      </c>
      <c r="I8" s="207">
        <f>Income_statement!G21</f>
        <v>43096</v>
      </c>
      <c r="J8" s="207">
        <f>Income_statement!H21</f>
        <v>23426</v>
      </c>
    </row>
    <row r="9" spans="2:10">
      <c r="B9" t="s">
        <v>201</v>
      </c>
      <c r="E9" s="207">
        <f>Income_statement!C23</f>
        <v>-2518</v>
      </c>
      <c r="F9" s="207">
        <f>Income_statement!D23</f>
        <v>-826</v>
      </c>
      <c r="G9" s="207">
        <f>Income_statement!E23</f>
        <v>-1353</v>
      </c>
      <c r="H9" s="207">
        <f>Income_statement!F23</f>
        <v>-2187</v>
      </c>
      <c r="I9" s="207">
        <f>Income_statement!G23</f>
        <v>-5293</v>
      </c>
      <c r="J9" s="207">
        <f>Income_statement!H23</f>
        <v>-3546</v>
      </c>
    </row>
    <row r="10" spans="2:10">
      <c r="B10" t="s">
        <v>177</v>
      </c>
      <c r="E10" s="207">
        <f>Income_statement!C29</f>
        <v>93287</v>
      </c>
      <c r="F10" s="207">
        <f>Income_statement!D29</f>
        <v>74739</v>
      </c>
      <c r="G10" s="207">
        <f>Income_statement!E29</f>
        <v>51351</v>
      </c>
      <c r="H10" s="207">
        <f>Income_statement!F29</f>
        <v>34408</v>
      </c>
      <c r="I10" s="207">
        <f>Income_statement!G29</f>
        <v>26818</v>
      </c>
      <c r="J10" s="207">
        <f>Income_statement!H29</f>
        <v>12663</v>
      </c>
    </row>
    <row r="12" spans="2:10">
      <c r="B12" s="28" t="s">
        <v>204</v>
      </c>
      <c r="C12" s="155"/>
      <c r="D12" s="155"/>
      <c r="E12" s="155"/>
      <c r="F12" s="155"/>
      <c r="G12" s="155"/>
      <c r="H12" s="155"/>
      <c r="I12" s="155"/>
      <c r="J12" s="155"/>
    </row>
    <row r="13" spans="2:10">
      <c r="B13" t="s">
        <v>210</v>
      </c>
      <c r="E13" s="207">
        <f>Balance_sheet!F45</f>
        <v>-192506</v>
      </c>
      <c r="F13" s="207">
        <f>Balance_sheet!G45</f>
        <v>-146317</v>
      </c>
    </row>
    <row r="14" spans="2:10">
      <c r="B14" t="s">
        <v>122</v>
      </c>
      <c r="E14" s="207">
        <f>SUM(Balance_sheet!F43:F44)</f>
        <v>76065</v>
      </c>
      <c r="F14" s="207">
        <f>SUM(Balance_sheet!G43:G44)</f>
        <v>101439</v>
      </c>
    </row>
    <row r="15" spans="2:10">
      <c r="B15" t="s">
        <v>123</v>
      </c>
      <c r="E15" s="207">
        <f>Balance_sheet!F42</f>
        <v>-24045</v>
      </c>
      <c r="F15" s="207">
        <f>Balance_sheet!G42</f>
        <v>-55459</v>
      </c>
    </row>
    <row r="16" spans="2:10">
      <c r="B16" s="164" t="s">
        <v>90</v>
      </c>
      <c r="C16" s="164"/>
      <c r="D16" s="164"/>
      <c r="E16" s="208">
        <f>SUM(E13:E15)</f>
        <v>-140486</v>
      </c>
      <c r="F16" s="208">
        <f>SUM(F13:F15)</f>
        <v>-100337</v>
      </c>
    </row>
    <row r="17" spans="2:10">
      <c r="B17" t="s">
        <v>212</v>
      </c>
      <c r="E17" s="207">
        <f>Balance_sheet!F40</f>
        <v>359961</v>
      </c>
      <c r="F17" s="207">
        <f>Balance_sheet!G40</f>
        <v>290081</v>
      </c>
    </row>
    <row r="18" spans="2:10">
      <c r="B18" s="164" t="s">
        <v>213</v>
      </c>
      <c r="C18" s="164"/>
      <c r="D18" s="164"/>
      <c r="E18" s="208">
        <f>E17+E16</f>
        <v>219475</v>
      </c>
      <c r="F18" s="208">
        <f>F17+F16</f>
        <v>189744</v>
      </c>
    </row>
    <row r="20" spans="2:10">
      <c r="B20" t="s">
        <v>125</v>
      </c>
      <c r="E20" s="15">
        <f>Balance_sheet!C21-Balance_sheet!C17-Balance_sheet!C20</f>
        <v>353240</v>
      </c>
      <c r="F20" s="15">
        <f>Balance_sheet!D21-Balance_sheet!D17-Balance_sheet!D20</f>
        <v>304251</v>
      </c>
      <c r="G20" s="177">
        <v>258110</v>
      </c>
      <c r="H20" s="177">
        <v>304251</v>
      </c>
      <c r="I20" s="177">
        <v>216476</v>
      </c>
      <c r="J20" s="177">
        <v>200843</v>
      </c>
    </row>
    <row r="21" spans="2:10">
      <c r="B21" t="s">
        <v>126</v>
      </c>
      <c r="E21" s="15">
        <f>Balance_sheet!F27-Balance_sheet!F20</f>
        <v>388157</v>
      </c>
      <c r="F21" s="15">
        <f>Balance_sheet!G27-Balance_sheet!G20</f>
        <v>341215</v>
      </c>
      <c r="G21" s="177">
        <v>260823</v>
      </c>
      <c r="H21" s="177">
        <v>223565</v>
      </c>
      <c r="I21" s="177">
        <v>204929</v>
      </c>
      <c r="J21" s="177">
        <v>183832</v>
      </c>
    </row>
    <row r="22" spans="2:10">
      <c r="B22" s="164" t="s">
        <v>127</v>
      </c>
      <c r="C22" s="164"/>
      <c r="D22" s="164"/>
      <c r="E22" s="178">
        <f>E20-E21</f>
        <v>-34917</v>
      </c>
      <c r="F22" s="178">
        <f t="shared" ref="F22:J22" si="0">F20-F21</f>
        <v>-36964</v>
      </c>
      <c r="G22" s="178">
        <f t="shared" si="0"/>
        <v>-2713</v>
      </c>
      <c r="H22" s="178">
        <f t="shared" si="0"/>
        <v>80686</v>
      </c>
      <c r="I22" s="178">
        <f t="shared" si="0"/>
        <v>11547</v>
      </c>
      <c r="J22" s="178">
        <f t="shared" si="0"/>
        <v>17011</v>
      </c>
    </row>
    <row r="24" spans="2:10">
      <c r="B24" s="28" t="s">
        <v>214</v>
      </c>
      <c r="C24" s="155"/>
      <c r="D24" s="155"/>
      <c r="E24" s="155"/>
      <c r="F24" s="155"/>
      <c r="G24" s="155"/>
      <c r="H24" s="155"/>
      <c r="I24" s="155"/>
      <c r="J24" s="155"/>
    </row>
    <row r="25" spans="2:10">
      <c r="B25" t="s">
        <v>154</v>
      </c>
      <c r="E25" s="177">
        <v>44501</v>
      </c>
      <c r="F25" s="177">
        <v>49952</v>
      </c>
      <c r="G25" s="177">
        <v>49213</v>
      </c>
      <c r="H25" s="177">
        <v>30821</v>
      </c>
      <c r="I25" s="177">
        <v>51449</v>
      </c>
      <c r="J25" s="177">
        <v>46310</v>
      </c>
    </row>
    <row r="26" spans="2:10">
      <c r="B26" t="s">
        <v>215</v>
      </c>
      <c r="E26" s="207">
        <f>-Income_statement!C20</f>
        <v>31604</v>
      </c>
      <c r="F26" s="207">
        <f>-Income_statement!D20</f>
        <v>26909</v>
      </c>
      <c r="G26" s="207">
        <f>-Income_statement!E20</f>
        <v>22440</v>
      </c>
      <c r="H26" s="207">
        <f>-Income_statement!F20</f>
        <v>20208</v>
      </c>
      <c r="I26" s="207">
        <f>-Income_statement!G20</f>
        <v>16868</v>
      </c>
      <c r="J26" s="207">
        <f>-Income_statement!H20</f>
        <v>12119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DD0C-3E8F-4918-A463-B23A82A1D78D}">
  <dimension ref="B2:Q41"/>
  <sheetViews>
    <sheetView showGridLines="0" zoomScale="85" zoomScaleNormal="85" workbookViewId="0">
      <selection activeCell="K10" sqref="K10"/>
    </sheetView>
  </sheetViews>
  <sheetFormatPr defaultColWidth="8.83984375" defaultRowHeight="14.4"/>
  <cols>
    <col min="2" max="2" width="23.47265625" customWidth="1"/>
    <col min="3" max="3" width="13.5234375" customWidth="1"/>
    <col min="4" max="4" width="12.9453125" customWidth="1"/>
    <col min="5" max="5" width="12.15625" customWidth="1"/>
    <col min="6" max="6" width="19.3671875" bestFit="1" customWidth="1"/>
    <col min="7" max="7" width="10.3671875" customWidth="1"/>
    <col min="8" max="8" width="11.26171875" bestFit="1" customWidth="1"/>
    <col min="9" max="9" width="10.3125" bestFit="1" customWidth="1"/>
    <col min="10" max="10" width="11.26171875" bestFit="1" customWidth="1"/>
    <col min="12" max="12" width="9.5234375" bestFit="1" customWidth="1"/>
    <col min="13" max="13" width="13" bestFit="1" customWidth="1"/>
  </cols>
  <sheetData>
    <row r="2" spans="2:13" ht="34.200000000000003">
      <c r="B2" s="10" t="s">
        <v>144</v>
      </c>
      <c r="C2" s="12"/>
      <c r="D2" s="12"/>
    </row>
    <row r="3" spans="2:13" ht="20.5" customHeight="1">
      <c r="E3" s="25"/>
    </row>
    <row r="4" spans="2:13" ht="18.55" customHeight="1">
      <c r="B4" s="145" t="s">
        <v>195</v>
      </c>
      <c r="C4" s="88" t="s">
        <v>8</v>
      </c>
      <c r="D4" s="88" t="s">
        <v>177</v>
      </c>
      <c r="E4" s="88" t="s">
        <v>208</v>
      </c>
      <c r="F4" s="88" t="s">
        <v>194</v>
      </c>
      <c r="G4" s="88" t="s">
        <v>88</v>
      </c>
      <c r="H4" s="88" t="s">
        <v>89</v>
      </c>
      <c r="I4" s="88" t="s">
        <v>90</v>
      </c>
      <c r="J4" s="88" t="s">
        <v>91</v>
      </c>
      <c r="K4" s="88" t="s">
        <v>92</v>
      </c>
      <c r="L4" s="88" t="s">
        <v>93</v>
      </c>
      <c r="M4" s="88" t="s">
        <v>94</v>
      </c>
    </row>
    <row r="5" spans="2:13">
      <c r="B5" s="144" t="s">
        <v>95</v>
      </c>
      <c r="C5" s="173">
        <v>80430</v>
      </c>
      <c r="D5" s="173">
        <v>83050</v>
      </c>
      <c r="E5" s="173">
        <v>839700</v>
      </c>
      <c r="F5" s="57">
        <f>E5+I5</f>
        <v>577380</v>
      </c>
      <c r="G5" s="6">
        <f>C5/F5</f>
        <v>0.13930167307492466</v>
      </c>
      <c r="H5" s="173">
        <v>709730</v>
      </c>
      <c r="I5" s="57">
        <f>H5-J5</f>
        <v>-262320</v>
      </c>
      <c r="J5" s="173">
        <v>972050</v>
      </c>
      <c r="K5" s="6">
        <f>I5/J5</f>
        <v>-0.26986266138573117</v>
      </c>
      <c r="L5" s="156">
        <v>0.85</v>
      </c>
      <c r="M5" s="50">
        <f>L5/(1+K5*(1-WACC!$E$16))</f>
        <v>1.0693110067364939</v>
      </c>
    </row>
    <row r="6" spans="2:13">
      <c r="B6" s="144" t="s">
        <v>96</v>
      </c>
      <c r="C6" s="173">
        <v>41570</v>
      </c>
      <c r="D6" s="173">
        <v>36910</v>
      </c>
      <c r="E6" s="173">
        <v>131140</v>
      </c>
      <c r="F6" s="57">
        <f>E6+I6</f>
        <v>158050</v>
      </c>
      <c r="G6" s="6">
        <f>C6/F6</f>
        <v>0.26301803226826953</v>
      </c>
      <c r="H6" s="173">
        <v>454090</v>
      </c>
      <c r="I6" s="57">
        <f t="shared" ref="I6" si="0">H6-J6</f>
        <v>26910</v>
      </c>
      <c r="J6" s="173">
        <v>427180</v>
      </c>
      <c r="K6" s="6">
        <f>I6/J6</f>
        <v>6.2994522215459522E-2</v>
      </c>
      <c r="L6" s="156">
        <v>0.86</v>
      </c>
      <c r="M6" s="50">
        <f>L6/(1+K6*(1-WACC!$E$16))</f>
        <v>0.82070792142467153</v>
      </c>
    </row>
    <row r="7" spans="2:13">
      <c r="B7" s="146" t="s">
        <v>188</v>
      </c>
      <c r="C7" s="147">
        <f>AVERAGE(C5:C6)</f>
        <v>61000</v>
      </c>
      <c r="D7" s="147">
        <f t="shared" ref="D7:M7" si="1">AVERAGE(D5:D6)</f>
        <v>59980</v>
      </c>
      <c r="E7" s="147">
        <f t="shared" si="1"/>
        <v>485420</v>
      </c>
      <c r="F7" s="147">
        <f t="shared" si="1"/>
        <v>367715</v>
      </c>
      <c r="G7" s="148">
        <f t="shared" si="1"/>
        <v>0.20115985267159708</v>
      </c>
      <c r="H7" s="147">
        <f t="shared" si="1"/>
        <v>581910</v>
      </c>
      <c r="I7" s="147">
        <f t="shared" si="1"/>
        <v>-117705</v>
      </c>
      <c r="J7" s="147">
        <f t="shared" si="1"/>
        <v>699615</v>
      </c>
      <c r="K7" s="148">
        <f t="shared" si="1"/>
        <v>-0.10343406958513582</v>
      </c>
      <c r="L7" s="149">
        <f t="shared" si="1"/>
        <v>0.85499999999999998</v>
      </c>
      <c r="M7" s="154">
        <f t="shared" si="1"/>
        <v>0.94500946408058273</v>
      </c>
    </row>
    <row r="8" spans="2:13">
      <c r="C8" s="57"/>
      <c r="D8" s="57"/>
      <c r="E8" s="57"/>
      <c r="F8" s="57"/>
      <c r="G8" s="6"/>
      <c r="H8" s="57"/>
      <c r="I8" s="57"/>
      <c r="J8" s="57"/>
      <c r="K8" s="6"/>
      <c r="L8" s="6"/>
      <c r="M8" s="6"/>
    </row>
    <row r="9" spans="2:13">
      <c r="B9" s="150" t="s">
        <v>97</v>
      </c>
      <c r="C9" s="174">
        <f>Financial_data!E8</f>
        <v>125882</v>
      </c>
      <c r="D9" s="174">
        <f>Financial_data!E10</f>
        <v>93287</v>
      </c>
      <c r="E9" s="174">
        <f>Financial_data!E17</f>
        <v>359961</v>
      </c>
      <c r="F9" s="174">
        <f>Financial_data!E18</f>
        <v>219475</v>
      </c>
      <c r="G9" s="152">
        <f>C9/F9</f>
        <v>0.57355963093746443</v>
      </c>
      <c r="H9" s="213">
        <f>I9+J9</f>
        <v>908864.67999999993</v>
      </c>
      <c r="I9" s="151">
        <f>E30</f>
        <v>-140486</v>
      </c>
      <c r="J9" s="213">
        <f>E31</f>
        <v>1049350.68</v>
      </c>
      <c r="K9" s="152">
        <f>I9/J9</f>
        <v>-0.13387898123818817</v>
      </c>
      <c r="L9" s="157">
        <v>0.88</v>
      </c>
      <c r="M9" s="153">
        <f>L9/(1+K9*(1-E16))</f>
        <v>0.97968056315820051</v>
      </c>
    </row>
    <row r="10" spans="2:13">
      <c r="B10" s="34"/>
      <c r="E10" s="25"/>
      <c r="F10" s="15"/>
      <c r="H10" s="15"/>
    </row>
    <row r="11" spans="2:13">
      <c r="E11" s="24"/>
    </row>
    <row r="12" spans="2:13">
      <c r="B12" s="28" t="s">
        <v>146</v>
      </c>
      <c r="C12" s="155"/>
      <c r="D12" s="155"/>
      <c r="E12" s="158"/>
    </row>
    <row r="13" spans="2:13">
      <c r="B13" s="144" t="s">
        <v>92</v>
      </c>
      <c r="E13" s="159">
        <f>K9</f>
        <v>-0.13387898123818817</v>
      </c>
    </row>
    <row r="14" spans="2:13">
      <c r="B14" s="144" t="s">
        <v>196</v>
      </c>
      <c r="E14" s="160">
        <v>3.3399999999999999E-2</v>
      </c>
    </row>
    <row r="15" spans="2:13">
      <c r="B15" s="144" t="s">
        <v>198</v>
      </c>
      <c r="E15" s="161">
        <f>M7</f>
        <v>0.94500946408058273</v>
      </c>
    </row>
    <row r="16" spans="2:13">
      <c r="B16" s="144" t="s">
        <v>98</v>
      </c>
      <c r="E16" s="162">
        <v>0.24</v>
      </c>
    </row>
    <row r="17" spans="2:17">
      <c r="B17" s="144" t="s">
        <v>149</v>
      </c>
      <c r="E17" s="72">
        <f>E15*(1+E13*(1-E16))</f>
        <v>0.8488566168038012</v>
      </c>
    </row>
    <row r="18" spans="2:17">
      <c r="B18" s="144" t="s">
        <v>197</v>
      </c>
      <c r="E18" s="160">
        <v>7.8100000000000003E-2</v>
      </c>
    </row>
    <row r="19" spans="2:17">
      <c r="B19" s="163" t="s">
        <v>199</v>
      </c>
      <c r="C19" s="164"/>
      <c r="D19" s="164"/>
      <c r="E19" s="13">
        <f>E14+E17*E18</f>
        <v>9.9695701772376868E-2</v>
      </c>
    </row>
    <row r="20" spans="2:17">
      <c r="G20" s="5"/>
      <c r="H20" s="5"/>
      <c r="I20" s="5"/>
      <c r="J20" s="5"/>
      <c r="K20" s="5"/>
      <c r="L20" s="5"/>
      <c r="M20" s="5"/>
      <c r="N20" s="5"/>
      <c r="O20" s="5"/>
      <c r="P20" s="5"/>
      <c r="Q20" s="5"/>
    </row>
    <row r="21" spans="2:17">
      <c r="B21" s="28" t="s">
        <v>145</v>
      </c>
      <c r="C21" s="155"/>
      <c r="D21" s="155"/>
      <c r="E21" s="155"/>
      <c r="G21" s="5"/>
      <c r="H21" s="5"/>
      <c r="I21" s="5"/>
      <c r="J21" s="5"/>
      <c r="L21" s="5"/>
      <c r="M21" s="5"/>
      <c r="N21" s="5"/>
      <c r="O21" s="5"/>
      <c r="P21" s="5"/>
      <c r="Q21" s="5"/>
    </row>
    <row r="22" spans="2:17">
      <c r="B22" s="144" t="s">
        <v>147</v>
      </c>
      <c r="E22" s="160">
        <f>E14</f>
        <v>3.3399999999999999E-2</v>
      </c>
      <c r="G22" s="5"/>
      <c r="H22" s="5"/>
      <c r="I22" s="5"/>
      <c r="J22" s="5"/>
      <c r="K22" s="137"/>
      <c r="L22" s="94"/>
      <c r="M22" s="138"/>
      <c r="N22" s="5"/>
      <c r="O22" s="5"/>
      <c r="P22" s="5"/>
      <c r="Q22" s="5"/>
    </row>
    <row r="23" spans="2:17">
      <c r="B23" s="144" t="s">
        <v>148</v>
      </c>
      <c r="E23" s="72">
        <f>-Financial_data!E8/Financial_data!E9</f>
        <v>49.992851469420174</v>
      </c>
      <c r="G23" s="5"/>
      <c r="H23" s="5"/>
      <c r="I23" s="5"/>
      <c r="J23" s="5"/>
      <c r="K23" s="137"/>
      <c r="L23" s="94"/>
      <c r="M23" s="138"/>
      <c r="N23" s="5"/>
      <c r="O23" s="5"/>
      <c r="P23" s="5"/>
      <c r="Q23" s="5"/>
    </row>
    <row r="24" spans="2:17">
      <c r="B24" s="144" t="s">
        <v>202</v>
      </c>
      <c r="C24" s="76"/>
      <c r="E24" s="160">
        <v>6.0000000000000001E-3</v>
      </c>
      <c r="G24" s="5"/>
      <c r="H24" s="5"/>
      <c r="I24" s="5"/>
      <c r="J24" s="5"/>
      <c r="K24" s="137"/>
      <c r="L24" s="94"/>
      <c r="M24" s="138"/>
      <c r="N24" s="5"/>
      <c r="O24" s="5"/>
      <c r="P24" s="5"/>
      <c r="Q24" s="5"/>
    </row>
    <row r="25" spans="2:17">
      <c r="B25" s="165" t="s">
        <v>145</v>
      </c>
      <c r="C25" s="164"/>
      <c r="D25" s="164"/>
      <c r="E25" s="13">
        <f>E22+E24</f>
        <v>3.9399999999999998E-2</v>
      </c>
    </row>
    <row r="26" spans="2:17">
      <c r="B26" s="34"/>
      <c r="C26" s="94"/>
      <c r="D26" s="94"/>
    </row>
    <row r="27" spans="2:17">
      <c r="B27" s="28" t="s">
        <v>144</v>
      </c>
      <c r="C27" s="155"/>
      <c r="D27" s="155"/>
      <c r="E27" s="155"/>
    </row>
    <row r="28" spans="2:17">
      <c r="B28" t="s">
        <v>217</v>
      </c>
      <c r="E28" s="214">
        <v>0</v>
      </c>
    </row>
    <row r="29" spans="2:17">
      <c r="B29" s="216" t="s">
        <v>207</v>
      </c>
      <c r="C29" s="216"/>
      <c r="D29" s="216"/>
      <c r="E29" s="217">
        <f>SUM(Financial_data!E14:E15)+E28</f>
        <v>52020</v>
      </c>
    </row>
    <row r="30" spans="2:17">
      <c r="B30" s="164" t="s">
        <v>90</v>
      </c>
      <c r="C30" s="164"/>
      <c r="D30" s="164"/>
      <c r="E30" s="215">
        <f>Financial_data!E16</f>
        <v>-140486</v>
      </c>
    </row>
    <row r="31" spans="2:17">
      <c r="B31" t="s">
        <v>206</v>
      </c>
      <c r="E31" s="166">
        <f>Result!E20</f>
        <v>1049350.68</v>
      </c>
    </row>
    <row r="32" spans="2:17">
      <c r="B32" t="s">
        <v>203</v>
      </c>
      <c r="E32" s="55">
        <f>IF(K9&lt;0, 0, K9/(1+K9))</f>
        <v>0</v>
      </c>
    </row>
    <row r="33" spans="2:5">
      <c r="B33" t="s">
        <v>205</v>
      </c>
      <c r="E33" s="55">
        <f>1-E32</f>
        <v>1</v>
      </c>
    </row>
    <row r="34" spans="2:5">
      <c r="B34" s="163" t="s">
        <v>144</v>
      </c>
      <c r="C34" s="164"/>
      <c r="D34" s="164"/>
      <c r="E34" s="13">
        <f>E33*E19+E32*E25*(1-Tax_rate)</f>
        <v>9.9695701772376868E-2</v>
      </c>
    </row>
    <row r="36" spans="2:5">
      <c r="D36" s="55"/>
    </row>
    <row r="39" spans="2:5">
      <c r="C39" s="167"/>
      <c r="D39" s="167"/>
      <c r="E39" s="167"/>
    </row>
    <row r="40" spans="2:5">
      <c r="B40" s="94"/>
      <c r="C40" s="168"/>
      <c r="D40" s="143"/>
      <c r="E40" s="97"/>
    </row>
    <row r="41" spans="2:5">
      <c r="B41" s="94"/>
      <c r="D41" s="143"/>
      <c r="E41" s="55"/>
    </row>
  </sheetData>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F9473-38D3-4ED9-9A67-D5F11E1A369B}">
  <dimension ref="B2:J30"/>
  <sheetViews>
    <sheetView showGridLines="0" workbookViewId="0">
      <selection activeCell="G12" sqref="G12"/>
    </sheetView>
  </sheetViews>
  <sheetFormatPr defaultColWidth="8.83984375" defaultRowHeight="14.4"/>
  <cols>
    <col min="2" max="2" width="33.15625" customWidth="1"/>
    <col min="3" max="8" width="13.83984375" customWidth="1"/>
    <col min="9" max="9" width="13.3125" customWidth="1"/>
    <col min="10" max="10" width="12.15625" customWidth="1"/>
  </cols>
  <sheetData>
    <row r="2" spans="2:10" ht="34.200000000000003">
      <c r="B2" s="10" t="s">
        <v>150</v>
      </c>
    </row>
    <row r="3" spans="2:10">
      <c r="B3" s="14"/>
    </row>
    <row r="4" spans="2:10">
      <c r="B4" s="145" t="s">
        <v>195</v>
      </c>
      <c r="C4" s="88">
        <v>2023</v>
      </c>
      <c r="D4" s="88">
        <v>2022</v>
      </c>
      <c r="E4" s="88">
        <v>2021</v>
      </c>
      <c r="F4" s="88">
        <v>2020</v>
      </c>
      <c r="G4" s="88">
        <v>2019</v>
      </c>
      <c r="H4" s="88">
        <v>2018</v>
      </c>
      <c r="I4" s="88" t="s">
        <v>188</v>
      </c>
    </row>
    <row r="5" spans="2:10">
      <c r="B5" t="s">
        <v>8</v>
      </c>
      <c r="C5" s="175">
        <f>Financial_data!E8</f>
        <v>125882</v>
      </c>
      <c r="D5" s="175">
        <f>Financial_data!F8</f>
        <v>102729</v>
      </c>
      <c r="E5" s="175">
        <f>Financial_data!G8</f>
        <v>72187</v>
      </c>
      <c r="F5" s="175">
        <f>Financial_data!H8</f>
        <v>49028</v>
      </c>
      <c r="G5" s="175">
        <f>Financial_data!I8</f>
        <v>43096</v>
      </c>
      <c r="H5" s="175">
        <f>Financial_data!J8</f>
        <v>23426</v>
      </c>
    </row>
    <row r="6" spans="2:10">
      <c r="B6" s="164" t="s">
        <v>151</v>
      </c>
      <c r="C6" s="176">
        <f t="shared" ref="C6:H6" si="0">C5*(1-Tax_rate)</f>
        <v>95670.32</v>
      </c>
      <c r="D6" s="176">
        <f t="shared" si="0"/>
        <v>78074.040000000008</v>
      </c>
      <c r="E6" s="176">
        <f t="shared" si="0"/>
        <v>54862.12</v>
      </c>
      <c r="F6" s="176">
        <f t="shared" si="0"/>
        <v>37261.279999999999</v>
      </c>
      <c r="G6" s="176">
        <f t="shared" si="0"/>
        <v>32752.959999999999</v>
      </c>
      <c r="H6" s="176">
        <f t="shared" si="0"/>
        <v>17803.759999999998</v>
      </c>
    </row>
    <row r="7" spans="2:10">
      <c r="B7" t="s">
        <v>215</v>
      </c>
      <c r="C7" s="86">
        <f>Financial_data!E26</f>
        <v>31604</v>
      </c>
      <c r="D7" s="86">
        <f>Financial_data!F26</f>
        <v>26909</v>
      </c>
      <c r="E7" s="86">
        <f>Financial_data!G26</f>
        <v>22440</v>
      </c>
      <c r="F7" s="86">
        <f>Financial_data!H26</f>
        <v>20208</v>
      </c>
      <c r="G7" s="86">
        <f>Financial_data!I26</f>
        <v>16868</v>
      </c>
      <c r="H7" s="86">
        <f>Financial_data!J26</f>
        <v>12119</v>
      </c>
    </row>
    <row r="8" spans="2:10">
      <c r="B8" s="164" t="s">
        <v>152</v>
      </c>
      <c r="C8" s="176">
        <f>C6+C7</f>
        <v>127274.32</v>
      </c>
      <c r="D8" s="176">
        <f t="shared" ref="D8:H8" si="1">D6+D7</f>
        <v>104983.04000000001</v>
      </c>
      <c r="E8" s="176">
        <f t="shared" si="1"/>
        <v>77302.12</v>
      </c>
      <c r="F8" s="176">
        <f t="shared" si="1"/>
        <v>57469.279999999999</v>
      </c>
      <c r="G8" s="176">
        <f t="shared" si="1"/>
        <v>49620.959999999999</v>
      </c>
      <c r="H8" s="176">
        <f t="shared" si="1"/>
        <v>29922.76</v>
      </c>
      <c r="I8" s="176">
        <f>AVERAGE(C8:H8)</f>
        <v>74428.746666666673</v>
      </c>
    </row>
    <row r="9" spans="2:10">
      <c r="B9" t="s">
        <v>153</v>
      </c>
      <c r="C9" s="86">
        <f>Financial_data!E22-Financial_data!F22</f>
        <v>2047</v>
      </c>
      <c r="D9" s="86">
        <f>Financial_data!F22-Financial_data!G22</f>
        <v>-34251</v>
      </c>
      <c r="E9" s="86">
        <f>Financial_data!G22-Financial_data!H22</f>
        <v>-83399</v>
      </c>
      <c r="F9" s="86">
        <f>Financial_data!H22-Financial_data!I22</f>
        <v>69139</v>
      </c>
      <c r="G9" s="86">
        <f>Financial_data!I22-Financial_data!J22</f>
        <v>-5464</v>
      </c>
      <c r="H9" s="86">
        <f>Financial_data!J22-Financial_data!K22</f>
        <v>17011</v>
      </c>
    </row>
    <row r="10" spans="2:10">
      <c r="B10" t="s">
        <v>154</v>
      </c>
      <c r="C10" s="86">
        <f>Financial_data!E25</f>
        <v>44501</v>
      </c>
      <c r="D10" s="86">
        <f>Financial_data!F25</f>
        <v>49952</v>
      </c>
      <c r="E10" s="86">
        <f>Financial_data!G25</f>
        <v>49213</v>
      </c>
      <c r="F10" s="86">
        <f>Financial_data!H25</f>
        <v>30821</v>
      </c>
      <c r="G10" s="86">
        <f>Financial_data!I25</f>
        <v>51449</v>
      </c>
      <c r="H10" s="86">
        <f>Financial_data!J25</f>
        <v>46310</v>
      </c>
    </row>
    <row r="11" spans="2:10">
      <c r="B11" s="163" t="s">
        <v>150</v>
      </c>
      <c r="C11" s="178">
        <f t="shared" ref="C11:H11" si="2">C8-C9-C10</f>
        <v>80726.320000000007</v>
      </c>
      <c r="D11" s="178">
        <f t="shared" si="2"/>
        <v>89282.040000000008</v>
      </c>
      <c r="E11" s="178">
        <f t="shared" si="2"/>
        <v>111488.12</v>
      </c>
      <c r="F11" s="178">
        <f t="shared" si="2"/>
        <v>-42490.720000000001</v>
      </c>
      <c r="G11" s="178">
        <f t="shared" si="2"/>
        <v>3635.9599999999991</v>
      </c>
      <c r="H11" s="178">
        <f t="shared" si="2"/>
        <v>-33398.240000000005</v>
      </c>
      <c r="I11" s="176">
        <f>AVERAGE(C11:H11)</f>
        <v>34873.91333333333</v>
      </c>
    </row>
    <row r="13" spans="2:10">
      <c r="I13" s="88" t="s">
        <v>184</v>
      </c>
      <c r="J13" s="71"/>
    </row>
    <row r="14" spans="2:10">
      <c r="B14" s="179" t="s">
        <v>155</v>
      </c>
      <c r="C14" s="180">
        <f>C11/Income_statement!C9</f>
        <v>9.3253210237643075E-2</v>
      </c>
      <c r="D14" s="180">
        <f>D11/Income_statement!D9</f>
        <v>0.11770186040625198</v>
      </c>
      <c r="E14" s="180">
        <f>E11/Income_statement!E9</f>
        <v>0.16552733125177235</v>
      </c>
      <c r="F14" s="180">
        <f>F11/Income_statement!F9</f>
        <v>-7.9690620334736201E-2</v>
      </c>
      <c r="G14" s="180">
        <f>G11/Income_statement!G9</f>
        <v>7.133683481495577E-3</v>
      </c>
      <c r="H14" s="194">
        <f>H11/Income_statement!H9</f>
        <v>-8.7954914147266416E-2</v>
      </c>
      <c r="I14" s="181">
        <f>MEDIAN(C14:H14)</f>
        <v>5.0193446859569321E-2</v>
      </c>
      <c r="J14" s="71"/>
    </row>
    <row r="15" spans="2:10">
      <c r="B15" s="182" t="s">
        <v>156</v>
      </c>
      <c r="C15" s="70">
        <f>C11/Income_statement!C19</f>
        <v>0.51259362737005199</v>
      </c>
      <c r="D15" s="70">
        <f>D11/Income_statement!D19</f>
        <v>0.68870269519739591</v>
      </c>
      <c r="E15" s="70">
        <f>E11/Income_statement!E19</f>
        <v>1.1781850845953057</v>
      </c>
      <c r="F15" s="70">
        <f>F11/Income_statement!F19</f>
        <v>-0.61370847535963946</v>
      </c>
      <c r="G15" s="70">
        <f>G11/Income_statement!G19</f>
        <v>6.063571476219063E-2</v>
      </c>
      <c r="H15" s="197">
        <f>H11/Income_statement!H19</f>
        <v>-0.93960444506963015</v>
      </c>
      <c r="I15" s="183">
        <f t="shared" ref="I15:I17" si="3">MEDIAN(C15:H15)</f>
        <v>0.28661467106612132</v>
      </c>
      <c r="J15" s="71"/>
    </row>
    <row r="16" spans="2:10">
      <c r="B16" s="182" t="s">
        <v>157</v>
      </c>
      <c r="C16" s="70">
        <f>C11/Income_statement!C21</f>
        <v>0.64128564846443503</v>
      </c>
      <c r="D16" s="70">
        <f>D11/Income_statement!D21</f>
        <v>0.86910259031042847</v>
      </c>
      <c r="E16" s="70">
        <f>E11/Income_statement!E21</f>
        <v>1.5444348705445579</v>
      </c>
      <c r="F16" s="70">
        <f>F11/Income_statement!F21</f>
        <v>-0.86666231541160155</v>
      </c>
      <c r="G16" s="70">
        <f>G11/Income_statement!G21</f>
        <v>8.4368850937441967E-2</v>
      </c>
      <c r="H16" s="197">
        <f>H11/Income_statement!H21</f>
        <v>-1.4256911124391705</v>
      </c>
      <c r="I16" s="183">
        <f t="shared" si="3"/>
        <v>0.36282724970093849</v>
      </c>
      <c r="J16" s="71"/>
    </row>
    <row r="17" spans="2:10">
      <c r="B17" s="184" t="s">
        <v>158</v>
      </c>
      <c r="C17" s="185">
        <f>C11/Income_statement!C29</f>
        <v>0.86535444381317872</v>
      </c>
      <c r="D17" s="185">
        <f>D11/Income_statement!D29</f>
        <v>1.1945843535503553</v>
      </c>
      <c r="E17" s="185">
        <f>E11/Income_statement!E29</f>
        <v>2.1710992969951897</v>
      </c>
      <c r="F17" s="185">
        <f>F11/Income_statement!F29</f>
        <v>-1.2349081608928156</v>
      </c>
      <c r="G17" s="185">
        <f>G11/Income_statement!G29</f>
        <v>0.13557908867178758</v>
      </c>
      <c r="H17" s="198">
        <f>H11/Income_statement!H29</f>
        <v>-2.6374666350785758</v>
      </c>
      <c r="I17" s="186">
        <f t="shared" si="3"/>
        <v>0.5004667662424831</v>
      </c>
    </row>
    <row r="18" spans="2:10">
      <c r="D18" s="17"/>
    </row>
    <row r="19" spans="2:10">
      <c r="B19" s="187" t="s">
        <v>159</v>
      </c>
      <c r="C19" s="188">
        <f>(C8-D8)/D8</f>
        <v>0.21233220146797041</v>
      </c>
      <c r="D19" s="188">
        <f>(D8-E8)/E8</f>
        <v>0.35808746254307144</v>
      </c>
      <c r="E19" s="188">
        <f>(E8-F8)/F8</f>
        <v>0.34510333172783786</v>
      </c>
      <c r="F19" s="188">
        <f>(F8-G8)/G8</f>
        <v>0.15816542041911322</v>
      </c>
      <c r="G19" s="189">
        <f>(G8-H8)/H8</f>
        <v>0.65830157378530596</v>
      </c>
      <c r="H19" s="59"/>
    </row>
    <row r="20" spans="2:10">
      <c r="I20" s="11" t="s">
        <v>160</v>
      </c>
    </row>
    <row r="21" spans="2:10">
      <c r="B21" s="179" t="s">
        <v>161</v>
      </c>
      <c r="C21" s="180">
        <f>C8/Income_statement!C7</f>
        <v>0.1489806520184338</v>
      </c>
      <c r="D21" s="180">
        <f>D8/Income_statement!D7</f>
        <v>0.1397664325311663</v>
      </c>
      <c r="E21" s="180">
        <f>E8/Income_statement!E7</f>
        <v>0.11571394142610153</v>
      </c>
      <c r="F21" s="180">
        <f>F8/Income_statement!F7</f>
        <v>0.10895311184754336</v>
      </c>
      <c r="G21" s="180">
        <f>G8/Income_statement!G7</f>
        <v>9.8017872804418427E-2</v>
      </c>
      <c r="H21" s="194">
        <f>H8/Income_statement!H7</f>
        <v>7.9748091765809562E-2</v>
      </c>
      <c r="I21" s="190">
        <f>AVERAGE(C21:H21)</f>
        <v>0.11519668373224549</v>
      </c>
      <c r="J21" s="23"/>
    </row>
    <row r="22" spans="2:10">
      <c r="B22" s="182" t="s">
        <v>162</v>
      </c>
      <c r="C22" s="71">
        <f>C8/Income_statement!C19</f>
        <v>0.80816275732446063</v>
      </c>
      <c r="D22" s="71">
        <f>D8/Income_statement!D19</f>
        <v>0.8098168746818063</v>
      </c>
      <c r="E22" s="71">
        <f>E8/Income_statement!E19</f>
        <v>0.81691398860790254</v>
      </c>
      <c r="F22" s="71">
        <f>F8/Income_statement!F19</f>
        <v>0.8300491074007742</v>
      </c>
      <c r="G22" s="71">
        <f>G8/Income_statement!G19</f>
        <v>0.82751250750450267</v>
      </c>
      <c r="H22" s="195">
        <f>H8/Income_statement!H19</f>
        <v>0.84182754255169501</v>
      </c>
      <c r="I22" s="191">
        <f>AVERAGE(C22:H22)</f>
        <v>0.82238046301185685</v>
      </c>
      <c r="J22" s="23"/>
    </row>
    <row r="23" spans="2:10">
      <c r="B23" s="182" t="s">
        <v>163</v>
      </c>
      <c r="C23" s="71">
        <f>C8/Income_statement!C21</f>
        <v>1.0110605169921039</v>
      </c>
      <c r="D23" s="71">
        <f>D8/Income_statement!D21</f>
        <v>1.0219416133711028</v>
      </c>
      <c r="E23" s="71">
        <f>E8/Income_statement!E21</f>
        <v>1.0708592959951237</v>
      </c>
      <c r="F23" s="71">
        <f>F8/Income_statement!F21</f>
        <v>1.1721726360447091</v>
      </c>
      <c r="G23" s="71">
        <f>G8/Income_statement!G21</f>
        <v>1.1514052348245776</v>
      </c>
      <c r="H23" s="195">
        <f>H8/Income_statement!H21</f>
        <v>1.2773311704943224</v>
      </c>
      <c r="I23" s="191">
        <f>AVERAGE(C23:H23)</f>
        <v>1.1174617446203232</v>
      </c>
      <c r="J23" s="23"/>
    </row>
    <row r="24" spans="2:10">
      <c r="B24" s="184" t="s">
        <v>164</v>
      </c>
      <c r="C24" s="192">
        <f>C8/Income_statement!C29</f>
        <v>1.3643307213223708</v>
      </c>
      <c r="D24" s="192">
        <f>D8/Income_statement!D29</f>
        <v>1.4046620907424505</v>
      </c>
      <c r="E24" s="192">
        <f>E8/Income_statement!E29</f>
        <v>1.5053673735662401</v>
      </c>
      <c r="F24" s="192">
        <f>F8/Income_statement!F29</f>
        <v>1.6702301790281329</v>
      </c>
      <c r="G24" s="192">
        <f>G8/Income_statement!G29</f>
        <v>1.8502856290551122</v>
      </c>
      <c r="H24" s="196">
        <f>H8/Income_statement!H29</f>
        <v>2.3630071862907682</v>
      </c>
      <c r="I24" s="193">
        <f>AVERAGE(C24:H24)</f>
        <v>1.692980530000846</v>
      </c>
      <c r="J24" s="23"/>
    </row>
    <row r="27" spans="2:10">
      <c r="C27" s="23">
        <f t="shared" ref="C27:F28" si="4">C21-D21</f>
        <v>9.2142194872674998E-3</v>
      </c>
      <c r="D27" s="23">
        <f t="shared" si="4"/>
        <v>2.4052491105064772E-2</v>
      </c>
      <c r="E27" s="23">
        <f t="shared" si="4"/>
        <v>6.7608295785581696E-3</v>
      </c>
      <c r="F27" s="23">
        <f t="shared" si="4"/>
        <v>1.0935239043124934E-2</v>
      </c>
      <c r="G27" s="23">
        <f>G21-H21</f>
        <v>1.8269781038608865E-2</v>
      </c>
      <c r="H27">
        <v>0</v>
      </c>
      <c r="I27" s="23">
        <f>AVERAGE(C27:G27)</f>
        <v>1.3846512050524848E-2</v>
      </c>
    </row>
    <row r="28" spans="2:10">
      <c r="C28" s="23">
        <f t="shared" si="4"/>
        <v>-1.6541173573456636E-3</v>
      </c>
      <c r="D28" s="23">
        <f t="shared" si="4"/>
        <v>-7.0971139260962435E-3</v>
      </c>
      <c r="E28" s="23">
        <f t="shared" si="4"/>
        <v>-1.3135118792871658E-2</v>
      </c>
      <c r="F28" s="23">
        <f t="shared" si="4"/>
        <v>2.5365998962715297E-3</v>
      </c>
      <c r="G28" s="23">
        <f>G22-H22</f>
        <v>-1.4315035047192337E-2</v>
      </c>
      <c r="H28">
        <v>0</v>
      </c>
      <c r="I28" s="23">
        <f t="shared" ref="I28:I30" si="5">AVERAGE(C28:G28)</f>
        <v>-6.7329570454468749E-3</v>
      </c>
    </row>
    <row r="29" spans="2:10">
      <c r="C29" s="23">
        <f t="shared" ref="C29:G29" si="6">C23-D23</f>
        <v>-1.0881096378998922E-2</v>
      </c>
      <c r="D29" s="23">
        <f t="shared" si="6"/>
        <v>-4.8917682624020964E-2</v>
      </c>
      <c r="E29" s="23">
        <f t="shared" si="6"/>
        <v>-0.10131334004958537</v>
      </c>
      <c r="F29" s="23">
        <f t="shared" si="6"/>
        <v>2.0767401220131543E-2</v>
      </c>
      <c r="G29" s="23">
        <f t="shared" si="6"/>
        <v>-0.12592593566974486</v>
      </c>
      <c r="H29">
        <v>0</v>
      </c>
      <c r="I29" s="23">
        <f t="shared" si="5"/>
        <v>-5.3254130700443714E-2</v>
      </c>
    </row>
    <row r="30" spans="2:10">
      <c r="C30" s="23">
        <f t="shared" ref="C30:G30" si="7">C24-D24</f>
        <v>-4.0331369420079755E-2</v>
      </c>
      <c r="D30" s="23">
        <f t="shared" si="7"/>
        <v>-0.10070528282378954</v>
      </c>
      <c r="E30" s="23">
        <f t="shared" si="7"/>
        <v>-0.1648628054618928</v>
      </c>
      <c r="F30" s="23">
        <f t="shared" si="7"/>
        <v>-0.18005545002697931</v>
      </c>
      <c r="G30" s="23">
        <f t="shared" si="7"/>
        <v>-0.51272155723565604</v>
      </c>
      <c r="H30">
        <v>0</v>
      </c>
      <c r="I30" s="23">
        <f t="shared" si="5"/>
        <v>-0.19973529299367948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9079-348E-4DC1-993D-58C2D2F38644}">
  <dimension ref="A2:P76"/>
  <sheetViews>
    <sheetView showGridLines="0" topLeftCell="A6" zoomScale="85" zoomScaleNormal="85" workbookViewId="0">
      <selection activeCell="G28" sqref="G28"/>
    </sheetView>
  </sheetViews>
  <sheetFormatPr defaultColWidth="8.83984375" defaultRowHeight="14.4"/>
  <cols>
    <col min="1" max="1" width="13.83984375" customWidth="1"/>
    <col min="4" max="4" width="30.15625" customWidth="1"/>
    <col min="5" max="5" width="14.83984375" customWidth="1"/>
    <col min="6" max="6" width="10.15625" customWidth="1"/>
    <col min="7" max="16" width="11.26171875" bestFit="1" customWidth="1"/>
    <col min="18" max="18" width="13.47265625" customWidth="1"/>
  </cols>
  <sheetData>
    <row r="2" spans="1:16" ht="41.4" customHeight="1">
      <c r="B2" s="10" t="s">
        <v>190</v>
      </c>
    </row>
    <row r="3" spans="1:16">
      <c r="F3" s="200">
        <v>1</v>
      </c>
      <c r="G3" s="201">
        <f t="shared" ref="G3:O3" si="0">F3+1</f>
        <v>2</v>
      </c>
      <c r="H3" s="201">
        <f t="shared" si="0"/>
        <v>3</v>
      </c>
      <c r="I3" s="201">
        <f t="shared" si="0"/>
        <v>4</v>
      </c>
      <c r="J3" s="201">
        <f t="shared" si="0"/>
        <v>5</v>
      </c>
      <c r="K3" s="201">
        <f t="shared" si="0"/>
        <v>6</v>
      </c>
      <c r="L3" s="201">
        <f t="shared" si="0"/>
        <v>7</v>
      </c>
      <c r="M3" s="201">
        <f t="shared" si="0"/>
        <v>8</v>
      </c>
      <c r="N3" s="201">
        <f t="shared" si="0"/>
        <v>9</v>
      </c>
      <c r="O3" s="201">
        <f t="shared" si="0"/>
        <v>10</v>
      </c>
      <c r="P3" s="202">
        <f>O3</f>
        <v>10</v>
      </c>
    </row>
    <row r="4" spans="1:16">
      <c r="A4" s="199" t="s">
        <v>165</v>
      </c>
      <c r="B4" s="199"/>
      <c r="D4" s="145" t="s">
        <v>195</v>
      </c>
      <c r="E4" s="88">
        <v>2023</v>
      </c>
      <c r="F4" s="88">
        <v>2024</v>
      </c>
      <c r="G4" s="88">
        <v>2025</v>
      </c>
      <c r="H4" s="88">
        <v>2026</v>
      </c>
      <c r="I4" s="88">
        <v>2027</v>
      </c>
      <c r="J4" s="88">
        <v>2028</v>
      </c>
      <c r="K4" s="88">
        <v>2029</v>
      </c>
      <c r="L4" s="88">
        <v>2030</v>
      </c>
      <c r="M4" s="88">
        <v>2031</v>
      </c>
      <c r="N4" s="88">
        <v>2032</v>
      </c>
      <c r="O4" s="88">
        <v>2033</v>
      </c>
      <c r="P4" s="88" t="s">
        <v>167</v>
      </c>
    </row>
    <row r="5" spans="1:16">
      <c r="A5" s="179" t="s">
        <v>168</v>
      </c>
      <c r="B5" s="87">
        <v>2.6790719703934096E-2</v>
      </c>
      <c r="D5" t="s">
        <v>150</v>
      </c>
      <c r="E5" s="177">
        <f>FCFF!C11</f>
        <v>80726.320000000007</v>
      </c>
      <c r="F5" s="15">
        <f t="shared" ref="F5:O5" si="1">E5*(1+E6)</f>
        <v>82889.036211850093</v>
      </c>
      <c r="G5" s="15">
        <f t="shared" si="1"/>
        <v>85109.693147531012</v>
      </c>
      <c r="H5" s="15">
        <f t="shared" si="1"/>
        <v>87389.843080734354</v>
      </c>
      <c r="I5" s="15">
        <f t="shared" si="1"/>
        <v>89731.079871681097</v>
      </c>
      <c r="J5" s="15">
        <f t="shared" si="1"/>
        <v>92135.040081254629</v>
      </c>
      <c r="K5" s="15">
        <f t="shared" si="1"/>
        <v>94603.404114982259</v>
      </c>
      <c r="L5" s="15">
        <f t="shared" si="1"/>
        <v>97137.897397664754</v>
      </c>
      <c r="M5" s="15">
        <f t="shared" si="1"/>
        <v>99740.291579475102</v>
      </c>
      <c r="N5" s="15">
        <f t="shared" si="1"/>
        <v>102412.40577436947</v>
      </c>
      <c r="O5" s="15">
        <f t="shared" si="1"/>
        <v>105156.10783167617</v>
      </c>
      <c r="P5" s="15">
        <f>(O5*(1+B7))/(B6-B7)</f>
        <v>1184088.7223282885</v>
      </c>
    </row>
    <row r="6" spans="1:16">
      <c r="A6" s="182" t="s">
        <v>144</v>
      </c>
      <c r="B6" s="93">
        <f>WACC!E34</f>
        <v>9.9695701772376868E-2</v>
      </c>
      <c r="D6" t="s">
        <v>169</v>
      </c>
      <c r="E6" s="55">
        <f>B5</f>
        <v>2.6790719703934096E-2</v>
      </c>
      <c r="F6" s="55">
        <f t="shared" ref="F6:N6" si="2">E6</f>
        <v>2.6790719703934096E-2</v>
      </c>
      <c r="G6" s="55">
        <f t="shared" si="2"/>
        <v>2.6790719703934096E-2</v>
      </c>
      <c r="H6" s="55">
        <f t="shared" si="2"/>
        <v>2.6790719703934096E-2</v>
      </c>
      <c r="I6" s="55">
        <f t="shared" si="2"/>
        <v>2.6790719703934096E-2</v>
      </c>
      <c r="J6" s="55">
        <f t="shared" si="2"/>
        <v>2.6790719703934096E-2</v>
      </c>
      <c r="K6" s="55">
        <f t="shared" si="2"/>
        <v>2.6790719703934096E-2</v>
      </c>
      <c r="L6" s="55">
        <f t="shared" si="2"/>
        <v>2.6790719703934096E-2</v>
      </c>
      <c r="M6" s="55">
        <f t="shared" si="2"/>
        <v>2.6790719703934096E-2</v>
      </c>
      <c r="N6" s="55">
        <f t="shared" si="2"/>
        <v>2.6790719703934096E-2</v>
      </c>
      <c r="O6" s="89"/>
      <c r="P6" s="89"/>
    </row>
    <row r="7" spans="1:16">
      <c r="A7" s="184" t="s">
        <v>170</v>
      </c>
      <c r="B7" s="92">
        <v>0.01</v>
      </c>
      <c r="D7" t="s">
        <v>171</v>
      </c>
      <c r="F7" s="21">
        <f t="shared" ref="F7:P7" si="3">(1+$B$6)^F$3</f>
        <v>1.099695701772377</v>
      </c>
      <c r="G7" s="21">
        <f t="shared" si="3"/>
        <v>1.2093306364966407</v>
      </c>
      <c r="H7" s="21">
        <f t="shared" si="3"/>
        <v>1.3298957029770087</v>
      </c>
      <c r="I7" s="21">
        <f t="shared" si="3"/>
        <v>1.4624805883693703</v>
      </c>
      <c r="J7" s="21">
        <f t="shared" si="3"/>
        <v>1.6082836169553334</v>
      </c>
      <c r="K7" s="21">
        <f t="shared" si="3"/>
        <v>1.7686225807967122</v>
      </c>
      <c r="L7" s="21">
        <f t="shared" si="3"/>
        <v>1.944946650159713</v>
      </c>
      <c r="M7" s="21">
        <f t="shared" si="3"/>
        <v>2.1388494713572195</v>
      </c>
      <c r="N7" s="21">
        <f t="shared" si="3"/>
        <v>2.352083570389655</v>
      </c>
      <c r="O7" s="21">
        <f t="shared" si="3"/>
        <v>2.5865761925669299</v>
      </c>
      <c r="P7" s="21">
        <f t="shared" si="3"/>
        <v>2.5865761925669299</v>
      </c>
    </row>
    <row r="8" spans="1:16">
      <c r="D8" s="164" t="s">
        <v>172</v>
      </c>
      <c r="E8" s="164"/>
      <c r="F8" s="176">
        <f t="shared" ref="F8:P8" si="4">F5/F7</f>
        <v>75374.520495313409</v>
      </c>
      <c r="G8" s="176">
        <f t="shared" si="4"/>
        <v>70377.521728953099</v>
      </c>
      <c r="H8" s="176">
        <f t="shared" si="4"/>
        <v>65711.801974477959</v>
      </c>
      <c r="I8" s="176">
        <f t="shared" si="4"/>
        <v>61355.398892322417</v>
      </c>
      <c r="J8" s="176">
        <f t="shared" si="4"/>
        <v>57287.806149313947</v>
      </c>
      <c r="K8" s="176">
        <f t="shared" si="4"/>
        <v>53489.876891861364</v>
      </c>
      <c r="L8" s="176">
        <f t="shared" si="4"/>
        <v>49943.733618445571</v>
      </c>
      <c r="M8" s="176">
        <f t="shared" si="4"/>
        <v>46632.684027167335</v>
      </c>
      <c r="N8" s="176">
        <f t="shared" si="4"/>
        <v>43541.142442231954</v>
      </c>
      <c r="O8" s="176">
        <f t="shared" si="4"/>
        <v>40654.556449512034</v>
      </c>
      <c r="P8" s="176">
        <f t="shared" si="4"/>
        <v>457782.27052851417</v>
      </c>
    </row>
    <row r="10" spans="1:16" ht="14.7" thickBot="1"/>
    <row r="11" spans="1:16">
      <c r="D11" s="73" t="s">
        <v>173</v>
      </c>
      <c r="E11" s="91">
        <f>E12/E18</f>
        <v>30.000018102569296</v>
      </c>
      <c r="H11" s="255" t="s">
        <v>174</v>
      </c>
      <c r="I11" s="255"/>
      <c r="L11" s="54" t="s">
        <v>170</v>
      </c>
    </row>
    <row r="12" spans="1:16">
      <c r="D12" s="74" t="s">
        <v>175</v>
      </c>
      <c r="E12" s="78">
        <f>E14-E13</f>
        <v>1049351.3131981133</v>
      </c>
      <c r="I12" s="20">
        <f>E11</f>
        <v>30.000018102569296</v>
      </c>
      <c r="J12" s="23">
        <v>5.0000000000000001E-3</v>
      </c>
      <c r="K12" s="23">
        <v>7.4999999999999997E-3</v>
      </c>
      <c r="L12" s="23">
        <v>0.01</v>
      </c>
      <c r="M12" s="23">
        <v>1.2500000000000001E-2</v>
      </c>
      <c r="N12" s="23">
        <v>1.4999999999999999E-2</v>
      </c>
    </row>
    <row r="13" spans="1:16">
      <c r="D13" s="74" t="s">
        <v>90</v>
      </c>
      <c r="E13" s="239">
        <f>E21</f>
        <v>-27200</v>
      </c>
      <c r="I13" s="55">
        <f>I14+0.005</f>
        <v>0.10970000000000001</v>
      </c>
      <c r="J13" s="170">
        <f t="dataTable" ref="J13:N17" dt2D="1" dtr="1" r1="B7" r2="B6"/>
        <v>26.402374907320134</v>
      </c>
      <c r="K13" s="170">
        <v>26.677624868502967</v>
      </c>
      <c r="L13" s="170">
        <v>26.966678739474315</v>
      </c>
      <c r="M13" s="170">
        <v>27.270601636730184</v>
      </c>
      <c r="N13" s="170">
        <v>27.590571149469476</v>
      </c>
      <c r="O13" s="20"/>
    </row>
    <row r="14" spans="1:16" ht="14.7" thickBot="1">
      <c r="D14" s="75" t="s">
        <v>235</v>
      </c>
      <c r="E14" s="82">
        <f>SUM(F8:P8)</f>
        <v>1022151.3131981132</v>
      </c>
      <c r="I14" s="55">
        <f>I15+0.005</f>
        <v>0.1047</v>
      </c>
      <c r="J14" s="170">
        <v>27.751974940583082</v>
      </c>
      <c r="K14" s="171">
        <v>28.068504671729592</v>
      </c>
      <c r="L14" s="171">
        <v>28.401746637889119</v>
      </c>
      <c r="M14" s="171">
        <v>28.753060294187449</v>
      </c>
      <c r="N14" s="170">
        <v>29.12395665150575</v>
      </c>
    </row>
    <row r="15" spans="1:16">
      <c r="E15" s="19"/>
      <c r="H15" s="54" t="s">
        <v>144</v>
      </c>
      <c r="I15" s="56">
        <v>9.9699999999999997E-2</v>
      </c>
      <c r="J15" s="170">
        <v>29.246261791730902</v>
      </c>
      <c r="K15" s="171">
        <v>29.612215534001798</v>
      </c>
      <c r="L15" s="172">
        <v>29.998568035596602</v>
      </c>
      <c r="M15" s="171">
        <v>30.407073776961745</v>
      </c>
      <c r="N15" s="170">
        <v>30.839694379092247</v>
      </c>
    </row>
    <row r="16" spans="1:16" ht="14.7" thickBot="1">
      <c r="I16" s="55">
        <f>I15-0.005</f>
        <v>9.4699999999999993E-2</v>
      </c>
      <c r="J16" s="170">
        <v>30.909523286384239</v>
      </c>
      <c r="K16" s="171">
        <v>31.335131624302175</v>
      </c>
      <c r="L16" s="171">
        <v>31.785864421365204</v>
      </c>
      <c r="M16" s="171">
        <v>32.264014055232551</v>
      </c>
      <c r="N16" s="170">
        <v>32.772160529367618</v>
      </c>
    </row>
    <row r="17" spans="4:16">
      <c r="D17" s="73" t="e" vm="1">
        <v>#VALUE!</v>
      </c>
      <c r="E17" s="169"/>
      <c r="H17" s="18"/>
      <c r="I17" s="55">
        <f>I16-0.005</f>
        <v>8.9699999999999988E-2</v>
      </c>
      <c r="J17" s="170">
        <v>32.771786933609121</v>
      </c>
      <c r="K17" s="170">
        <v>33.27004843490829</v>
      </c>
      <c r="L17" s="170">
        <v>33.799568499651578</v>
      </c>
      <c r="M17" s="170">
        <v>34.363383905375656</v>
      </c>
      <c r="N17" s="170">
        <v>34.964937959407898</v>
      </c>
    </row>
    <row r="18" spans="4:16" ht="14.7" thickBot="1">
      <c r="D18" s="74" t="s">
        <v>189</v>
      </c>
      <c r="E18" s="90">
        <v>34978.356</v>
      </c>
      <c r="I18" s="51"/>
      <c r="J18" s="52"/>
      <c r="K18" s="52"/>
      <c r="L18" s="52"/>
      <c r="M18" s="53"/>
    </row>
    <row r="19" spans="4:16">
      <c r="D19" s="74" t="s">
        <v>176</v>
      </c>
      <c r="E19" s="84">
        <v>30</v>
      </c>
    </row>
    <row r="20" spans="4:16">
      <c r="D20" s="74" t="s">
        <v>234</v>
      </c>
      <c r="E20" s="78">
        <f>E19*E18</f>
        <v>1049350.68</v>
      </c>
    </row>
    <row r="21" spans="4:16">
      <c r="D21" s="74" t="s">
        <v>90</v>
      </c>
      <c r="E21" s="240">
        <v>-27200</v>
      </c>
    </row>
    <row r="22" spans="4:16" ht="14.7" thickBot="1">
      <c r="D22" s="75" t="s">
        <v>235</v>
      </c>
      <c r="E22" s="82">
        <f>E20+E21</f>
        <v>1022150.6799999999</v>
      </c>
    </row>
    <row r="25" spans="4:16">
      <c r="D25" s="145" t="s">
        <v>166</v>
      </c>
      <c r="E25" s="88">
        <v>2023</v>
      </c>
      <c r="F25" s="88">
        <v>2024</v>
      </c>
      <c r="G25" s="88">
        <v>2025</v>
      </c>
      <c r="H25" s="88">
        <v>2026</v>
      </c>
      <c r="I25" s="88">
        <v>2027</v>
      </c>
      <c r="J25" s="88">
        <v>2028</v>
      </c>
      <c r="K25" s="88">
        <v>2029</v>
      </c>
      <c r="L25" s="88">
        <v>2030</v>
      </c>
      <c r="M25" s="88">
        <v>2031</v>
      </c>
      <c r="N25" s="88">
        <v>2032</v>
      </c>
      <c r="O25" s="88">
        <v>2033</v>
      </c>
      <c r="P25" s="167"/>
    </row>
    <row r="26" spans="4:16">
      <c r="D26" s="227" t="s">
        <v>221</v>
      </c>
      <c r="E26" s="176">
        <v>840200</v>
      </c>
      <c r="F26" s="176">
        <v>890000</v>
      </c>
      <c r="G26" s="176">
        <f>F26*(1+G27)</f>
        <v>934500</v>
      </c>
      <c r="H26" s="176">
        <f t="shared" ref="H26:O28" si="5">G26*(1+H27)</f>
        <v>927598.74745839753</v>
      </c>
      <c r="I26" s="176">
        <f t="shared" si="5"/>
        <v>920748.46044557297</v>
      </c>
      <c r="J26" s="176">
        <f t="shared" si="5"/>
        <v>913948.76258273027</v>
      </c>
      <c r="K26" s="176">
        <f t="shared" si="5"/>
        <v>907199.2802706185</v>
      </c>
      <c r="L26" s="176">
        <f t="shared" si="5"/>
        <v>900499.64266900532</v>
      </c>
      <c r="M26" s="176">
        <f t="shared" si="5"/>
        <v>893849.48167630169</v>
      </c>
      <c r="N26" s="176">
        <f t="shared" si="5"/>
        <v>887248.43190933694</v>
      </c>
      <c r="O26" s="176">
        <f t="shared" si="5"/>
        <v>880696.13068328332</v>
      </c>
    </row>
    <row r="27" spans="4:16">
      <c r="D27" s="228" t="s">
        <v>220</v>
      </c>
      <c r="E27" s="230">
        <v>0.13400000000000001</v>
      </c>
      <c r="F27" s="229">
        <f>(F26-E26)/E26</f>
        <v>5.9271601999523922E-2</v>
      </c>
      <c r="G27" s="230">
        <v>0.05</v>
      </c>
      <c r="H27" s="230">
        <v>-7.3849679417896611E-3</v>
      </c>
      <c r="I27" s="247">
        <f>H27</f>
        <v>-7.3849679417896611E-3</v>
      </c>
      <c r="J27" s="247">
        <f t="shared" ref="J27:O27" si="6">I27</f>
        <v>-7.3849679417896611E-3</v>
      </c>
      <c r="K27" s="247">
        <f t="shared" si="6"/>
        <v>-7.3849679417896611E-3</v>
      </c>
      <c r="L27" s="247">
        <f t="shared" si="6"/>
        <v>-7.3849679417896611E-3</v>
      </c>
      <c r="M27" s="247">
        <f t="shared" si="6"/>
        <v>-7.3849679417896611E-3</v>
      </c>
      <c r="N27" s="247">
        <f t="shared" si="6"/>
        <v>-7.3849679417896611E-3</v>
      </c>
      <c r="O27" s="247">
        <f t="shared" si="6"/>
        <v>-7.3849679417896611E-3</v>
      </c>
    </row>
    <row r="28" spans="4:16">
      <c r="D28" s="225" t="s">
        <v>225</v>
      </c>
      <c r="E28" s="214">
        <v>0</v>
      </c>
      <c r="F28" s="214">
        <v>35000</v>
      </c>
      <c r="G28" s="207">
        <f>F28/5*12</f>
        <v>84000</v>
      </c>
      <c r="H28" s="15">
        <f t="shared" si="5"/>
        <v>85680</v>
      </c>
      <c r="I28" s="15">
        <f t="shared" ref="I28" si="7">H28*(1+I29)</f>
        <v>87393.600000000006</v>
      </c>
      <c r="J28" s="15">
        <f t="shared" ref="J28" si="8">I28*(1+J29)</f>
        <v>89141.472000000009</v>
      </c>
      <c r="K28" s="15">
        <f t="shared" ref="K28" si="9">J28*(1+K29)</f>
        <v>90924.30144000001</v>
      </c>
      <c r="L28" s="15">
        <f t="shared" ref="L28" si="10">K28*(1+L29)</f>
        <v>92742.787468800016</v>
      </c>
      <c r="M28" s="15">
        <f t="shared" ref="M28" si="11">L28*(1+M29)</f>
        <v>94597.643218176017</v>
      </c>
      <c r="N28" s="15">
        <f t="shared" ref="N28" si="12">M28*(1+N29)</f>
        <v>96489.596082539545</v>
      </c>
      <c r="O28" s="15">
        <f t="shared" ref="O28" si="13">N28*(1+O29)</f>
        <v>98419.388004190332</v>
      </c>
    </row>
    <row r="29" spans="4:16">
      <c r="D29" s="228" t="s">
        <v>226</v>
      </c>
      <c r="E29" s="229"/>
      <c r="F29" s="229"/>
      <c r="G29" s="229"/>
      <c r="H29" s="230">
        <v>0.02</v>
      </c>
      <c r="I29" s="247">
        <f>H29</f>
        <v>0.02</v>
      </c>
      <c r="J29" s="247">
        <f t="shared" ref="J29:O29" si="14">I29</f>
        <v>0.02</v>
      </c>
      <c r="K29" s="247">
        <f t="shared" si="14"/>
        <v>0.02</v>
      </c>
      <c r="L29" s="247">
        <f t="shared" si="14"/>
        <v>0.02</v>
      </c>
      <c r="M29" s="247">
        <f t="shared" si="14"/>
        <v>0.02</v>
      </c>
      <c r="N29" s="247">
        <f t="shared" si="14"/>
        <v>0.02</v>
      </c>
      <c r="O29" s="247">
        <f t="shared" si="14"/>
        <v>0.02</v>
      </c>
    </row>
    <row r="30" spans="4:16">
      <c r="D30" s="227" t="s">
        <v>229</v>
      </c>
      <c r="E30" s="176">
        <f>E26+E28</f>
        <v>840200</v>
      </c>
      <c r="F30" s="176">
        <f t="shared" ref="F30:O30" si="15">F26+F28</f>
        <v>925000</v>
      </c>
      <c r="G30" s="176">
        <f t="shared" si="15"/>
        <v>1018500</v>
      </c>
      <c r="H30" s="176">
        <f t="shared" si="15"/>
        <v>1013278.7474583975</v>
      </c>
      <c r="I30" s="176">
        <f t="shared" si="15"/>
        <v>1008142.0604455729</v>
      </c>
      <c r="J30" s="176">
        <f t="shared" si="15"/>
        <v>1003090.2345827303</v>
      </c>
      <c r="K30" s="176">
        <f t="shared" si="15"/>
        <v>998123.58171061845</v>
      </c>
      <c r="L30" s="176">
        <f t="shared" si="15"/>
        <v>993242.43013780529</v>
      </c>
      <c r="M30" s="176">
        <f t="shared" si="15"/>
        <v>988447.12489447766</v>
      </c>
      <c r="N30" s="176">
        <f t="shared" si="15"/>
        <v>983738.02799187647</v>
      </c>
      <c r="O30" s="176">
        <f t="shared" si="15"/>
        <v>979115.51868747361</v>
      </c>
    </row>
    <row r="31" spans="4:16">
      <c r="D31" s="225" t="s">
        <v>222</v>
      </c>
      <c r="E31" s="15">
        <v>14137</v>
      </c>
      <c r="F31" s="177">
        <v>10000</v>
      </c>
      <c r="G31" s="15">
        <f>F31*(1+G32)</f>
        <v>10000</v>
      </c>
      <c r="H31" s="15">
        <f t="shared" ref="H31:O31" si="16">G31*(1+H32)</f>
        <v>10000</v>
      </c>
      <c r="I31" s="15">
        <f t="shared" si="16"/>
        <v>10000</v>
      </c>
      <c r="J31" s="15">
        <f t="shared" si="16"/>
        <v>10000</v>
      </c>
      <c r="K31" s="15">
        <f t="shared" si="16"/>
        <v>10000</v>
      </c>
      <c r="L31" s="15">
        <f t="shared" si="16"/>
        <v>10000</v>
      </c>
      <c r="M31" s="15">
        <f t="shared" si="16"/>
        <v>10000</v>
      </c>
      <c r="N31" s="15">
        <f t="shared" si="16"/>
        <v>10000</v>
      </c>
      <c r="O31" s="15">
        <f t="shared" si="16"/>
        <v>10000</v>
      </c>
    </row>
    <row r="32" spans="4:16">
      <c r="D32" s="228" t="s">
        <v>223</v>
      </c>
      <c r="E32" s="229">
        <f>3684/10453</f>
        <v>0.35243470773940494</v>
      </c>
      <c r="F32" s="229">
        <f>(F31-E31)/E31</f>
        <v>-0.2926363443446276</v>
      </c>
      <c r="G32" s="230">
        <v>0</v>
      </c>
      <c r="H32" s="247">
        <f>G32</f>
        <v>0</v>
      </c>
      <c r="I32" s="247">
        <f t="shared" ref="I32:O32" si="17">H32</f>
        <v>0</v>
      </c>
      <c r="J32" s="247">
        <f t="shared" si="17"/>
        <v>0</v>
      </c>
      <c r="K32" s="247">
        <f t="shared" si="17"/>
        <v>0</v>
      </c>
      <c r="L32" s="247">
        <f t="shared" si="17"/>
        <v>0</v>
      </c>
      <c r="M32" s="247">
        <f t="shared" si="17"/>
        <v>0</v>
      </c>
      <c r="N32" s="247">
        <f t="shared" si="17"/>
        <v>0</v>
      </c>
      <c r="O32" s="247">
        <f t="shared" si="17"/>
        <v>0</v>
      </c>
    </row>
    <row r="33" spans="4:15">
      <c r="D33" s="231" t="s">
        <v>230</v>
      </c>
      <c r="E33" s="176">
        <f>SUM(E30:E31)</f>
        <v>854337</v>
      </c>
      <c r="F33" s="176">
        <f t="shared" ref="F33:O33" si="18">SUM(F30:F31)</f>
        <v>935000</v>
      </c>
      <c r="G33" s="176">
        <f t="shared" si="18"/>
        <v>1028500</v>
      </c>
      <c r="H33" s="176">
        <f t="shared" si="18"/>
        <v>1023278.7474583975</v>
      </c>
      <c r="I33" s="176">
        <f t="shared" si="18"/>
        <v>1018142.0604455729</v>
      </c>
      <c r="J33" s="176">
        <f t="shared" si="18"/>
        <v>1013090.2345827303</v>
      </c>
      <c r="K33" s="176">
        <f t="shared" si="18"/>
        <v>1008123.5817106185</v>
      </c>
      <c r="L33" s="176">
        <f t="shared" si="18"/>
        <v>1003242.4301378053</v>
      </c>
      <c r="M33" s="176">
        <f t="shared" si="18"/>
        <v>998447.12489447766</v>
      </c>
      <c r="N33" s="176">
        <f t="shared" si="18"/>
        <v>993738.02799187647</v>
      </c>
      <c r="O33" s="176">
        <f t="shared" si="18"/>
        <v>989115.51868747361</v>
      </c>
    </row>
    <row r="34" spans="4:15">
      <c r="D34" s="226" t="s">
        <v>219</v>
      </c>
      <c r="E34" s="224">
        <f>(E33-Financial_data!F6)/Financial_data!F6</f>
        <v>0.13739928534531881</v>
      </c>
      <c r="F34" s="224">
        <f>(F33-E33)/E33</f>
        <v>9.4415903794404316E-2</v>
      </c>
      <c r="G34" s="224">
        <f t="shared" ref="G34:O34" si="19">(G33-F33)/F33</f>
        <v>0.1</v>
      </c>
      <c r="H34" s="224">
        <f t="shared" si="19"/>
        <v>-5.0765702883835417E-3</v>
      </c>
      <c r="I34" s="224">
        <f t="shared" si="19"/>
        <v>-5.0198316202530301E-3</v>
      </c>
      <c r="J34" s="224">
        <f t="shared" si="19"/>
        <v>-4.9618084343080416E-3</v>
      </c>
      <c r="K34" s="224">
        <f t="shared" si="19"/>
        <v>-4.9024782813719813E-3</v>
      </c>
      <c r="L34" s="224">
        <f t="shared" si="19"/>
        <v>-4.8418186632740593E-3</v>
      </c>
      <c r="M34" s="224">
        <f t="shared" si="19"/>
        <v>-4.7798070528864579E-3</v>
      </c>
      <c r="N34" s="224">
        <f t="shared" si="19"/>
        <v>-4.7164209152276097E-3</v>
      </c>
      <c r="O34" s="224">
        <f t="shared" si="19"/>
        <v>-4.6516377296579106E-3</v>
      </c>
    </row>
    <row r="36" spans="4:15">
      <c r="D36" t="s">
        <v>7</v>
      </c>
      <c r="E36" s="15">
        <f>E26*E37</f>
        <v>157117.4</v>
      </c>
      <c r="F36" s="15">
        <f>F30*F37</f>
        <v>174825</v>
      </c>
      <c r="G36" s="15">
        <f t="shared" ref="G36:O36" si="20">G30*G37</f>
        <v>192496.5</v>
      </c>
      <c r="H36" s="15">
        <f t="shared" si="20"/>
        <v>191509.68326963714</v>
      </c>
      <c r="I36" s="15">
        <f t="shared" si="20"/>
        <v>190538.84942421329</v>
      </c>
      <c r="J36" s="15">
        <f t="shared" si="20"/>
        <v>189584.05433613603</v>
      </c>
      <c r="K36" s="15">
        <f t="shared" si="20"/>
        <v>188645.35694330689</v>
      </c>
      <c r="L36" s="15">
        <f t="shared" si="20"/>
        <v>187722.8192960452</v>
      </c>
      <c r="M36" s="15">
        <f t="shared" si="20"/>
        <v>186816.50660505629</v>
      </c>
      <c r="N36" s="15">
        <f t="shared" si="20"/>
        <v>185926.48729046466</v>
      </c>
      <c r="O36" s="15">
        <f t="shared" si="20"/>
        <v>185052.8330319325</v>
      </c>
    </row>
    <row r="37" spans="4:15">
      <c r="D37" s="232" t="s">
        <v>227</v>
      </c>
      <c r="E37" s="230">
        <v>0.187</v>
      </c>
      <c r="F37" s="230">
        <v>0.189</v>
      </c>
      <c r="G37" s="229">
        <f>F37</f>
        <v>0.189</v>
      </c>
      <c r="H37" s="229">
        <f t="shared" ref="H37:O37" si="21">G37</f>
        <v>0.189</v>
      </c>
      <c r="I37" s="229">
        <f t="shared" si="21"/>
        <v>0.189</v>
      </c>
      <c r="J37" s="229">
        <f t="shared" si="21"/>
        <v>0.189</v>
      </c>
      <c r="K37" s="229">
        <f t="shared" si="21"/>
        <v>0.189</v>
      </c>
      <c r="L37" s="229">
        <f t="shared" si="21"/>
        <v>0.189</v>
      </c>
      <c r="M37" s="229">
        <f t="shared" si="21"/>
        <v>0.189</v>
      </c>
      <c r="N37" s="229">
        <f t="shared" si="21"/>
        <v>0.189</v>
      </c>
      <c r="O37" s="229">
        <f t="shared" si="21"/>
        <v>0.189</v>
      </c>
    </row>
    <row r="38" spans="4:15">
      <c r="D38" t="s">
        <v>8</v>
      </c>
      <c r="E38" s="15">
        <f>E26*E39</f>
        <v>126030</v>
      </c>
      <c r="F38" s="15">
        <f>F30*F39</f>
        <v>138750</v>
      </c>
      <c r="G38" s="15">
        <f t="shared" ref="G38:O38" si="22">G30*G39</f>
        <v>152775</v>
      </c>
      <c r="H38" s="15">
        <f t="shared" si="22"/>
        <v>151991.81211875961</v>
      </c>
      <c r="I38" s="15">
        <f t="shared" si="22"/>
        <v>151221.30906683594</v>
      </c>
      <c r="J38" s="15">
        <f t="shared" si="22"/>
        <v>150463.53518740955</v>
      </c>
      <c r="K38" s="15">
        <f t="shared" si="22"/>
        <v>149718.53725659277</v>
      </c>
      <c r="L38" s="15">
        <f t="shared" si="22"/>
        <v>148986.36452067079</v>
      </c>
      <c r="M38" s="15">
        <f t="shared" si="22"/>
        <v>148267.06873417165</v>
      </c>
      <c r="N38" s="15">
        <f t="shared" si="22"/>
        <v>147560.70419878146</v>
      </c>
      <c r="O38" s="15">
        <f t="shared" si="22"/>
        <v>146867.32780312104</v>
      </c>
    </row>
    <row r="39" spans="4:15">
      <c r="D39" s="232" t="s">
        <v>228</v>
      </c>
      <c r="E39" s="230">
        <v>0.15</v>
      </c>
      <c r="F39" s="230">
        <v>0.15</v>
      </c>
      <c r="G39" s="229">
        <f>F39</f>
        <v>0.15</v>
      </c>
      <c r="H39" s="229">
        <f t="shared" ref="H39:O39" si="23">G39</f>
        <v>0.15</v>
      </c>
      <c r="I39" s="229">
        <f t="shared" si="23"/>
        <v>0.15</v>
      </c>
      <c r="J39" s="229">
        <f t="shared" si="23"/>
        <v>0.15</v>
      </c>
      <c r="K39" s="229">
        <f t="shared" si="23"/>
        <v>0.15</v>
      </c>
      <c r="L39" s="229">
        <f t="shared" si="23"/>
        <v>0.15</v>
      </c>
      <c r="M39" s="229">
        <f t="shared" si="23"/>
        <v>0.15</v>
      </c>
      <c r="N39" s="229">
        <f t="shared" si="23"/>
        <v>0.15</v>
      </c>
      <c r="O39" s="229">
        <f t="shared" si="23"/>
        <v>0.15</v>
      </c>
    </row>
    <row r="42" spans="4:15">
      <c r="D42" s="226" t="s">
        <v>161</v>
      </c>
      <c r="E42" s="238">
        <f>FCFF!C21</f>
        <v>0.1489806520184338</v>
      </c>
      <c r="F42" s="237">
        <f>E42+1%</f>
        <v>0.15898065201843381</v>
      </c>
      <c r="G42" s="235">
        <f>F42</f>
        <v>0.15898065201843381</v>
      </c>
      <c r="H42" s="235">
        <f t="shared" ref="H42:O42" si="24">G42</f>
        <v>0.15898065201843381</v>
      </c>
      <c r="I42" s="235">
        <f t="shared" si="24"/>
        <v>0.15898065201843381</v>
      </c>
      <c r="J42" s="235">
        <f t="shared" si="24"/>
        <v>0.15898065201843381</v>
      </c>
      <c r="K42" s="235">
        <f t="shared" si="24"/>
        <v>0.15898065201843381</v>
      </c>
      <c r="L42" s="235">
        <f t="shared" si="24"/>
        <v>0.15898065201843381</v>
      </c>
      <c r="M42" s="235">
        <f t="shared" si="24"/>
        <v>0.15898065201843381</v>
      </c>
      <c r="N42" s="235">
        <f t="shared" si="24"/>
        <v>0.15898065201843381</v>
      </c>
      <c r="O42" s="235">
        <f t="shared" si="24"/>
        <v>0.15898065201843381</v>
      </c>
    </row>
    <row r="43" spans="4:15">
      <c r="D43" s="226" t="s">
        <v>162</v>
      </c>
      <c r="E43" s="238">
        <f>FCFF!C22</f>
        <v>0.80816275732446063</v>
      </c>
      <c r="F43" s="237">
        <f>E43-0.5%</f>
        <v>0.80316275732446063</v>
      </c>
      <c r="G43" s="235">
        <f t="shared" ref="G43:O44" si="25">F43</f>
        <v>0.80316275732446063</v>
      </c>
      <c r="H43" s="235">
        <f t="shared" si="25"/>
        <v>0.80316275732446063</v>
      </c>
      <c r="I43" s="235">
        <f t="shared" si="25"/>
        <v>0.80316275732446063</v>
      </c>
      <c r="J43" s="235">
        <f t="shared" si="25"/>
        <v>0.80316275732446063</v>
      </c>
      <c r="K43" s="235">
        <f t="shared" si="25"/>
        <v>0.80316275732446063</v>
      </c>
      <c r="L43" s="235">
        <f t="shared" si="25"/>
        <v>0.80316275732446063</v>
      </c>
      <c r="M43" s="235">
        <f t="shared" si="25"/>
        <v>0.80316275732446063</v>
      </c>
      <c r="N43" s="235">
        <f t="shared" si="25"/>
        <v>0.80316275732446063</v>
      </c>
      <c r="O43" s="235">
        <f t="shared" si="25"/>
        <v>0.80316275732446063</v>
      </c>
    </row>
    <row r="44" spans="4:15">
      <c r="D44" s="226" t="s">
        <v>163</v>
      </c>
      <c r="E44" s="238">
        <f>FCFF!C23</f>
        <v>1.0110605169921039</v>
      </c>
      <c r="F44" s="237">
        <f>E44-2%</f>
        <v>0.99106051699210385</v>
      </c>
      <c r="G44" s="235">
        <f>F44</f>
        <v>0.99106051699210385</v>
      </c>
      <c r="H44" s="235">
        <f t="shared" si="25"/>
        <v>0.99106051699210385</v>
      </c>
      <c r="I44" s="235">
        <f t="shared" si="25"/>
        <v>0.99106051699210385</v>
      </c>
      <c r="J44" s="235">
        <f t="shared" si="25"/>
        <v>0.99106051699210385</v>
      </c>
      <c r="K44" s="235">
        <f t="shared" si="25"/>
        <v>0.99106051699210385</v>
      </c>
      <c r="L44" s="235">
        <f t="shared" si="25"/>
        <v>0.99106051699210385</v>
      </c>
      <c r="M44" s="235">
        <f t="shared" si="25"/>
        <v>0.99106051699210385</v>
      </c>
      <c r="N44" s="235">
        <f t="shared" si="25"/>
        <v>0.99106051699210385</v>
      </c>
      <c r="O44" s="235">
        <f t="shared" si="25"/>
        <v>0.99106051699210385</v>
      </c>
    </row>
    <row r="45" spans="4:15">
      <c r="E45" s="71"/>
      <c r="F45" s="23"/>
      <c r="G45" s="23"/>
      <c r="H45" s="23"/>
      <c r="I45" s="23"/>
      <c r="J45" s="23"/>
      <c r="K45" s="23"/>
      <c r="L45" s="23"/>
      <c r="M45" s="23"/>
      <c r="N45" s="23"/>
      <c r="O45" s="23"/>
    </row>
    <row r="46" spans="4:15">
      <c r="E46" s="15">
        <f>E$33*E42</f>
        <v>127279.68330347267</v>
      </c>
      <c r="F46" s="15">
        <f t="shared" ref="F46:O46" si="26">F$33*F42</f>
        <v>148646.9096372356</v>
      </c>
      <c r="G46" s="15">
        <f t="shared" si="26"/>
        <v>163511.60060095918</v>
      </c>
      <c r="H46" s="15">
        <f t="shared" si="26"/>
        <v>162681.52246754229</v>
      </c>
      <c r="I46" s="15">
        <f t="shared" si="26"/>
        <v>161864.88861702883</v>
      </c>
      <c r="J46" s="15">
        <f t="shared" si="26"/>
        <v>161061.74604747054</v>
      </c>
      <c r="K46" s="15">
        <f t="shared" si="26"/>
        <v>160272.14433551294</v>
      </c>
      <c r="L46" s="15">
        <f t="shared" si="26"/>
        <v>159496.1356758663</v>
      </c>
      <c r="M46" s="15">
        <f t="shared" si="26"/>
        <v>158733.77492165467</v>
      </c>
      <c r="N46" s="15">
        <f t="shared" si="26"/>
        <v>157985.11962566114</v>
      </c>
      <c r="O46" s="15">
        <f t="shared" si="26"/>
        <v>157250.23008248591</v>
      </c>
    </row>
    <row r="47" spans="4:15">
      <c r="E47" s="15">
        <f>E36*E43</f>
        <v>126976.43120765021</v>
      </c>
      <c r="F47" s="15">
        <f t="shared" ref="F47:O47" si="27">F36*F43</f>
        <v>140412.92904924884</v>
      </c>
      <c r="G47" s="15">
        <f t="shared" si="27"/>
        <v>154606.01971530804</v>
      </c>
      <c r="H47" s="15">
        <f t="shared" si="27"/>
        <v>153813.44526917589</v>
      </c>
      <c r="I47" s="15">
        <f t="shared" si="27"/>
        <v>153033.70768098137</v>
      </c>
      <c r="J47" s="15">
        <f t="shared" si="27"/>
        <v>152266.85182536137</v>
      </c>
      <c r="K47" s="15">
        <f t="shared" si="27"/>
        <v>151512.92503904345</v>
      </c>
      <c r="L47" s="15">
        <f t="shared" si="27"/>
        <v>150771.97715853312</v>
      </c>
      <c r="M47" s="15">
        <f t="shared" si="27"/>
        <v>150044.06055864031</v>
      </c>
      <c r="N47" s="15">
        <f t="shared" si="27"/>
        <v>149329.23019186087</v>
      </c>
      <c r="O47" s="15">
        <f t="shared" si="27"/>
        <v>148627.54362862994</v>
      </c>
    </row>
    <row r="48" spans="4:15">
      <c r="E48" s="15">
        <f>E38*E44</f>
        <v>127423.95695651486</v>
      </c>
      <c r="F48" s="15">
        <f t="shared" ref="F48:O48" si="28">F38*F44</f>
        <v>137509.64673265442</v>
      </c>
      <c r="G48" s="15">
        <f t="shared" si="28"/>
        <v>151409.27048346866</v>
      </c>
      <c r="H48" s="15">
        <f t="shared" si="28"/>
        <v>150633.08389698461</v>
      </c>
      <c r="I48" s="15">
        <f t="shared" si="28"/>
        <v>149869.46874400115</v>
      </c>
      <c r="J48" s="15">
        <f t="shared" si="28"/>
        <v>149118.46897129371</v>
      </c>
      <c r="K48" s="15">
        <f t="shared" si="28"/>
        <v>148380.13093682038</v>
      </c>
      <c r="L48" s="15">
        <f t="shared" si="28"/>
        <v>147654.50344663003</v>
      </c>
      <c r="M48" s="15">
        <f t="shared" si="28"/>
        <v>146941.63779259197</v>
      </c>
      <c r="N48" s="15">
        <f t="shared" si="28"/>
        <v>146241.58779096327</v>
      </c>
      <c r="O48" s="15">
        <f t="shared" si="28"/>
        <v>145554.40982180991</v>
      </c>
    </row>
    <row r="49" spans="4:16">
      <c r="D49" s="164" t="s">
        <v>178</v>
      </c>
      <c r="E49" s="176">
        <f>AVERAGE(E46:E48)</f>
        <v>127226.69048921257</v>
      </c>
      <c r="F49" s="176">
        <f t="shared" ref="F49:O49" si="29">AVERAGE(F46:F48)</f>
        <v>142189.82847304628</v>
      </c>
      <c r="G49" s="176">
        <f t="shared" si="29"/>
        <v>156508.96359991198</v>
      </c>
      <c r="H49" s="176">
        <f t="shared" si="29"/>
        <v>155709.3505445676</v>
      </c>
      <c r="I49" s="176">
        <f t="shared" si="29"/>
        <v>154922.6883473371</v>
      </c>
      <c r="J49" s="176">
        <f t="shared" si="29"/>
        <v>154149.02228137522</v>
      </c>
      <c r="K49" s="176">
        <f t="shared" si="29"/>
        <v>153388.40010379229</v>
      </c>
      <c r="L49" s="176">
        <f t="shared" si="29"/>
        <v>152640.8720936765</v>
      </c>
      <c r="M49" s="176">
        <f t="shared" si="29"/>
        <v>151906.49109096231</v>
      </c>
      <c r="N49" s="176">
        <f t="shared" si="29"/>
        <v>151185.31253616174</v>
      </c>
      <c r="O49" s="176">
        <f t="shared" si="29"/>
        <v>150477.39451097525</v>
      </c>
    </row>
    <row r="50" spans="4:16">
      <c r="D50" s="232" t="s">
        <v>231</v>
      </c>
      <c r="E50" s="233">
        <f>FCFF!C19</f>
        <v>0.21233220146797041</v>
      </c>
      <c r="F50" s="234">
        <f>(F49-E49)/E49</f>
        <v>0.1176100543549265</v>
      </c>
      <c r="G50" s="234">
        <f t="shared" ref="G50:O50" si="30">(G49-F49)/F49</f>
        <v>0.10070435614584104</v>
      </c>
      <c r="H50" s="234">
        <f t="shared" si="30"/>
        <v>-5.1090559732313613E-3</v>
      </c>
      <c r="I50" s="234">
        <f t="shared" si="30"/>
        <v>-5.052119185387902E-3</v>
      </c>
      <c r="J50" s="234">
        <f t="shared" si="30"/>
        <v>-4.9938848480818882E-3</v>
      </c>
      <c r="K50" s="234">
        <f t="shared" si="30"/>
        <v>-4.9343302106356172E-3</v>
      </c>
      <c r="L50" s="234">
        <f t="shared" si="30"/>
        <v>-4.873432473446228E-3</v>
      </c>
      <c r="M50" s="234">
        <f t="shared" si="30"/>
        <v>-4.8111688084662846E-3</v>
      </c>
      <c r="N50" s="234">
        <f t="shared" si="30"/>
        <v>-4.7475163807761634E-3</v>
      </c>
      <c r="O50" s="234">
        <f t="shared" si="30"/>
        <v>-4.6824523712722657E-3</v>
      </c>
    </row>
    <row r="51" spans="4:16">
      <c r="D51" s="226"/>
      <c r="E51" s="236"/>
      <c r="F51" s="235"/>
      <c r="G51" s="235"/>
      <c r="H51" s="235"/>
      <c r="I51" s="235"/>
      <c r="J51" s="235"/>
      <c r="K51" s="235"/>
      <c r="L51" s="235"/>
      <c r="M51" s="235"/>
      <c r="N51" s="235"/>
      <c r="O51" s="235"/>
    </row>
    <row r="52" spans="4:16">
      <c r="D52" t="s">
        <v>154</v>
      </c>
      <c r="E52" s="86">
        <f>Financial_data!E25</f>
        <v>44501</v>
      </c>
      <c r="F52" s="177">
        <v>49000</v>
      </c>
      <c r="G52" s="15">
        <f>F52</f>
        <v>49000</v>
      </c>
      <c r="H52" s="15">
        <f t="shared" ref="H52:O52" si="31">G52</f>
        <v>49000</v>
      </c>
      <c r="I52" s="15">
        <f t="shared" si="31"/>
        <v>49000</v>
      </c>
      <c r="J52" s="15">
        <f t="shared" si="31"/>
        <v>49000</v>
      </c>
      <c r="K52" s="15">
        <f t="shared" si="31"/>
        <v>49000</v>
      </c>
      <c r="L52" s="15">
        <f t="shared" si="31"/>
        <v>49000</v>
      </c>
      <c r="M52" s="15">
        <f t="shared" si="31"/>
        <v>49000</v>
      </c>
      <c r="N52" s="15">
        <f t="shared" si="31"/>
        <v>49000</v>
      </c>
      <c r="O52" s="15">
        <f t="shared" si="31"/>
        <v>49000</v>
      </c>
    </row>
    <row r="53" spans="4:16">
      <c r="D53" s="164" t="s">
        <v>150</v>
      </c>
      <c r="E53" s="176">
        <f>E49-E52</f>
        <v>82725.690489212575</v>
      </c>
      <c r="F53" s="176">
        <f t="shared" ref="F53:O53" si="32">F49-F52</f>
        <v>93189.828473046276</v>
      </c>
      <c r="G53" s="176">
        <f t="shared" si="32"/>
        <v>107508.96359991198</v>
      </c>
      <c r="H53" s="176">
        <f t="shared" si="32"/>
        <v>106709.3505445676</v>
      </c>
      <c r="I53" s="176">
        <f t="shared" si="32"/>
        <v>105922.6883473371</v>
      </c>
      <c r="J53" s="176">
        <f t="shared" si="32"/>
        <v>105149.02228137522</v>
      </c>
      <c r="K53" s="176">
        <f t="shared" si="32"/>
        <v>104388.40010379229</v>
      </c>
      <c r="L53" s="176">
        <f t="shared" si="32"/>
        <v>103640.8720936765</v>
      </c>
      <c r="M53" s="176">
        <f t="shared" si="32"/>
        <v>102906.49109096231</v>
      </c>
      <c r="N53" s="176">
        <f t="shared" si="32"/>
        <v>102185.31253616174</v>
      </c>
      <c r="O53" s="176">
        <f t="shared" si="32"/>
        <v>101477.39451097525</v>
      </c>
      <c r="P53" s="176">
        <f>(O53*(1+B7))/(B6-B7)</f>
        <v>1142665.3276673397</v>
      </c>
    </row>
    <row r="54" spans="4:16">
      <c r="D54" t="s">
        <v>171</v>
      </c>
      <c r="F54" s="21">
        <f>(1+$B$6)^F$3</f>
        <v>1.099695701772377</v>
      </c>
      <c r="G54" s="21">
        <f t="shared" ref="G54:O54" si="33">(1+$B$6)^G$3</f>
        <v>1.2093306364966407</v>
      </c>
      <c r="H54" s="21">
        <f t="shared" si="33"/>
        <v>1.3298957029770087</v>
      </c>
      <c r="I54" s="21">
        <f t="shared" si="33"/>
        <v>1.4624805883693703</v>
      </c>
      <c r="J54" s="21">
        <f t="shared" si="33"/>
        <v>1.6082836169553334</v>
      </c>
      <c r="K54" s="21">
        <f t="shared" si="33"/>
        <v>1.7686225807967122</v>
      </c>
      <c r="L54" s="21">
        <f t="shared" si="33"/>
        <v>1.944946650159713</v>
      </c>
      <c r="M54" s="21">
        <f t="shared" si="33"/>
        <v>2.1388494713572195</v>
      </c>
      <c r="N54" s="21">
        <f t="shared" si="33"/>
        <v>2.352083570389655</v>
      </c>
      <c r="O54" s="21">
        <f t="shared" si="33"/>
        <v>2.5865761925669299</v>
      </c>
      <c r="P54" s="72">
        <f>O54</f>
        <v>2.5865761925669299</v>
      </c>
    </row>
    <row r="55" spans="4:16">
      <c r="D55" s="164" t="s">
        <v>172</v>
      </c>
      <c r="E55" s="176"/>
      <c r="F55" s="176">
        <f t="shared" ref="F55:P55" si="34">F53/F54</f>
        <v>84741.468319692853</v>
      </c>
      <c r="G55" s="176">
        <f t="shared" si="34"/>
        <v>88899.561753731046</v>
      </c>
      <c r="H55" s="176">
        <f t="shared" si="34"/>
        <v>80238.88663276055</v>
      </c>
      <c r="I55" s="176">
        <f t="shared" si="34"/>
        <v>72426.731123616672</v>
      </c>
      <c r="J55" s="176">
        <f t="shared" si="34"/>
        <v>65379.651432646227</v>
      </c>
      <c r="K55" s="176">
        <f t="shared" si="34"/>
        <v>59022.428661274018</v>
      </c>
      <c r="L55" s="176">
        <f t="shared" si="34"/>
        <v>53287.257049012544</v>
      </c>
      <c r="M55" s="176">
        <f t="shared" si="34"/>
        <v>48113.012378408472</v>
      </c>
      <c r="N55" s="176">
        <f t="shared" si="34"/>
        <v>43444.592625266858</v>
      </c>
      <c r="O55" s="176">
        <f t="shared" si="34"/>
        <v>39232.323719127962</v>
      </c>
      <c r="P55" s="176">
        <f t="shared" si="34"/>
        <v>441767.51141181478</v>
      </c>
    </row>
    <row r="56" spans="4:16">
      <c r="D56" s="94"/>
      <c r="E56" s="241"/>
      <c r="F56" s="241"/>
      <c r="G56" s="241"/>
      <c r="H56" s="241"/>
      <c r="I56" s="241"/>
      <c r="J56" s="241"/>
      <c r="K56" s="241"/>
      <c r="L56" s="241"/>
      <c r="M56" s="241"/>
      <c r="N56" s="241"/>
      <c r="P56" s="22"/>
    </row>
    <row r="58" spans="4:16">
      <c r="D58" t="s">
        <v>89</v>
      </c>
      <c r="E58" s="15">
        <f>SUM(F55:P55)</f>
        <v>1076553.425107352</v>
      </c>
    </row>
    <row r="59" spans="4:16">
      <c r="D59" t="s">
        <v>232</v>
      </c>
      <c r="E59" s="245">
        <f>E21</f>
        <v>-27200</v>
      </c>
    </row>
    <row r="60" spans="4:16">
      <c r="D60" s="164" t="s">
        <v>175</v>
      </c>
      <c r="E60" s="176">
        <f>E58+E59</f>
        <v>1049353.425107352</v>
      </c>
    </row>
    <row r="61" spans="4:16">
      <c r="D61" t="s">
        <v>233</v>
      </c>
      <c r="E61" s="246">
        <f>E60/E18</f>
        <v>30.000078480170764</v>
      </c>
    </row>
    <row r="67" spans="4:15">
      <c r="D67" s="94"/>
      <c r="E67" s="143"/>
      <c r="F67" s="138"/>
      <c r="G67" s="138"/>
      <c r="H67" s="138"/>
      <c r="I67" s="138"/>
      <c r="J67" s="138"/>
      <c r="K67" s="138"/>
      <c r="L67" s="138"/>
      <c r="M67" s="138"/>
      <c r="N67" s="138"/>
      <c r="O67" s="138"/>
    </row>
    <row r="68" spans="4:15">
      <c r="D68" s="94"/>
      <c r="E68" s="143"/>
      <c r="F68" s="138"/>
      <c r="G68" s="138"/>
      <c r="H68" s="138"/>
      <c r="I68" s="138"/>
      <c r="J68" s="138"/>
      <c r="K68" s="138"/>
      <c r="L68" s="138"/>
      <c r="M68" s="138"/>
      <c r="N68" s="138"/>
      <c r="O68" s="138"/>
    </row>
    <row r="69" spans="4:15">
      <c r="D69" s="94"/>
      <c r="E69" s="143"/>
      <c r="F69" s="138"/>
      <c r="G69" s="138"/>
      <c r="H69" s="138"/>
      <c r="I69" s="138"/>
      <c r="J69" s="138"/>
      <c r="K69" s="138"/>
      <c r="L69" s="138"/>
      <c r="M69" s="138"/>
      <c r="N69" s="138"/>
      <c r="O69" s="138"/>
    </row>
    <row r="71" spans="4:15">
      <c r="D71" s="94"/>
      <c r="E71" s="242"/>
    </row>
    <row r="72" spans="4:15">
      <c r="D72" s="94"/>
      <c r="E72" s="243"/>
    </row>
    <row r="73" spans="4:15">
      <c r="D73" s="94"/>
      <c r="E73" s="242"/>
    </row>
    <row r="75" spans="4:15">
      <c r="D75" s="94"/>
      <c r="E75" s="244"/>
    </row>
    <row r="76" spans="4:15">
      <c r="D76" s="94"/>
      <c r="E76" s="244"/>
    </row>
  </sheetData>
  <mergeCells count="1">
    <mergeCell ref="H11:I11"/>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78DFE-F076-40A8-83C3-19E2C29FE5A0}">
  <dimension ref="B1:V53"/>
  <sheetViews>
    <sheetView showGridLines="0" zoomScale="87" workbookViewId="0">
      <selection activeCell="J10" sqref="J10"/>
    </sheetView>
  </sheetViews>
  <sheetFormatPr defaultColWidth="8.83984375" defaultRowHeight="14.4"/>
  <cols>
    <col min="2" max="2" width="20.7890625" bestFit="1" customWidth="1"/>
    <col min="3" max="6" width="16.83984375" customWidth="1"/>
    <col min="7" max="7" width="16.41796875" bestFit="1" customWidth="1"/>
    <col min="8" max="8" width="15.3125" customWidth="1"/>
    <col min="9" max="9" width="9.3125" customWidth="1"/>
    <col min="10" max="10" width="13.83984375" customWidth="1"/>
    <col min="11" max="11" width="12.83984375" customWidth="1"/>
    <col min="12" max="12" width="13.83984375" customWidth="1"/>
    <col min="13" max="13" width="10.47265625" customWidth="1"/>
    <col min="14" max="14" width="12" customWidth="1"/>
    <col min="15" max="15" width="15.15625" customWidth="1"/>
    <col min="17" max="17" width="14.47265625" customWidth="1"/>
    <col min="18" max="18" width="23.47265625" customWidth="1"/>
    <col min="19" max="19" width="20" customWidth="1"/>
    <col min="20" max="20" width="18.47265625" customWidth="1"/>
    <col min="21" max="21" width="19.15625" customWidth="1"/>
    <col min="22" max="22" width="16.15625" customWidth="1"/>
  </cols>
  <sheetData>
    <row r="1" spans="2:22">
      <c r="Q1" s="139"/>
      <c r="R1" s="140"/>
      <c r="S1" s="141"/>
      <c r="T1" s="141"/>
      <c r="U1" s="141"/>
      <c r="V1" s="142"/>
    </row>
    <row r="2" spans="2:22" ht="34.200000000000003">
      <c r="B2" s="10" t="s">
        <v>211</v>
      </c>
      <c r="Q2" s="139"/>
      <c r="R2" s="140"/>
      <c r="S2" s="141"/>
      <c r="T2" s="141"/>
      <c r="U2" s="141"/>
      <c r="V2" s="142"/>
    </row>
    <row r="3" spans="2:22">
      <c r="Q3" s="139"/>
      <c r="R3" s="140"/>
      <c r="S3" s="141"/>
      <c r="T3" s="141"/>
      <c r="U3" s="141"/>
      <c r="V3" s="142"/>
    </row>
    <row r="4" spans="2:22">
      <c r="B4" s="203"/>
      <c r="C4" s="88" t="s">
        <v>218</v>
      </c>
      <c r="D4" s="88" t="s">
        <v>183</v>
      </c>
      <c r="E4" s="88" t="s">
        <v>180</v>
      </c>
      <c r="F4" s="88" t="s">
        <v>181</v>
      </c>
      <c r="G4" s="88" t="s">
        <v>179</v>
      </c>
      <c r="H4" s="88" t="s">
        <v>182</v>
      </c>
      <c r="Q4" s="139"/>
      <c r="R4" s="140"/>
      <c r="S4" s="141"/>
      <c r="T4" s="141"/>
      <c r="U4" s="141"/>
      <c r="V4" s="142"/>
    </row>
    <row r="5" spans="2:22">
      <c r="B5" s="222" t="s">
        <v>97</v>
      </c>
      <c r="C5" s="223">
        <f>Result!E19/(Financial_data!E17/Result!E18)</f>
        <v>2.9151788110378627</v>
      </c>
      <c r="D5" s="223">
        <f>Result!E19/(Income_statement!C9/Result!E18)</f>
        <v>1.2121860574723797</v>
      </c>
      <c r="E5" s="223">
        <f>Result!E19/(Income_statement!C29/Result!E18)</f>
        <v>11.248627139901595</v>
      </c>
      <c r="F5" s="223">
        <f>WACC!H5/Financial_data!E5</f>
        <v>0.79178771124230785</v>
      </c>
      <c r="G5" s="223">
        <f>WACC!H5/Income_statement!C19</f>
        <v>4.5066228109165261</v>
      </c>
      <c r="H5" s="223">
        <f>WACC!H5/WACC!C5</f>
        <v>8.8241949521322898</v>
      </c>
      <c r="Q5" s="139"/>
      <c r="R5" s="140"/>
      <c r="S5" s="141"/>
      <c r="T5" s="141"/>
      <c r="U5" s="141"/>
      <c r="V5" s="142"/>
    </row>
    <row r="6" spans="2:22">
      <c r="B6" t="s">
        <v>95</v>
      </c>
      <c r="C6" s="220">
        <v>1.1599999999999999</v>
      </c>
      <c r="D6" s="204">
        <v>0.86</v>
      </c>
      <c r="E6" s="204">
        <v>11.74</v>
      </c>
      <c r="F6" s="204">
        <v>0.61</v>
      </c>
      <c r="G6" s="204">
        <v>4.84</v>
      </c>
      <c r="H6" s="205">
        <f>WACC!H5/WACC!C5</f>
        <v>8.8241949521322898</v>
      </c>
      <c r="Q6" s="139"/>
      <c r="R6" s="140"/>
      <c r="S6" s="141"/>
      <c r="T6" s="141"/>
      <c r="U6" s="141"/>
      <c r="V6" s="142"/>
    </row>
    <row r="7" spans="2:22">
      <c r="B7" t="s">
        <v>96</v>
      </c>
      <c r="C7" s="220">
        <v>3.33</v>
      </c>
      <c r="D7" s="204">
        <v>1.22</v>
      </c>
      <c r="E7" s="204">
        <v>11.82</v>
      </c>
      <c r="F7" s="204">
        <v>1.22</v>
      </c>
      <c r="G7" s="204">
        <v>8.18</v>
      </c>
      <c r="H7" s="205">
        <f>WACC!H6/WACC!C6</f>
        <v>10.923502525859995</v>
      </c>
      <c r="Q7" s="139"/>
      <c r="R7" s="140"/>
      <c r="S7" s="141"/>
      <c r="T7" s="141"/>
      <c r="U7" s="141"/>
      <c r="V7" s="142"/>
    </row>
    <row r="8" spans="2:22">
      <c r="B8" s="164" t="s">
        <v>238</v>
      </c>
      <c r="C8" s="206">
        <f>MAX(C5:C7)</f>
        <v>3.33</v>
      </c>
      <c r="D8" s="206">
        <f t="shared" ref="D8:H8" si="0">MAX(D5:D7)</f>
        <v>1.22</v>
      </c>
      <c r="E8" s="206">
        <f t="shared" si="0"/>
        <v>11.82</v>
      </c>
      <c r="F8" s="206">
        <f t="shared" si="0"/>
        <v>1.22</v>
      </c>
      <c r="G8" s="206">
        <f t="shared" si="0"/>
        <v>8.18</v>
      </c>
      <c r="H8" s="206">
        <f t="shared" si="0"/>
        <v>10.923502525859995</v>
      </c>
      <c r="Q8" s="139"/>
      <c r="R8" s="140"/>
      <c r="S8" s="141"/>
      <c r="T8" s="141"/>
      <c r="U8" s="141"/>
      <c r="V8" s="142"/>
    </row>
    <row r="9" spans="2:22">
      <c r="B9" t="s">
        <v>239</v>
      </c>
      <c r="C9" s="205">
        <f>MIN(C5:C7)</f>
        <v>1.1599999999999999</v>
      </c>
      <c r="D9" s="205">
        <f t="shared" ref="D9:H9" si="1">MIN(D5:D7)</f>
        <v>0.86</v>
      </c>
      <c r="E9" s="205">
        <f t="shared" si="1"/>
        <v>11.248627139901595</v>
      </c>
      <c r="F9" s="205">
        <f t="shared" si="1"/>
        <v>0.61</v>
      </c>
      <c r="G9" s="205">
        <f t="shared" si="1"/>
        <v>4.5066228109165261</v>
      </c>
      <c r="H9" s="205">
        <f t="shared" si="1"/>
        <v>8.8241949521322898</v>
      </c>
      <c r="Q9" s="139"/>
      <c r="R9" s="140"/>
      <c r="S9" s="141"/>
      <c r="T9" s="141"/>
      <c r="U9" s="141"/>
      <c r="V9" s="142"/>
    </row>
    <row r="10" spans="2:22">
      <c r="B10" s="250" t="s">
        <v>184</v>
      </c>
      <c r="C10" s="251">
        <f t="shared" ref="C10:H10" si="2">MEDIAN(C6:C7)</f>
        <v>2.2450000000000001</v>
      </c>
      <c r="D10" s="252">
        <f t="shared" si="2"/>
        <v>1.04</v>
      </c>
      <c r="E10" s="252">
        <f t="shared" si="2"/>
        <v>11.780000000000001</v>
      </c>
      <c r="F10" s="252">
        <f t="shared" si="2"/>
        <v>0.91500000000000004</v>
      </c>
      <c r="G10" s="252">
        <f t="shared" si="2"/>
        <v>6.51</v>
      </c>
      <c r="H10" s="252">
        <f t="shared" si="2"/>
        <v>9.8738487389961413</v>
      </c>
      <c r="Q10" s="139"/>
      <c r="R10" s="140"/>
      <c r="S10" s="141"/>
      <c r="T10" s="141"/>
      <c r="U10" s="141"/>
      <c r="V10" s="142"/>
    </row>
    <row r="11" spans="2:22">
      <c r="B11" s="248" t="s">
        <v>236</v>
      </c>
      <c r="C11" s="249">
        <f>AVERAGE(C5:C7)</f>
        <v>2.468392937012621</v>
      </c>
      <c r="D11" s="249">
        <f t="shared" ref="D11:H11" si="3">AVERAGE(D5:D7)</f>
        <v>1.0973953524907933</v>
      </c>
      <c r="E11" s="249">
        <f t="shared" si="3"/>
        <v>11.602875713300532</v>
      </c>
      <c r="F11" s="249">
        <f t="shared" si="3"/>
        <v>0.87392923708076931</v>
      </c>
      <c r="G11" s="249">
        <f t="shared" si="3"/>
        <v>5.8422076036388413</v>
      </c>
      <c r="H11" s="249">
        <f t="shared" si="3"/>
        <v>9.5239641433748581</v>
      </c>
      <c r="Q11" s="139"/>
      <c r="R11" s="140"/>
      <c r="S11" s="141"/>
      <c r="T11" s="141"/>
      <c r="U11" s="141"/>
      <c r="V11" s="142"/>
    </row>
    <row r="12" spans="2:22">
      <c r="B12" t="s">
        <v>237</v>
      </c>
      <c r="C12" s="205">
        <f>AVERAGE(C6:C7)</f>
        <v>2.2450000000000001</v>
      </c>
      <c r="D12" s="205">
        <f t="shared" ref="D12:H12" si="4">AVERAGE(D6:D7)</f>
        <v>1.04</v>
      </c>
      <c r="E12" s="205">
        <f t="shared" si="4"/>
        <v>11.780000000000001</v>
      </c>
      <c r="F12" s="205">
        <f t="shared" si="4"/>
        <v>0.91500000000000004</v>
      </c>
      <c r="G12" s="205">
        <f t="shared" si="4"/>
        <v>6.51</v>
      </c>
      <c r="H12" s="205">
        <f t="shared" si="4"/>
        <v>9.8738487389961413</v>
      </c>
      <c r="Q12" s="139"/>
      <c r="R12" s="140"/>
      <c r="S12" s="141"/>
      <c r="T12" s="141"/>
      <c r="U12" s="141"/>
      <c r="V12" s="142"/>
    </row>
    <row r="13" spans="2:22">
      <c r="Q13" s="139"/>
      <c r="R13" s="140"/>
      <c r="S13" s="141"/>
      <c r="T13" s="141"/>
      <c r="U13" s="141"/>
      <c r="V13" s="142"/>
    </row>
    <row r="14" spans="2:22">
      <c r="B14" s="88" t="s">
        <v>185</v>
      </c>
      <c r="C14" s="88" t="s">
        <v>218</v>
      </c>
      <c r="D14" s="88" t="s">
        <v>183</v>
      </c>
      <c r="E14" s="88" t="s">
        <v>180</v>
      </c>
      <c r="F14" s="88" t="s">
        <v>181</v>
      </c>
      <c r="G14" s="88" t="s">
        <v>179</v>
      </c>
      <c r="H14" s="88" t="s">
        <v>182</v>
      </c>
      <c r="Q14" s="139"/>
      <c r="R14" s="140"/>
      <c r="S14" s="141"/>
      <c r="T14" s="141"/>
      <c r="U14" s="141"/>
      <c r="V14" s="141"/>
    </row>
    <row r="15" spans="2:22">
      <c r="B15" t="s">
        <v>89</v>
      </c>
      <c r="D15" s="207"/>
      <c r="E15" s="207"/>
      <c r="F15" s="207">
        <f>F10*Financial_data!E5</f>
        <v>820173.06</v>
      </c>
      <c r="G15" s="207">
        <f>G10*Financial_data!E7</f>
        <v>1025233.86</v>
      </c>
      <c r="H15" s="207">
        <f>H10*Financial_data!E8</f>
        <v>1242939.8269623122</v>
      </c>
    </row>
    <row r="16" spans="2:22">
      <c r="B16" t="s">
        <v>26</v>
      </c>
      <c r="D16" s="207"/>
      <c r="E16" s="207"/>
      <c r="F16" s="166">
        <f>Result!$E$21</f>
        <v>-27200</v>
      </c>
      <c r="G16" s="166">
        <f>Result!$E$21</f>
        <v>-27200</v>
      </c>
      <c r="H16" s="166">
        <f>Result!$E$21</f>
        <v>-27200</v>
      </c>
    </row>
    <row r="17" spans="2:20">
      <c r="B17" s="164" t="s">
        <v>186</v>
      </c>
      <c r="C17" s="208">
        <f>C10*Financial_data!E17</f>
        <v>808112.44500000007</v>
      </c>
      <c r="D17" s="208">
        <f>D10*Financial_data!E5</f>
        <v>932218.56</v>
      </c>
      <c r="E17" s="208">
        <f>E10*Financial_data!E10</f>
        <v>1098920.8600000001</v>
      </c>
      <c r="F17" s="208">
        <f>F15+F16</f>
        <v>792973.06</v>
      </c>
      <c r="G17" s="208">
        <f>G15+G16</f>
        <v>998033.86</v>
      </c>
      <c r="H17" s="208">
        <f>H15+H16</f>
        <v>1215739.8269623122</v>
      </c>
      <c r="S17" s="94"/>
      <c r="T17" s="94"/>
    </row>
    <row r="18" spans="2:20">
      <c r="B18" t="s">
        <v>187</v>
      </c>
      <c r="C18" s="221">
        <f>C17/Result!$E$18</f>
        <v>23.103214027554642</v>
      </c>
      <c r="D18" s="85">
        <f>D17/Result!$E$18</f>
        <v>26.651297162165086</v>
      </c>
      <c r="E18" s="85">
        <f>E17/Result!$E$18</f>
        <v>31.417167233359969</v>
      </c>
      <c r="F18" s="85">
        <f>F17/Result!$E$18</f>
        <v>22.670392513587547</v>
      </c>
      <c r="G18" s="85">
        <f>G17/Result!$E$18</f>
        <v>28.532897886910408</v>
      </c>
      <c r="H18" s="85">
        <f>H17/Result!$E$18</f>
        <v>34.756917305156144</v>
      </c>
      <c r="R18" s="94"/>
      <c r="T18" s="18"/>
    </row>
    <row r="19" spans="2:20">
      <c r="R19" s="94"/>
      <c r="T19" s="18"/>
    </row>
    <row r="20" spans="2:20">
      <c r="B20" s="179" t="s">
        <v>184</v>
      </c>
      <c r="C20" s="209">
        <f>MEDIAN(C18:H18)</f>
        <v>27.592097524537749</v>
      </c>
      <c r="D20" s="210" t="str">
        <f>IF(C20&gt;Result!E19, "BUY", "SELL")</f>
        <v>SELL</v>
      </c>
      <c r="E20" s="219"/>
    </row>
    <row r="21" spans="2:20">
      <c r="B21" s="184" t="s">
        <v>188</v>
      </c>
      <c r="C21" s="211">
        <f>AVERAGE(C18:H18)</f>
        <v>27.85531435478897</v>
      </c>
      <c r="D21" s="212" t="str">
        <f>IF(C21&gt;Result!E19, "BUY", "SELL")</f>
        <v>SELL</v>
      </c>
      <c r="E21" s="219"/>
    </row>
    <row r="22" spans="2:20">
      <c r="D22" s="85"/>
      <c r="E22" s="85"/>
      <c r="R22" s="94"/>
      <c r="S22" s="143"/>
    </row>
    <row r="23" spans="2:20">
      <c r="Q23" s="80"/>
    </row>
    <row r="24" spans="2:20">
      <c r="Q24" s="80"/>
    </row>
    <row r="25" spans="2:20">
      <c r="Q25" s="80"/>
    </row>
    <row r="26" spans="2:20">
      <c r="Q26" s="80"/>
    </row>
    <row r="27" spans="2:20">
      <c r="Q27" s="80"/>
    </row>
    <row r="28" spans="2:20">
      <c r="Q28" s="80"/>
    </row>
    <row r="29" spans="2:20">
      <c r="Q29" s="80"/>
    </row>
    <row r="30" spans="2:20">
      <c r="Q30" s="80"/>
    </row>
    <row r="31" spans="2:20">
      <c r="Q31" s="80"/>
    </row>
    <row r="32" spans="2:20">
      <c r="Q32" s="80"/>
    </row>
    <row r="33" spans="17:17">
      <c r="Q33" s="80"/>
    </row>
    <row r="34" spans="17:17">
      <c r="Q34" s="80"/>
    </row>
    <row r="35" spans="17:17">
      <c r="Q35" s="80"/>
    </row>
    <row r="36" spans="17:17">
      <c r="Q36" s="80"/>
    </row>
    <row r="37" spans="17:17">
      <c r="Q37" s="81"/>
    </row>
    <row r="38" spans="17:17">
      <c r="Q38" s="80"/>
    </row>
    <row r="39" spans="17:17">
      <c r="Q39" s="81"/>
    </row>
    <row r="40" spans="17:17">
      <c r="Q40" s="81"/>
    </row>
    <row r="41" spans="17:17">
      <c r="Q41" s="81"/>
    </row>
    <row r="42" spans="17:17">
      <c r="Q42" s="81"/>
    </row>
    <row r="43" spans="17:17">
      <c r="Q43" s="81"/>
    </row>
    <row r="44" spans="17:17">
      <c r="Q44" s="81"/>
    </row>
    <row r="45" spans="17:17">
      <c r="Q45" s="81"/>
    </row>
    <row r="46" spans="17:17">
      <c r="Q46" s="81"/>
    </row>
    <row r="47" spans="17:17">
      <c r="Q47" s="81"/>
    </row>
    <row r="48" spans="17:17">
      <c r="Q48" s="81"/>
    </row>
    <row r="49" spans="17:17">
      <c r="Q49" s="81"/>
    </row>
    <row r="50" spans="17:17">
      <c r="Q50" s="81"/>
    </row>
    <row r="51" spans="17:17">
      <c r="Q51" s="81"/>
    </row>
    <row r="52" spans="17:17">
      <c r="Q52" s="81"/>
    </row>
    <row r="53" spans="17:17">
      <c r="Q53" s="81"/>
    </row>
  </sheetData>
  <conditionalFormatting sqref="D20:E21">
    <cfRule type="containsText" dxfId="1" priority="1" operator="containsText" text="BUY">
      <formula>NOT(ISERROR(SEARCH("BUY",D20)))</formula>
    </cfRule>
    <cfRule type="containsText" dxfId="0" priority="2" operator="containsText" text="SELL">
      <formula>NOT(ISERROR(SEARCH("SELL",D20)))</formula>
    </cfRule>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A2FF53AE5B8024B97089A6247249E12" ma:contentTypeVersion="6" ma:contentTypeDescription="Creare un nuovo documento." ma:contentTypeScope="" ma:versionID="6acb3c2facc89ffdf47a4a4ac1a79228">
  <xsd:schema xmlns:xsd="http://www.w3.org/2001/XMLSchema" xmlns:xs="http://www.w3.org/2001/XMLSchema" xmlns:p="http://schemas.microsoft.com/office/2006/metadata/properties" xmlns:ns3="abc29d9e-28d5-43d6-94d2-c93480cf6197" targetNamespace="http://schemas.microsoft.com/office/2006/metadata/properties" ma:root="true" ma:fieldsID="a35cb413e184e54ff336a37d2c821905" ns3:_="">
    <xsd:import namespace="abc29d9e-28d5-43d6-94d2-c93480cf619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29d9e-28d5-43d6-94d2-c93480cf619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abc29d9e-28d5-43d6-94d2-c93480cf619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5323EC-7A36-47BE-83BD-CEB58FA22A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c29d9e-28d5-43d6-94d2-c93480cf61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690530-45B3-4458-9B4E-6B2558988FFD}">
  <ds:schemaRefs>
    <ds:schemaRef ds:uri="http://schemas.microsoft.com/office/2006/metadata/properties"/>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bc29d9e-28d5-43d6-94d2-c93480cf6197"/>
    <ds:schemaRef ds:uri="http://purl.org/dc/dcmitype/"/>
    <ds:schemaRef ds:uri="http://purl.org/dc/elements/1.1/"/>
  </ds:schemaRefs>
</ds:datastoreItem>
</file>

<file path=customXml/itemProps3.xml><?xml version="1.0" encoding="utf-8"?>
<ds:datastoreItem xmlns:ds="http://schemas.openxmlformats.org/officeDocument/2006/customXml" ds:itemID="{737852A2-88C3-4AE6-A011-AE46637482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1</vt:i4>
      </vt:variant>
    </vt:vector>
  </HeadingPairs>
  <TitlesOfParts>
    <vt:vector size="9" baseType="lpstr">
      <vt:lpstr>Balance_sheet</vt:lpstr>
      <vt:lpstr>Income_statement</vt:lpstr>
      <vt:lpstr>Cash_flow</vt:lpstr>
      <vt:lpstr>Financial_data</vt:lpstr>
      <vt:lpstr>WACC</vt:lpstr>
      <vt:lpstr>FCFF</vt:lpstr>
      <vt:lpstr>Result</vt:lpstr>
      <vt:lpstr>Multiples</vt:lpstr>
      <vt:lpstr>Tax_rate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ANDREA CATALANOTTI</dc:creator>
  <cp:keywords/>
  <dc:description/>
  <cp:lastModifiedBy>FRANCESCO ANDREA CATALANOTTI</cp:lastModifiedBy>
  <cp:revision/>
  <dcterms:created xsi:type="dcterms:W3CDTF">2024-11-04T14:38:13Z</dcterms:created>
  <dcterms:modified xsi:type="dcterms:W3CDTF">2025-06-23T17:19:39Z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0x0101006A2FF53AE5B8024B97089A6247249E12</vt:lpwstr>
  </property>
</Properties>
</file>